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8.xml" ContentType="application/vnd.openxmlformats-officedocument.drawing+xml"/>
  <Override PartName="/xl/comments17.xml" ContentType="application/vnd.openxmlformats-officedocument.spreadsheetml.comment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showInkAnnotation="0" codeName="ThisWorkbook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Volumes/Documents/Users/Atipat Lorwongam/Desktop/Gambling/"/>
    </mc:Choice>
  </mc:AlternateContent>
  <xr:revisionPtr revIDLastSave="0" documentId="13_ncr:1_{8E522646-6F3D-784E-804D-BDD6EADF0B78}" xr6:coauthVersionLast="36" xr6:coauthVersionMax="44" xr10:uidLastSave="{00000000-0000-0000-0000-000000000000}"/>
  <bookViews>
    <workbookView xWindow="0" yWindow="460" windowWidth="25600" windowHeight="14780" tabRatio="867" firstSheet="4" activeTab="18" xr2:uid="{00000000-000D-0000-FFFF-FFFF00000000}"/>
  </bookViews>
  <sheets>
    <sheet name="Rules" sheetId="32" r:id="rId1"/>
    <sheet name="Dealer" sheetId="12" state="hidden" r:id="rId2"/>
    <sheet name="Stand" sheetId="13" state="hidden" r:id="rId3"/>
    <sheet name="Hit" sheetId="14" state="hidden" r:id="rId4"/>
    <sheet name="HS" sheetId="15" state="hidden" r:id="rId5"/>
    <sheet name="Double" sheetId="17" state="hidden" r:id="rId6"/>
    <sheet name="HSD" sheetId="18" state="hidden" r:id="rId7"/>
    <sheet name="Surrender" sheetId="19" state="hidden" r:id="rId8"/>
    <sheet name="HSDR" sheetId="20" state="hidden" r:id="rId9"/>
    <sheet name="Pair" sheetId="22" state="hidden" r:id="rId10"/>
    <sheet name="Blackjack" sheetId="28" state="hidden" r:id="rId11"/>
    <sheet name="Prob" sheetId="24" r:id="rId12"/>
    <sheet name="5 Cards" sheetId="33" state="hidden" r:id="rId13"/>
    <sheet name="Three 7 Cards" sheetId="34" state="hidden" r:id="rId14"/>
    <sheet name="ER" sheetId="25" r:id="rId15"/>
    <sheet name="Summary" sheetId="27" r:id="rId16"/>
    <sheet name="EV" sheetId="26" r:id="rId17"/>
    <sheet name="WL Prob" sheetId="29" r:id="rId18"/>
    <sheet name="Analysis" sheetId="35" r:id="rId19"/>
    <sheet name="1x2" sheetId="80" r:id="rId20"/>
    <sheet name="1x3" sheetId="87" r:id="rId21"/>
    <sheet name="1x4" sheetId="88" r:id="rId22"/>
    <sheet name="1x5" sheetId="90" r:id="rId23"/>
    <sheet name="1x6" sheetId="91" r:id="rId24"/>
    <sheet name="1x7" sheetId="92" r:id="rId25"/>
    <sheet name="1x8" sheetId="93" r:id="rId26"/>
    <sheet name="1x9" sheetId="94" r:id="rId27"/>
    <sheet name="1x10" sheetId="96" r:id="rId28"/>
    <sheet name="2x3" sheetId="89" r:id="rId29"/>
    <sheet name="2x4" sheetId="100" r:id="rId30"/>
    <sheet name="2x5" sheetId="101" r:id="rId31"/>
    <sheet name="2x6" sheetId="102" r:id="rId32"/>
    <sheet name="2x7" sheetId="103" r:id="rId33"/>
    <sheet name="2x8" sheetId="104" r:id="rId34"/>
    <sheet name="2x9" sheetId="105" r:id="rId35"/>
    <sheet name="2x10" sheetId="106" r:id="rId36"/>
    <sheet name="3x4" sheetId="99" r:id="rId37"/>
    <sheet name="3x5" sheetId="107" r:id="rId38"/>
    <sheet name="3x6" sheetId="108" r:id="rId39"/>
    <sheet name="3x7" sheetId="109" r:id="rId40"/>
    <sheet name="3x8" sheetId="110" r:id="rId41"/>
    <sheet name="3x9" sheetId="111" r:id="rId42"/>
    <sheet name="3x10" sheetId="112" r:id="rId43"/>
    <sheet name="Strategy Summary" sheetId="95" r:id="rId44"/>
    <sheet name="Strategy Summary (2)" sheetId="113" r:id="rId45"/>
    <sheet name="Final" sheetId="97" r:id="rId46"/>
  </sheets>
  <definedNames>
    <definedName name="_xlnm.Print_Area" localSheetId="27">'1x10'!#REF!</definedName>
    <definedName name="_xlnm.Print_Area" localSheetId="19">'1x2'!#REF!</definedName>
    <definedName name="_xlnm.Print_Area" localSheetId="20">'1x3'!#REF!</definedName>
    <definedName name="_xlnm.Print_Area" localSheetId="21">'1x4'!#REF!</definedName>
    <definedName name="_xlnm.Print_Area" localSheetId="22">'1x5'!#REF!</definedName>
    <definedName name="_xlnm.Print_Area" localSheetId="23">'1x6'!#REF!</definedName>
    <definedName name="_xlnm.Print_Area" localSheetId="24">'1x7'!#REF!</definedName>
    <definedName name="_xlnm.Print_Area" localSheetId="25">'1x8'!#REF!</definedName>
    <definedName name="_xlnm.Print_Area" localSheetId="26">'1x9'!#REF!</definedName>
    <definedName name="_xlnm.Print_Area" localSheetId="35">'2x10'!#REF!</definedName>
    <definedName name="_xlnm.Print_Area" localSheetId="28">'2x3'!#REF!</definedName>
    <definedName name="_xlnm.Print_Area" localSheetId="29">'2x4'!#REF!</definedName>
    <definedName name="_xlnm.Print_Area" localSheetId="30">'2x5'!#REF!</definedName>
    <definedName name="_xlnm.Print_Area" localSheetId="31">'2x6'!#REF!</definedName>
    <definedName name="_xlnm.Print_Area" localSheetId="32">'2x7'!#REF!</definedName>
    <definedName name="_xlnm.Print_Area" localSheetId="33">'2x8'!#REF!</definedName>
    <definedName name="_xlnm.Print_Area" localSheetId="34">'2x9'!#REF!</definedName>
    <definedName name="_xlnm.Print_Area" localSheetId="42">'3x10'!#REF!</definedName>
    <definedName name="_xlnm.Print_Area" localSheetId="36">'3x4'!#REF!</definedName>
    <definedName name="_xlnm.Print_Area" localSheetId="37">'3x5'!#REF!</definedName>
    <definedName name="_xlnm.Print_Area" localSheetId="38">'3x6'!#REF!</definedName>
    <definedName name="_xlnm.Print_Area" localSheetId="39">'3x7'!#REF!</definedName>
    <definedName name="_xlnm.Print_Area" localSheetId="40">'3x8'!#REF!</definedName>
    <definedName name="_xlnm.Print_Area" localSheetId="41">'3x9'!#REF!</definedName>
    <definedName name="_xlnm.Print_Area" localSheetId="45">Final!$A$1:$AH$46</definedName>
    <definedName name="_xlnm.Print_Area" localSheetId="0">Rules!$A$1:$S$43</definedName>
  </definedNames>
  <calcPr calcId="181029"/>
</workbook>
</file>

<file path=xl/calcChain.xml><?xml version="1.0" encoding="utf-8"?>
<calcChain xmlns="http://schemas.openxmlformats.org/spreadsheetml/2006/main">
  <c r="E48" i="35" l="1"/>
  <c r="E47" i="35"/>
  <c r="E46" i="35"/>
  <c r="E45" i="35"/>
  <c r="E44" i="35"/>
  <c r="E43" i="35"/>
  <c r="E42" i="35"/>
  <c r="E41" i="35"/>
  <c r="E40" i="35"/>
  <c r="E39" i="35"/>
  <c r="C10" i="35"/>
  <c r="D33" i="35"/>
  <c r="D32" i="35"/>
  <c r="D31" i="35"/>
  <c r="D30" i="35"/>
  <c r="D29" i="35"/>
  <c r="D28" i="35"/>
  <c r="D27" i="35"/>
  <c r="D26" i="35"/>
  <c r="E26" i="35" s="1"/>
  <c r="D24" i="35"/>
  <c r="E24" i="35"/>
  <c r="F37" i="35"/>
  <c r="G37" i="35" s="1"/>
  <c r="H37" i="35" s="1"/>
  <c r="I37" i="35" s="1"/>
  <c r="J37" i="35" s="1"/>
  <c r="K37" i="35" s="1"/>
  <c r="L37" i="35" s="1"/>
  <c r="M37" i="35" s="1"/>
  <c r="E33" i="35"/>
  <c r="F33" i="35" s="1"/>
  <c r="G33" i="35" s="1"/>
  <c r="H33" i="35" s="1"/>
  <c r="I33" i="35" s="1"/>
  <c r="J33" i="35" s="1"/>
  <c r="K33" i="35" s="1"/>
  <c r="L33" i="35" s="1"/>
  <c r="E32" i="35"/>
  <c r="F32" i="35" s="1"/>
  <c r="G32" i="35" s="1"/>
  <c r="H32" i="35" s="1"/>
  <c r="I32" i="35" s="1"/>
  <c r="J32" i="35" s="1"/>
  <c r="K32" i="35" s="1"/>
  <c r="E28" i="35"/>
  <c r="F28" i="35" s="1"/>
  <c r="G28" i="35" s="1"/>
  <c r="E27" i="35"/>
  <c r="F27" i="35" s="1"/>
  <c r="E22" i="35"/>
  <c r="F22" i="35" s="1"/>
  <c r="G22" i="35" s="1"/>
  <c r="H22" i="35" s="1"/>
  <c r="I22" i="35" s="1"/>
  <c r="J22" i="35" s="1"/>
  <c r="K22" i="35" s="1"/>
  <c r="L22" i="35" s="1"/>
  <c r="K6" i="35"/>
  <c r="J6" i="35"/>
  <c r="I6" i="35"/>
  <c r="H6" i="35"/>
  <c r="G6" i="35"/>
  <c r="F6" i="35"/>
  <c r="E6" i="35"/>
  <c r="D6" i="35"/>
  <c r="E11" i="35"/>
  <c r="D10" i="35"/>
  <c r="E9" i="35"/>
  <c r="C17" i="35"/>
  <c r="C16" i="35"/>
  <c r="C15" i="35"/>
  <c r="C14" i="35"/>
  <c r="C13" i="35"/>
  <c r="C12" i="35"/>
  <c r="C11" i="35"/>
  <c r="C9" i="35"/>
  <c r="E29" i="35" l="1"/>
  <c r="F29" i="35" s="1"/>
  <c r="G29" i="35" s="1"/>
  <c r="H29" i="35" s="1"/>
  <c r="E30" i="35"/>
  <c r="F30" i="35" s="1"/>
  <c r="G30" i="35" s="1"/>
  <c r="H30" i="35" s="1"/>
  <c r="I30" i="35" s="1"/>
  <c r="E31" i="35"/>
  <c r="F31" i="35" s="1"/>
  <c r="G31" i="35" s="1"/>
  <c r="H31" i="35" s="1"/>
  <c r="I31" i="35" s="1"/>
  <c r="J31" i="35" s="1"/>
  <c r="T1" i="97"/>
  <c r="A1" i="97"/>
  <c r="V38" i="97" l="1"/>
  <c r="U38" i="97"/>
  <c r="T38" i="97"/>
  <c r="S38" i="97"/>
  <c r="R38" i="97"/>
  <c r="Q38" i="97"/>
  <c r="P38" i="97"/>
  <c r="O38" i="97"/>
  <c r="N38" i="97"/>
  <c r="R45" i="93" l="1"/>
  <c r="R45" i="91"/>
  <c r="Q45" i="112"/>
  <c r="Q33" i="112"/>
  <c r="Q21" i="112"/>
  <c r="Q45" i="111"/>
  <c r="Q33" i="111"/>
  <c r="Q21" i="111"/>
  <c r="R33" i="111" s="1"/>
  <c r="Q45" i="110"/>
  <c r="Q33" i="110"/>
  <c r="Q21" i="110"/>
  <c r="R45" i="110" s="1"/>
  <c r="Q45" i="109"/>
  <c r="Q33" i="109"/>
  <c r="Q21" i="109"/>
  <c r="R33" i="109" s="1"/>
  <c r="Q45" i="108"/>
  <c r="Q33" i="108"/>
  <c r="Q21" i="108"/>
  <c r="R45" i="108" s="1"/>
  <c r="Q45" i="107"/>
  <c r="Q33" i="107"/>
  <c r="Q21" i="107"/>
  <c r="R33" i="107" s="1"/>
  <c r="Q45" i="99"/>
  <c r="Q33" i="99"/>
  <c r="Q21" i="99"/>
  <c r="R45" i="99" s="1"/>
  <c r="Q45" i="106"/>
  <c r="Q33" i="106"/>
  <c r="Q21" i="106"/>
  <c r="R33" i="106" s="1"/>
  <c r="Q45" i="105"/>
  <c r="Q33" i="105"/>
  <c r="Q21" i="105"/>
  <c r="Q45" i="104"/>
  <c r="Q33" i="104"/>
  <c r="Q21" i="104"/>
  <c r="R33" i="104" s="1"/>
  <c r="Q45" i="103"/>
  <c r="Q33" i="103"/>
  <c r="Q21" i="103"/>
  <c r="R45" i="103" s="1"/>
  <c r="Q45" i="102"/>
  <c r="Q33" i="102"/>
  <c r="Q21" i="102"/>
  <c r="R33" i="102" s="1"/>
  <c r="Q45" i="101"/>
  <c r="Q33" i="101"/>
  <c r="Q21" i="101"/>
  <c r="R45" i="101" s="1"/>
  <c r="Q45" i="100"/>
  <c r="Q33" i="100"/>
  <c r="Q21" i="100"/>
  <c r="R33" i="100" s="1"/>
  <c r="Q45" i="89"/>
  <c r="Q33" i="89"/>
  <c r="Q21" i="89"/>
  <c r="R45" i="89" s="1"/>
  <c r="Q45" i="96"/>
  <c r="Q33" i="96"/>
  <c r="Q21" i="96"/>
  <c r="R33" i="96" s="1"/>
  <c r="Q45" i="94"/>
  <c r="Q33" i="94"/>
  <c r="Q21" i="94"/>
  <c r="Q45" i="93"/>
  <c r="Q33" i="93"/>
  <c r="Q21" i="93"/>
  <c r="R33" i="93" s="1"/>
  <c r="Q45" i="92"/>
  <c r="Q33" i="92"/>
  <c r="Q21" i="92"/>
  <c r="R45" i="92" s="1"/>
  <c r="Q45" i="91"/>
  <c r="Q33" i="91"/>
  <c r="Q21" i="91"/>
  <c r="R33" i="91" s="1"/>
  <c r="Q45" i="90"/>
  <c r="Q33" i="90"/>
  <c r="Q21" i="90"/>
  <c r="R45" i="90" s="1"/>
  <c r="Q45" i="88"/>
  <c r="Q33" i="88"/>
  <c r="Q21" i="88"/>
  <c r="R33" i="88" s="1"/>
  <c r="Q45" i="87"/>
  <c r="Q33" i="87"/>
  <c r="Q21" i="87"/>
  <c r="R45" i="87" s="1"/>
  <c r="Q45" i="80"/>
  <c r="Q33" i="80"/>
  <c r="R21" i="90"/>
  <c r="R21" i="112"/>
  <c r="R21" i="111"/>
  <c r="R21" i="110"/>
  <c r="R21" i="109"/>
  <c r="R21" i="108"/>
  <c r="R21" i="107"/>
  <c r="R21" i="99"/>
  <c r="R21" i="106"/>
  <c r="R21" i="105"/>
  <c r="R21" i="104"/>
  <c r="R21" i="103"/>
  <c r="R21" i="102"/>
  <c r="R21" i="101"/>
  <c r="R21" i="100"/>
  <c r="R21" i="89"/>
  <c r="R21" i="94"/>
  <c r="R21" i="93"/>
  <c r="R21" i="92"/>
  <c r="R21" i="91"/>
  <c r="R21" i="88"/>
  <c r="R21" i="87"/>
  <c r="Q21" i="80"/>
  <c r="C21" i="87"/>
  <c r="R33" i="80" l="1"/>
  <c r="R45" i="80"/>
  <c r="R45" i="94"/>
  <c r="R33" i="94"/>
  <c r="R45" i="105"/>
  <c r="R33" i="105"/>
  <c r="R45" i="112"/>
  <c r="R33" i="112"/>
  <c r="P46" i="80"/>
  <c r="R45" i="88"/>
  <c r="R33" i="108"/>
  <c r="R33" i="110"/>
  <c r="R33" i="99"/>
  <c r="P34" i="80"/>
  <c r="R33" i="101"/>
  <c r="R33" i="103"/>
  <c r="R45" i="109"/>
  <c r="R45" i="111"/>
  <c r="R33" i="89"/>
  <c r="R45" i="106"/>
  <c r="R45" i="107"/>
  <c r="R33" i="90"/>
  <c r="R33" i="92"/>
  <c r="R45" i="102"/>
  <c r="R45" i="104"/>
  <c r="R33" i="87"/>
  <c r="R45" i="96"/>
  <c r="R45" i="100"/>
  <c r="P46" i="112"/>
  <c r="Q46" i="112" s="1"/>
  <c r="P46" i="111"/>
  <c r="Q46" i="111" s="1"/>
  <c r="P46" i="110"/>
  <c r="Q46" i="110" s="1"/>
  <c r="P46" i="109"/>
  <c r="Q46" i="109" s="1"/>
  <c r="P46" i="108"/>
  <c r="Q46" i="108" s="1"/>
  <c r="P46" i="107"/>
  <c r="Q46" i="107" s="1"/>
  <c r="P46" i="99"/>
  <c r="Q46" i="99" s="1"/>
  <c r="P46" i="106"/>
  <c r="Q46" i="106" s="1"/>
  <c r="P46" i="105"/>
  <c r="Q46" i="105" s="1"/>
  <c r="P46" i="104"/>
  <c r="Q46" i="104" s="1"/>
  <c r="P46" i="103"/>
  <c r="Q46" i="103" s="1"/>
  <c r="P46" i="102"/>
  <c r="Q46" i="102" s="1"/>
  <c r="P46" i="101"/>
  <c r="Q46" i="101" s="1"/>
  <c r="P46" i="100"/>
  <c r="Q46" i="100" s="1"/>
  <c r="P46" i="89"/>
  <c r="Q46" i="89" s="1"/>
  <c r="P46" i="96"/>
  <c r="Q46" i="96" s="1"/>
  <c r="R46" i="96" s="1"/>
  <c r="P46" i="94"/>
  <c r="Q46" i="94" s="1"/>
  <c r="P46" i="93"/>
  <c r="Q46" i="93" s="1"/>
  <c r="P46" i="92"/>
  <c r="Q46" i="92" s="1"/>
  <c r="P46" i="91"/>
  <c r="Q46" i="91" s="1"/>
  <c r="P46" i="90"/>
  <c r="Q46" i="90" s="1"/>
  <c r="R46" i="90" s="1"/>
  <c r="P46" i="88"/>
  <c r="Q46" i="88" s="1"/>
  <c r="P46" i="87"/>
  <c r="Q46" i="87" s="1"/>
  <c r="P34" i="112"/>
  <c r="Q34" i="112" s="1"/>
  <c r="P34" i="111"/>
  <c r="Q34" i="111" s="1"/>
  <c r="P34" i="110"/>
  <c r="Q34" i="110" s="1"/>
  <c r="P34" i="109"/>
  <c r="Q34" i="109" s="1"/>
  <c r="P34" i="108"/>
  <c r="Q34" i="108" s="1"/>
  <c r="P34" i="107"/>
  <c r="Q34" i="107" s="1"/>
  <c r="P34" i="99"/>
  <c r="Q34" i="99" s="1"/>
  <c r="P34" i="106"/>
  <c r="Q34" i="106" s="1"/>
  <c r="P34" i="105"/>
  <c r="Q34" i="105" s="1"/>
  <c r="P34" i="104"/>
  <c r="Q34" i="104" s="1"/>
  <c r="P34" i="103"/>
  <c r="Q34" i="103" s="1"/>
  <c r="P34" i="102"/>
  <c r="Q34" i="102" s="1"/>
  <c r="P34" i="101"/>
  <c r="Q34" i="101" s="1"/>
  <c r="P34" i="100"/>
  <c r="Q34" i="100" s="1"/>
  <c r="P34" i="89"/>
  <c r="Q34" i="89" s="1"/>
  <c r="R34" i="89" s="1"/>
  <c r="P34" i="96"/>
  <c r="Q34" i="96" s="1"/>
  <c r="P34" i="94"/>
  <c r="Q34" i="94" s="1"/>
  <c r="P34" i="93"/>
  <c r="Q34" i="93" s="1"/>
  <c r="P34" i="92"/>
  <c r="Q34" i="92" s="1"/>
  <c r="P34" i="91"/>
  <c r="Q34" i="91" s="1"/>
  <c r="P34" i="90"/>
  <c r="Q34" i="90" s="1"/>
  <c r="P34" i="88"/>
  <c r="Q34" i="88" s="1"/>
  <c r="P34" i="87"/>
  <c r="Q34" i="87" s="1"/>
  <c r="Q46" i="80"/>
  <c r="P47" i="80" s="1"/>
  <c r="Q34" i="80"/>
  <c r="P35" i="80" s="1"/>
  <c r="P22" i="112"/>
  <c r="Q22" i="112" s="1"/>
  <c r="P22" i="111"/>
  <c r="Q22" i="111" s="1"/>
  <c r="P22" i="110"/>
  <c r="Q22" i="110" s="1"/>
  <c r="P22" i="109"/>
  <c r="Q22" i="109" s="1"/>
  <c r="P22" i="108"/>
  <c r="Q22" i="108" s="1"/>
  <c r="P22" i="107"/>
  <c r="Q22" i="107" s="1"/>
  <c r="P22" i="99"/>
  <c r="Q22" i="99" s="1"/>
  <c r="P22" i="106"/>
  <c r="Q22" i="106" s="1"/>
  <c r="P22" i="105"/>
  <c r="Q22" i="105" s="1"/>
  <c r="P22" i="104"/>
  <c r="Q22" i="104" s="1"/>
  <c r="P22" i="103"/>
  <c r="Q22" i="103" s="1"/>
  <c r="P22" i="102"/>
  <c r="Q22" i="102" s="1"/>
  <c r="P22" i="101"/>
  <c r="Q22" i="101" s="1"/>
  <c r="P22" i="100"/>
  <c r="Q22" i="100" s="1"/>
  <c r="P22" i="89"/>
  <c r="Q22" i="89" s="1"/>
  <c r="P22" i="96"/>
  <c r="R21" i="96"/>
  <c r="P22" i="94"/>
  <c r="Q22" i="94" s="1"/>
  <c r="P22" i="93"/>
  <c r="Q22" i="93" s="1"/>
  <c r="P22" i="92"/>
  <c r="Q22" i="92" s="1"/>
  <c r="P22" i="91"/>
  <c r="Q22" i="91" s="1"/>
  <c r="P22" i="90"/>
  <c r="Q22" i="90" s="1"/>
  <c r="P22" i="88"/>
  <c r="Q22" i="88" s="1"/>
  <c r="P22" i="87"/>
  <c r="Q22" i="87" s="1"/>
  <c r="R21" i="80"/>
  <c r="P22" i="80"/>
  <c r="Q22" i="80" s="1"/>
  <c r="R22" i="80" s="1"/>
  <c r="R34" i="101" l="1"/>
  <c r="R34" i="105"/>
  <c r="R34" i="108"/>
  <c r="R34" i="109"/>
  <c r="R46" i="94"/>
  <c r="R34" i="91"/>
  <c r="R46" i="91"/>
  <c r="R46" i="92"/>
  <c r="R46" i="104"/>
  <c r="R34" i="104"/>
  <c r="R46" i="89"/>
  <c r="R22" i="90"/>
  <c r="R46" i="102"/>
  <c r="R34" i="92"/>
  <c r="R46" i="100"/>
  <c r="R34" i="100"/>
  <c r="R46" i="103"/>
  <c r="R46" i="101"/>
  <c r="R34" i="96"/>
  <c r="R34" i="107"/>
  <c r="R46" i="80"/>
  <c r="R34" i="88"/>
  <c r="R34" i="110"/>
  <c r="R34" i="94"/>
  <c r="R46" i="93"/>
  <c r="R34" i="87"/>
  <c r="R46" i="105"/>
  <c r="R34" i="102"/>
  <c r="R34" i="111"/>
  <c r="R46" i="99"/>
  <c r="R34" i="93"/>
  <c r="R46" i="87"/>
  <c r="R46" i="112"/>
  <c r="R34" i="80"/>
  <c r="R46" i="88"/>
  <c r="Q22" i="96"/>
  <c r="P23" i="96" s="1"/>
  <c r="Q23" i="96" s="1"/>
  <c r="R46" i="109"/>
  <c r="R46" i="111"/>
  <c r="R34" i="99"/>
  <c r="R34" i="112"/>
  <c r="R46" i="110"/>
  <c r="R34" i="90"/>
  <c r="R34" i="103"/>
  <c r="R46" i="108"/>
  <c r="R34" i="106"/>
  <c r="R46" i="107"/>
  <c r="R46" i="106"/>
  <c r="P47" i="112"/>
  <c r="P47" i="111"/>
  <c r="Q47" i="111" s="1"/>
  <c r="P47" i="110"/>
  <c r="Q47" i="110" s="1"/>
  <c r="P47" i="109"/>
  <c r="Q47" i="109" s="1"/>
  <c r="P47" i="108"/>
  <c r="P47" i="107"/>
  <c r="P47" i="99"/>
  <c r="Q47" i="99" s="1"/>
  <c r="P47" i="106"/>
  <c r="P47" i="105"/>
  <c r="P47" i="104"/>
  <c r="P47" i="103"/>
  <c r="Q47" i="103" s="1"/>
  <c r="P47" i="102"/>
  <c r="P47" i="101"/>
  <c r="P47" i="100"/>
  <c r="Q47" i="100" s="1"/>
  <c r="R47" i="100" s="1"/>
  <c r="P47" i="89"/>
  <c r="P47" i="96"/>
  <c r="P47" i="94"/>
  <c r="P47" i="93"/>
  <c r="P47" i="92"/>
  <c r="P47" i="91"/>
  <c r="P47" i="90"/>
  <c r="P47" i="88"/>
  <c r="Q47" i="88" s="1"/>
  <c r="P47" i="87"/>
  <c r="P35" i="112"/>
  <c r="Q35" i="112" s="1"/>
  <c r="P35" i="111"/>
  <c r="Q35" i="111" s="1"/>
  <c r="P35" i="110"/>
  <c r="Q35" i="110" s="1"/>
  <c r="R35" i="110" s="1"/>
  <c r="P35" i="109"/>
  <c r="Q35" i="109" s="1"/>
  <c r="P35" i="108"/>
  <c r="P35" i="107"/>
  <c r="P35" i="99"/>
  <c r="P35" i="106"/>
  <c r="Q35" i="106" s="1"/>
  <c r="P35" i="105"/>
  <c r="P35" i="104"/>
  <c r="Q35" i="104" s="1"/>
  <c r="R35" i="104" s="1"/>
  <c r="P35" i="103"/>
  <c r="Q35" i="103" s="1"/>
  <c r="P35" i="102"/>
  <c r="P35" i="101"/>
  <c r="P35" i="100"/>
  <c r="P35" i="89"/>
  <c r="Q35" i="89" s="1"/>
  <c r="P35" i="96"/>
  <c r="Q35" i="96" s="1"/>
  <c r="P35" i="94"/>
  <c r="P35" i="93"/>
  <c r="Q35" i="93" s="1"/>
  <c r="P35" i="92"/>
  <c r="P35" i="91"/>
  <c r="Q35" i="91" s="1"/>
  <c r="P35" i="90"/>
  <c r="P35" i="88"/>
  <c r="Q35" i="88" s="1"/>
  <c r="R35" i="88" s="1"/>
  <c r="P35" i="87"/>
  <c r="Q47" i="80"/>
  <c r="Q35" i="80"/>
  <c r="P36" i="80" s="1"/>
  <c r="R22" i="112"/>
  <c r="P23" i="112"/>
  <c r="Q23" i="112" s="1"/>
  <c r="R22" i="111"/>
  <c r="P23" i="111"/>
  <c r="R22" i="110"/>
  <c r="P23" i="110"/>
  <c r="P23" i="109"/>
  <c r="Q23" i="109" s="1"/>
  <c r="R23" i="109" s="1"/>
  <c r="R22" i="109"/>
  <c r="R22" i="108"/>
  <c r="P23" i="108"/>
  <c r="P23" i="107"/>
  <c r="Q23" i="107" s="1"/>
  <c r="R23" i="107" s="1"/>
  <c r="R22" i="107"/>
  <c r="R22" i="99"/>
  <c r="P23" i="99"/>
  <c r="Q23" i="99" s="1"/>
  <c r="R22" i="106"/>
  <c r="P23" i="106"/>
  <c r="R22" i="105"/>
  <c r="P23" i="105"/>
  <c r="Q23" i="105" s="1"/>
  <c r="R23" i="105" s="1"/>
  <c r="R22" i="104"/>
  <c r="P23" i="104"/>
  <c r="Q23" i="104" s="1"/>
  <c r="P23" i="103"/>
  <c r="Q23" i="103" s="1"/>
  <c r="R22" i="103"/>
  <c r="P23" i="102"/>
  <c r="Q23" i="102" s="1"/>
  <c r="R22" i="102"/>
  <c r="R22" i="101"/>
  <c r="P23" i="101"/>
  <c r="R22" i="100"/>
  <c r="P23" i="100"/>
  <c r="Q23" i="100" s="1"/>
  <c r="R22" i="89"/>
  <c r="P23" i="89"/>
  <c r="Q23" i="89" s="1"/>
  <c r="R22" i="96"/>
  <c r="R22" i="94"/>
  <c r="P23" i="94"/>
  <c r="Q23" i="94" s="1"/>
  <c r="R22" i="93"/>
  <c r="P23" i="93"/>
  <c r="R22" i="92"/>
  <c r="P23" i="92"/>
  <c r="R22" i="91"/>
  <c r="P23" i="91"/>
  <c r="P23" i="90"/>
  <c r="Q23" i="90" s="1"/>
  <c r="R22" i="88"/>
  <c r="P23" i="88"/>
  <c r="Q23" i="88" s="1"/>
  <c r="R22" i="87"/>
  <c r="P23" i="87"/>
  <c r="P24" i="96" l="1"/>
  <c r="R23" i="96"/>
  <c r="R48" i="110"/>
  <c r="R23" i="90"/>
  <c r="R47" i="80"/>
  <c r="R36" i="89"/>
  <c r="R35" i="93"/>
  <c r="R36" i="110"/>
  <c r="R36" i="109"/>
  <c r="R47" i="111"/>
  <c r="R47" i="109"/>
  <c r="R35" i="111"/>
  <c r="R47" i="103"/>
  <c r="R36" i="104"/>
  <c r="R35" i="112"/>
  <c r="R36" i="96"/>
  <c r="R35" i="89"/>
  <c r="R35" i="96"/>
  <c r="R35" i="106"/>
  <c r="R47" i="99"/>
  <c r="R47" i="110"/>
  <c r="R47" i="88"/>
  <c r="R35" i="109"/>
  <c r="R35" i="80"/>
  <c r="R36" i="88"/>
  <c r="R35" i="91"/>
  <c r="R36" i="80"/>
  <c r="R35" i="103"/>
  <c r="P48" i="112"/>
  <c r="Q47" i="112"/>
  <c r="P48" i="108"/>
  <c r="Q47" i="108"/>
  <c r="Q35" i="108"/>
  <c r="Q47" i="107"/>
  <c r="Q35" i="107"/>
  <c r="Q35" i="99"/>
  <c r="Q47" i="106"/>
  <c r="Q47" i="105"/>
  <c r="Q35" i="105"/>
  <c r="Q47" i="104"/>
  <c r="Q47" i="102"/>
  <c r="Q35" i="102"/>
  <c r="Q47" i="101"/>
  <c r="Q35" i="101"/>
  <c r="Q35" i="100"/>
  <c r="Q47" i="89"/>
  <c r="Q47" i="96"/>
  <c r="Q47" i="94"/>
  <c r="Q35" i="94"/>
  <c r="P48" i="93"/>
  <c r="Q47" i="93"/>
  <c r="Q47" i="92"/>
  <c r="Q35" i="92"/>
  <c r="Q47" i="91"/>
  <c r="Q47" i="90"/>
  <c r="Q35" i="90"/>
  <c r="Q47" i="87"/>
  <c r="Q35" i="87"/>
  <c r="P48" i="111"/>
  <c r="P48" i="110"/>
  <c r="Q48" i="110" s="1"/>
  <c r="P48" i="109"/>
  <c r="P48" i="99"/>
  <c r="P48" i="103"/>
  <c r="Q48" i="103" s="1"/>
  <c r="R48" i="103" s="1"/>
  <c r="P48" i="100"/>
  <c r="Q48" i="100" s="1"/>
  <c r="R48" i="100" s="1"/>
  <c r="P48" i="88"/>
  <c r="Q48" i="88" s="1"/>
  <c r="P36" i="112"/>
  <c r="Q36" i="112" s="1"/>
  <c r="R36" i="112" s="1"/>
  <c r="P36" i="111"/>
  <c r="P36" i="110"/>
  <c r="Q36" i="110" s="1"/>
  <c r="P36" i="109"/>
  <c r="Q36" i="109" s="1"/>
  <c r="P36" i="106"/>
  <c r="P36" i="104"/>
  <c r="Q36" i="104" s="1"/>
  <c r="P36" i="103"/>
  <c r="Q36" i="103" s="1"/>
  <c r="P36" i="89"/>
  <c r="Q36" i="89" s="1"/>
  <c r="P36" i="96"/>
  <c r="Q36" i="96" s="1"/>
  <c r="P36" i="93"/>
  <c r="Q36" i="93" s="1"/>
  <c r="P36" i="91"/>
  <c r="P36" i="88"/>
  <c r="Q36" i="88" s="1"/>
  <c r="P48" i="80"/>
  <c r="Q48" i="80" s="1"/>
  <c r="Q36" i="80"/>
  <c r="Q23" i="111"/>
  <c r="Q23" i="110"/>
  <c r="Q23" i="108"/>
  <c r="P24" i="108" s="1"/>
  <c r="Q23" i="106"/>
  <c r="R23" i="106" s="1"/>
  <c r="Q23" i="101"/>
  <c r="R23" i="101" s="1"/>
  <c r="Q24" i="96"/>
  <c r="Q23" i="93"/>
  <c r="R23" i="93" s="1"/>
  <c r="P24" i="92"/>
  <c r="Q23" i="92"/>
  <c r="R23" i="92" s="1"/>
  <c r="Q23" i="91"/>
  <c r="P24" i="109"/>
  <c r="P24" i="107"/>
  <c r="Q24" i="107" s="1"/>
  <c r="R24" i="107" s="1"/>
  <c r="P24" i="99"/>
  <c r="Q24" i="99" s="1"/>
  <c r="P25" i="99" s="1"/>
  <c r="Q25" i="99" s="1"/>
  <c r="P26" i="99" s="1"/>
  <c r="Q26" i="99" s="1"/>
  <c r="P27" i="99" s="1"/>
  <c r="Q27" i="99" s="1"/>
  <c r="P28" i="99" s="1"/>
  <c r="Q28" i="99" s="1"/>
  <c r="P29" i="99" s="1"/>
  <c r="Q29" i="99" s="1"/>
  <c r="P30" i="99" s="1"/>
  <c r="Q30" i="99" s="1"/>
  <c r="R23" i="99"/>
  <c r="P24" i="105"/>
  <c r="Q24" i="105" s="1"/>
  <c r="P24" i="104"/>
  <c r="R23" i="104"/>
  <c r="P24" i="103"/>
  <c r="Q24" i="103" s="1"/>
  <c r="R23" i="103"/>
  <c r="P24" i="102"/>
  <c r="Q24" i="102" s="1"/>
  <c r="R23" i="102"/>
  <c r="P24" i="101"/>
  <c r="P24" i="100"/>
  <c r="Q24" i="100" s="1"/>
  <c r="R23" i="100"/>
  <c r="P24" i="89"/>
  <c r="Q24" i="89" s="1"/>
  <c r="R23" i="89"/>
  <c r="R23" i="94"/>
  <c r="P24" i="94"/>
  <c r="Q24" i="94" s="1"/>
  <c r="P24" i="90"/>
  <c r="P24" i="88"/>
  <c r="Q24" i="88" s="1"/>
  <c r="R23" i="88"/>
  <c r="P24" i="87"/>
  <c r="Q23" i="87"/>
  <c r="Q24" i="87"/>
  <c r="P25" i="87" s="1"/>
  <c r="R23" i="87"/>
  <c r="P23" i="80"/>
  <c r="Q23" i="80" s="1"/>
  <c r="C21" i="80"/>
  <c r="D21" i="80" s="1"/>
  <c r="O23" i="97"/>
  <c r="O33" i="97" s="1"/>
  <c r="O43" i="97" s="1"/>
  <c r="P23" i="97"/>
  <c r="P33" i="97" s="1"/>
  <c r="P43" i="97" s="1"/>
  <c r="Q23" i="97"/>
  <c r="Q33" i="97" s="1"/>
  <c r="Q43" i="97" s="1"/>
  <c r="R23" i="97"/>
  <c r="R33" i="97" s="1"/>
  <c r="R43" i="97" s="1"/>
  <c r="S23" i="97"/>
  <c r="S33" i="97" s="1"/>
  <c r="S43" i="97" s="1"/>
  <c r="T23" i="97"/>
  <c r="T33" i="97" s="1"/>
  <c r="T43" i="97" s="1"/>
  <c r="U23" i="97"/>
  <c r="U33" i="97" s="1"/>
  <c r="U43" i="97" s="1"/>
  <c r="V23" i="97"/>
  <c r="V33" i="97" s="1"/>
  <c r="V43" i="97" s="1"/>
  <c r="N23" i="97"/>
  <c r="N33" i="97" s="1"/>
  <c r="N43" i="97" s="1"/>
  <c r="H24" i="12"/>
  <c r="W14" i="12"/>
  <c r="Q14" i="12" s="1"/>
  <c r="M45" i="12" s="1"/>
  <c r="H25" i="12"/>
  <c r="Q15" i="12"/>
  <c r="P15" i="12" s="1"/>
  <c r="O15" i="12" s="1"/>
  <c r="O25" i="12" s="1"/>
  <c r="H26" i="12"/>
  <c r="Q16" i="12"/>
  <c r="P16" i="12" s="1"/>
  <c r="H27" i="12"/>
  <c r="Q17" i="12"/>
  <c r="P17" i="12" s="1"/>
  <c r="P27" i="12" s="1"/>
  <c r="H28" i="12"/>
  <c r="Q18" i="12"/>
  <c r="B22" i="15"/>
  <c r="B23" i="15"/>
  <c r="B24" i="15"/>
  <c r="B25" i="15"/>
  <c r="B26" i="15"/>
  <c r="B27" i="15"/>
  <c r="B28" i="15"/>
  <c r="B29" i="15"/>
  <c r="B30" i="15"/>
  <c r="B31" i="15"/>
  <c r="H29" i="12"/>
  <c r="Q19" i="12"/>
  <c r="B30" i="24"/>
  <c r="C22" i="15"/>
  <c r="C23" i="15"/>
  <c r="C24" i="15"/>
  <c r="C25" i="15"/>
  <c r="C26" i="15"/>
  <c r="C27" i="15"/>
  <c r="C28" i="15"/>
  <c r="C29" i="15"/>
  <c r="C30" i="15"/>
  <c r="C31" i="15"/>
  <c r="C21" i="14" s="1"/>
  <c r="C30" i="24"/>
  <c r="D22" i="15"/>
  <c r="D23" i="15"/>
  <c r="D24" i="15"/>
  <c r="D25" i="15"/>
  <c r="D26" i="15"/>
  <c r="D27" i="15"/>
  <c r="D28" i="15"/>
  <c r="D29" i="15"/>
  <c r="D30" i="15"/>
  <c r="D31" i="15"/>
  <c r="D21" i="14" s="1"/>
  <c r="D30" i="24"/>
  <c r="E22" i="15"/>
  <c r="E23" i="15"/>
  <c r="E24" i="15"/>
  <c r="E25" i="15"/>
  <c r="E26" i="15"/>
  <c r="E27" i="15"/>
  <c r="E28" i="15"/>
  <c r="E29" i="15"/>
  <c r="E30" i="15"/>
  <c r="E31" i="15"/>
  <c r="E30" i="24"/>
  <c r="F22" i="15"/>
  <c r="F23" i="15"/>
  <c r="F24" i="15"/>
  <c r="F25" i="15"/>
  <c r="F26" i="15"/>
  <c r="F27" i="15"/>
  <c r="F28" i="15"/>
  <c r="F29" i="15"/>
  <c r="F30" i="15"/>
  <c r="F31" i="15"/>
  <c r="F30" i="24"/>
  <c r="G22" i="15"/>
  <c r="G23" i="15"/>
  <c r="G24" i="15"/>
  <c r="G25" i="15"/>
  <c r="G26" i="15"/>
  <c r="G27" i="15"/>
  <c r="G28" i="15"/>
  <c r="G29" i="15"/>
  <c r="G30" i="15"/>
  <c r="G31" i="15"/>
  <c r="G30" i="24"/>
  <c r="H22" i="15"/>
  <c r="H23" i="15"/>
  <c r="H24" i="15"/>
  <c r="H25" i="15"/>
  <c r="H26" i="15"/>
  <c r="H27" i="15"/>
  <c r="H28" i="15"/>
  <c r="H29" i="15"/>
  <c r="H30" i="15"/>
  <c r="H31" i="15"/>
  <c r="H21" i="14" s="1"/>
  <c r="H30" i="24"/>
  <c r="I22" i="15"/>
  <c r="I23" i="15"/>
  <c r="I24" i="15"/>
  <c r="I25" i="15"/>
  <c r="I26" i="15"/>
  <c r="I27" i="15"/>
  <c r="I28" i="15"/>
  <c r="I29" i="15"/>
  <c r="I30" i="15"/>
  <c r="I31" i="15"/>
  <c r="I30" i="24"/>
  <c r="J22" i="15"/>
  <c r="J23" i="15"/>
  <c r="J24" i="15"/>
  <c r="J25" i="15"/>
  <c r="J26" i="15"/>
  <c r="J27" i="15"/>
  <c r="J28" i="15"/>
  <c r="J29" i="15"/>
  <c r="J30" i="15"/>
  <c r="J31" i="15"/>
  <c r="J30" i="24"/>
  <c r="K22" i="15"/>
  <c r="K23" i="15"/>
  <c r="K24" i="15"/>
  <c r="K25" i="15"/>
  <c r="K26" i="15"/>
  <c r="K27" i="15"/>
  <c r="K28" i="15"/>
  <c r="K29" i="15"/>
  <c r="K30" i="15"/>
  <c r="K31" i="15"/>
  <c r="K30" i="24"/>
  <c r="B31" i="24"/>
  <c r="C31" i="24"/>
  <c r="D31" i="24"/>
  <c r="E31" i="24"/>
  <c r="F31" i="24"/>
  <c r="G31" i="24"/>
  <c r="H31" i="24"/>
  <c r="I31" i="24"/>
  <c r="J31" i="24"/>
  <c r="K31" i="24"/>
  <c r="B32" i="24"/>
  <c r="C32" i="24"/>
  <c r="D32" i="24"/>
  <c r="E32" i="24"/>
  <c r="F32" i="24"/>
  <c r="G32" i="24"/>
  <c r="H32" i="24"/>
  <c r="I32" i="24"/>
  <c r="J32" i="24"/>
  <c r="K32" i="24"/>
  <c r="B33" i="24"/>
  <c r="C33" i="24"/>
  <c r="D33" i="24"/>
  <c r="E33" i="24"/>
  <c r="F33" i="24"/>
  <c r="G33" i="24"/>
  <c r="H33" i="24"/>
  <c r="I33" i="24"/>
  <c r="J33" i="24"/>
  <c r="K33" i="24"/>
  <c r="B34" i="24"/>
  <c r="C34" i="24"/>
  <c r="D34" i="24"/>
  <c r="E34" i="24"/>
  <c r="F34" i="24"/>
  <c r="G34" i="24"/>
  <c r="H34" i="24"/>
  <c r="I34" i="24"/>
  <c r="J34" i="24"/>
  <c r="K34" i="24"/>
  <c r="B35" i="24"/>
  <c r="C35" i="24"/>
  <c r="D35" i="24"/>
  <c r="E35" i="24"/>
  <c r="F35" i="24"/>
  <c r="G35" i="24"/>
  <c r="H35" i="24"/>
  <c r="I35" i="24"/>
  <c r="J35" i="24"/>
  <c r="K35" i="24"/>
  <c r="B36" i="24"/>
  <c r="C36" i="24"/>
  <c r="D36" i="24"/>
  <c r="E36" i="24"/>
  <c r="F36" i="24"/>
  <c r="G36" i="24"/>
  <c r="H36" i="24"/>
  <c r="I36" i="24"/>
  <c r="J36" i="24"/>
  <c r="K36" i="24"/>
  <c r="B37" i="24"/>
  <c r="C37" i="24"/>
  <c r="D37" i="24"/>
  <c r="E37" i="24"/>
  <c r="F37" i="24"/>
  <c r="G37" i="24"/>
  <c r="H37" i="24"/>
  <c r="I37" i="24"/>
  <c r="J37" i="24"/>
  <c r="K37" i="24"/>
  <c r="B38" i="24"/>
  <c r="C38" i="24"/>
  <c r="D38" i="24"/>
  <c r="E38" i="24"/>
  <c r="F38" i="24"/>
  <c r="G38" i="24"/>
  <c r="H38" i="24"/>
  <c r="I38" i="24"/>
  <c r="J38" i="24"/>
  <c r="K38" i="24"/>
  <c r="D45" i="24"/>
  <c r="D58" i="24"/>
  <c r="C71" i="24" s="1"/>
  <c r="E71" i="24" s="1"/>
  <c r="E45" i="24"/>
  <c r="F45" i="24"/>
  <c r="G45" i="24"/>
  <c r="H45" i="24"/>
  <c r="I45" i="24"/>
  <c r="J45" i="24"/>
  <c r="K45" i="24"/>
  <c r="C46" i="24"/>
  <c r="E46" i="24"/>
  <c r="F46" i="24"/>
  <c r="G46" i="24"/>
  <c r="H46" i="24"/>
  <c r="I46" i="24"/>
  <c r="J46" i="24"/>
  <c r="K46" i="24"/>
  <c r="C47" i="24"/>
  <c r="D47" i="24"/>
  <c r="F47" i="24"/>
  <c r="G47" i="24"/>
  <c r="H47" i="24"/>
  <c r="I47" i="24"/>
  <c r="J47" i="24"/>
  <c r="K47" i="24"/>
  <c r="C48" i="24"/>
  <c r="D48" i="24"/>
  <c r="E48" i="24"/>
  <c r="G48" i="24"/>
  <c r="H48" i="24"/>
  <c r="I48" i="24"/>
  <c r="J48" i="24"/>
  <c r="K48" i="24"/>
  <c r="C49" i="24"/>
  <c r="D49" i="24"/>
  <c r="E49" i="24"/>
  <c r="F49" i="24"/>
  <c r="H49" i="24"/>
  <c r="I49" i="24"/>
  <c r="J49" i="24"/>
  <c r="K49" i="24"/>
  <c r="C50" i="24"/>
  <c r="D50" i="24"/>
  <c r="E50" i="24"/>
  <c r="F50" i="24"/>
  <c r="G50" i="24"/>
  <c r="I50" i="24"/>
  <c r="J50" i="24"/>
  <c r="K50" i="24"/>
  <c r="C51" i="24"/>
  <c r="D51" i="24"/>
  <c r="E51" i="24"/>
  <c r="F51" i="24"/>
  <c r="G51" i="24"/>
  <c r="H51" i="24"/>
  <c r="J51" i="24"/>
  <c r="K51" i="24"/>
  <c r="C52" i="24"/>
  <c r="D52" i="24"/>
  <c r="E52" i="24"/>
  <c r="F52" i="24"/>
  <c r="G52" i="24"/>
  <c r="H52" i="24"/>
  <c r="I52" i="24"/>
  <c r="K52" i="24"/>
  <c r="C53" i="24"/>
  <c r="D53" i="24"/>
  <c r="E53" i="24"/>
  <c r="F53" i="24"/>
  <c r="G53" i="24"/>
  <c r="H53" i="24"/>
  <c r="I53" i="24"/>
  <c r="J53" i="24"/>
  <c r="E58" i="24"/>
  <c r="F58" i="24"/>
  <c r="G58" i="24"/>
  <c r="H58" i="24"/>
  <c r="I58" i="24"/>
  <c r="J58" i="24"/>
  <c r="K58" i="24"/>
  <c r="C59" i="24"/>
  <c r="E59" i="24"/>
  <c r="F59" i="24"/>
  <c r="G59" i="24"/>
  <c r="H59" i="24"/>
  <c r="I59" i="24"/>
  <c r="J59" i="24"/>
  <c r="K59" i="24"/>
  <c r="C60" i="24"/>
  <c r="D60" i="24"/>
  <c r="F60" i="24"/>
  <c r="G60" i="24"/>
  <c r="H60" i="24"/>
  <c r="I60" i="24"/>
  <c r="J60" i="24"/>
  <c r="K60" i="24"/>
  <c r="C61" i="24"/>
  <c r="D61" i="24"/>
  <c r="E61" i="24"/>
  <c r="G61" i="24"/>
  <c r="H61" i="24"/>
  <c r="I61" i="24"/>
  <c r="J61" i="24"/>
  <c r="K61" i="24"/>
  <c r="C62" i="24"/>
  <c r="D62" i="24"/>
  <c r="E62" i="24"/>
  <c r="F62" i="24"/>
  <c r="H62" i="24"/>
  <c r="I62" i="24"/>
  <c r="J62" i="24"/>
  <c r="K62" i="24"/>
  <c r="C63" i="24"/>
  <c r="D63" i="24"/>
  <c r="E63" i="24"/>
  <c r="F63" i="24"/>
  <c r="G63" i="24"/>
  <c r="I63" i="24"/>
  <c r="J63" i="24"/>
  <c r="K63" i="24"/>
  <c r="C64" i="24"/>
  <c r="D64" i="24"/>
  <c r="E64" i="24"/>
  <c r="F64" i="24"/>
  <c r="G64" i="24"/>
  <c r="H64" i="24"/>
  <c r="J64" i="24"/>
  <c r="K64" i="24"/>
  <c r="C65" i="24"/>
  <c r="D65" i="24"/>
  <c r="E65" i="24"/>
  <c r="F65" i="24"/>
  <c r="G65" i="24"/>
  <c r="H65" i="24"/>
  <c r="I65" i="24"/>
  <c r="K65" i="24"/>
  <c r="C66" i="24"/>
  <c r="D66" i="24"/>
  <c r="E66" i="24"/>
  <c r="F66" i="24"/>
  <c r="G66" i="24"/>
  <c r="H66" i="24"/>
  <c r="I66" i="24"/>
  <c r="J66" i="24"/>
  <c r="B19" i="24"/>
  <c r="C19" i="24"/>
  <c r="D19" i="24"/>
  <c r="E19" i="24"/>
  <c r="F19" i="24"/>
  <c r="G19" i="24"/>
  <c r="H19" i="24"/>
  <c r="I19" i="24"/>
  <c r="J19" i="24"/>
  <c r="K19" i="24"/>
  <c r="B20" i="24"/>
  <c r="C20" i="24"/>
  <c r="D20" i="24"/>
  <c r="E20" i="24"/>
  <c r="F20" i="24"/>
  <c r="G20" i="24"/>
  <c r="H20" i="24"/>
  <c r="I20" i="24"/>
  <c r="J20" i="24"/>
  <c r="K20" i="24"/>
  <c r="B21" i="24"/>
  <c r="C21" i="24"/>
  <c r="D21" i="24"/>
  <c r="E21" i="24"/>
  <c r="F21" i="24"/>
  <c r="G21" i="24"/>
  <c r="H21" i="24"/>
  <c r="I21" i="24"/>
  <c r="J21" i="24"/>
  <c r="K21" i="24"/>
  <c r="B22" i="24"/>
  <c r="C22" i="24"/>
  <c r="D22" i="24"/>
  <c r="E22" i="24"/>
  <c r="F22" i="24"/>
  <c r="G22" i="24"/>
  <c r="H22" i="24"/>
  <c r="I22" i="24"/>
  <c r="J22" i="24"/>
  <c r="K22" i="24"/>
  <c r="B23" i="24"/>
  <c r="C23" i="24"/>
  <c r="D23" i="24"/>
  <c r="E23" i="24"/>
  <c r="F23" i="24"/>
  <c r="G23" i="24"/>
  <c r="H23" i="24"/>
  <c r="I23" i="24"/>
  <c r="J23" i="24"/>
  <c r="K23" i="24"/>
  <c r="B24" i="24"/>
  <c r="C24" i="24"/>
  <c r="D24" i="24"/>
  <c r="E24" i="24"/>
  <c r="F24" i="24"/>
  <c r="G24" i="24"/>
  <c r="H24" i="24"/>
  <c r="I24" i="24"/>
  <c r="J24" i="24"/>
  <c r="K24" i="24"/>
  <c r="B25" i="24"/>
  <c r="C25" i="24"/>
  <c r="D25" i="24"/>
  <c r="E25" i="24"/>
  <c r="F25" i="24"/>
  <c r="G25" i="24"/>
  <c r="H25" i="24"/>
  <c r="I25" i="24"/>
  <c r="J25" i="24"/>
  <c r="K25" i="24"/>
  <c r="B26" i="24"/>
  <c r="C26" i="24"/>
  <c r="D26" i="24"/>
  <c r="E26" i="24"/>
  <c r="F26" i="24"/>
  <c r="G26" i="24"/>
  <c r="H26" i="24"/>
  <c r="I26" i="24"/>
  <c r="J26" i="24"/>
  <c r="K26" i="24"/>
  <c r="B29" i="24"/>
  <c r="C29" i="24"/>
  <c r="D29" i="24"/>
  <c r="M38" i="24" s="1"/>
  <c r="E29" i="24"/>
  <c r="F29" i="24"/>
  <c r="G29" i="24"/>
  <c r="H29" i="24"/>
  <c r="I29" i="24"/>
  <c r="J29" i="24"/>
  <c r="K29" i="24"/>
  <c r="B27" i="24"/>
  <c r="B27" i="25"/>
  <c r="C27" i="24"/>
  <c r="C27" i="25"/>
  <c r="D27" i="24"/>
  <c r="D27" i="26" s="1"/>
  <c r="D26" i="29" s="1"/>
  <c r="D27" i="25"/>
  <c r="E27" i="24"/>
  <c r="E27" i="25"/>
  <c r="F27" i="24"/>
  <c r="F27" i="26" s="1"/>
  <c r="F26" i="29" s="1"/>
  <c r="F27" i="25"/>
  <c r="AC32" i="97" s="1"/>
  <c r="G27" i="24"/>
  <c r="G27" i="25"/>
  <c r="H27" i="24"/>
  <c r="H27" i="25"/>
  <c r="I27" i="24"/>
  <c r="I27" i="25"/>
  <c r="I27" i="26"/>
  <c r="I26" i="29" s="1"/>
  <c r="J27" i="24"/>
  <c r="J27" i="25"/>
  <c r="AG32" i="97" s="1"/>
  <c r="K27" i="24"/>
  <c r="K27" i="25"/>
  <c r="AH32" i="97" s="1"/>
  <c r="J33" i="12"/>
  <c r="C1" i="28" s="1"/>
  <c r="C45" i="80"/>
  <c r="B46" i="80"/>
  <c r="B47" i="80" s="1"/>
  <c r="C47" i="80"/>
  <c r="C45" i="87"/>
  <c r="B46" i="87"/>
  <c r="C46" i="87" s="1"/>
  <c r="B47" i="87"/>
  <c r="B48" i="87" s="1"/>
  <c r="C47" i="87"/>
  <c r="C45" i="88"/>
  <c r="B46" i="88"/>
  <c r="C46" i="88"/>
  <c r="B47" i="88"/>
  <c r="C47" i="88" s="1"/>
  <c r="C45" i="90"/>
  <c r="D46" i="90" s="1"/>
  <c r="B46" i="90"/>
  <c r="C46" i="90"/>
  <c r="B47" i="90"/>
  <c r="C47" i="90"/>
  <c r="C45" i="91"/>
  <c r="B46" i="91"/>
  <c r="B47" i="91" s="1"/>
  <c r="C46" i="91"/>
  <c r="D46" i="91" s="1"/>
  <c r="C47" i="91"/>
  <c r="C45" i="92"/>
  <c r="B46" i="92"/>
  <c r="C46" i="92"/>
  <c r="B47" i="92"/>
  <c r="B48" i="92" s="1"/>
  <c r="C48" i="92" s="1"/>
  <c r="C45" i="93"/>
  <c r="B46" i="93"/>
  <c r="C46" i="93"/>
  <c r="D47" i="93" s="1"/>
  <c r="B47" i="93"/>
  <c r="C47" i="93" s="1"/>
  <c r="C45" i="94"/>
  <c r="D47" i="94" s="1"/>
  <c r="B46" i="94"/>
  <c r="C46" i="94"/>
  <c r="B47" i="94"/>
  <c r="B48" i="94" s="1"/>
  <c r="C47" i="94"/>
  <c r="C45" i="96"/>
  <c r="B46" i="96"/>
  <c r="B48" i="80"/>
  <c r="C48" i="80"/>
  <c r="B48" i="88"/>
  <c r="B48" i="90"/>
  <c r="C48" i="90" s="1"/>
  <c r="B48" i="91"/>
  <c r="B48" i="93"/>
  <c r="C48" i="93" s="1"/>
  <c r="C48" i="94"/>
  <c r="D46" i="87"/>
  <c r="D46" i="94"/>
  <c r="H44" i="26"/>
  <c r="H45" i="26"/>
  <c r="H5" i="35"/>
  <c r="B22" i="87"/>
  <c r="C22" i="87" s="1"/>
  <c r="B23" i="87" s="1"/>
  <c r="C23" i="87" s="1"/>
  <c r="C21" i="88"/>
  <c r="C21" i="90"/>
  <c r="C21" i="91"/>
  <c r="C21" i="92"/>
  <c r="C21" i="93"/>
  <c r="B22" i="93"/>
  <c r="C22" i="93" s="1"/>
  <c r="C21" i="94"/>
  <c r="C21" i="96"/>
  <c r="D22" i="87"/>
  <c r="AF4" i="97"/>
  <c r="H21" i="35"/>
  <c r="AB4" i="97"/>
  <c r="Z4" i="97"/>
  <c r="U4" i="97"/>
  <c r="P4" i="97"/>
  <c r="L4" i="97"/>
  <c r="E4" i="97"/>
  <c r="A42" i="97"/>
  <c r="A43" i="97"/>
  <c r="A39" i="97"/>
  <c r="A40" i="97"/>
  <c r="A41" i="97"/>
  <c r="H36" i="35"/>
  <c r="C40" i="24"/>
  <c r="D45" i="88"/>
  <c r="D45" i="87"/>
  <c r="C33" i="88"/>
  <c r="B34" i="88"/>
  <c r="C34" i="88" s="1"/>
  <c r="B35" i="88"/>
  <c r="C33" i="87"/>
  <c r="B34" i="87"/>
  <c r="C34" i="87"/>
  <c r="B35" i="87"/>
  <c r="D34" i="87"/>
  <c r="D33" i="87"/>
  <c r="D21" i="87"/>
  <c r="M30" i="97"/>
  <c r="M31" i="97"/>
  <c r="M29" i="97"/>
  <c r="O28" i="97"/>
  <c r="P28" i="97"/>
  <c r="Q28" i="97"/>
  <c r="R28" i="97"/>
  <c r="S28" i="97"/>
  <c r="T28" i="97"/>
  <c r="U28" i="97"/>
  <c r="V28" i="97"/>
  <c r="N28" i="97"/>
  <c r="M20" i="97"/>
  <c r="M21" i="97"/>
  <c r="M19" i="97"/>
  <c r="O18" i="97"/>
  <c r="P18" i="97"/>
  <c r="Q18" i="97"/>
  <c r="R18" i="97"/>
  <c r="S18" i="97"/>
  <c r="T18" i="97"/>
  <c r="U18" i="97"/>
  <c r="V18" i="97"/>
  <c r="N18" i="97"/>
  <c r="M15" i="97"/>
  <c r="M16" i="97"/>
  <c r="M14" i="97"/>
  <c r="O13" i="97"/>
  <c r="P13" i="97"/>
  <c r="Q13" i="97"/>
  <c r="R13" i="97"/>
  <c r="S13" i="97"/>
  <c r="T13" i="97"/>
  <c r="U13" i="97"/>
  <c r="V13" i="97"/>
  <c r="N13" i="97"/>
  <c r="M9" i="97"/>
  <c r="M10" i="97"/>
  <c r="M11" i="97"/>
  <c r="N7" i="97"/>
  <c r="O7" i="97"/>
  <c r="P7" i="97"/>
  <c r="Q7" i="97"/>
  <c r="R7" i="97"/>
  <c r="S7" i="97"/>
  <c r="T7" i="97"/>
  <c r="U7" i="97"/>
  <c r="V7" i="97"/>
  <c r="F29" i="32"/>
  <c r="F30" i="32"/>
  <c r="F31" i="32"/>
  <c r="F28" i="32"/>
  <c r="B46" i="112"/>
  <c r="C45" i="112"/>
  <c r="C21" i="112"/>
  <c r="B34" i="112"/>
  <c r="C34" i="112"/>
  <c r="C33" i="112"/>
  <c r="B46" i="111"/>
  <c r="C45" i="111"/>
  <c r="C21" i="111"/>
  <c r="B34" i="111"/>
  <c r="B35" i="111" s="1"/>
  <c r="C35" i="111" s="1"/>
  <c r="C33" i="111"/>
  <c r="B46" i="110"/>
  <c r="C45" i="110"/>
  <c r="C21" i="110"/>
  <c r="B34" i="110"/>
  <c r="B35" i="110"/>
  <c r="B36" i="110" s="1"/>
  <c r="C33" i="110"/>
  <c r="D33" i="110" s="1"/>
  <c r="B46" i="109"/>
  <c r="C45" i="109"/>
  <c r="C21" i="109"/>
  <c r="B34" i="109"/>
  <c r="B35" i="109" s="1"/>
  <c r="C33" i="109"/>
  <c r="B46" i="108"/>
  <c r="C45" i="108"/>
  <c r="D45" i="108" s="1"/>
  <c r="C21" i="108"/>
  <c r="B22" i="108" s="1"/>
  <c r="C22" i="108" s="1"/>
  <c r="B34" i="108"/>
  <c r="B35" i="108"/>
  <c r="C34" i="108"/>
  <c r="C33" i="108"/>
  <c r="B46" i="107"/>
  <c r="B47" i="107" s="1"/>
  <c r="C45" i="107"/>
  <c r="D45" i="107" s="1"/>
  <c r="C21" i="107"/>
  <c r="D21" i="107" s="1"/>
  <c r="B34" i="107"/>
  <c r="C34" i="107" s="1"/>
  <c r="C33" i="107"/>
  <c r="D33" i="107" s="1"/>
  <c r="B35" i="112"/>
  <c r="C35" i="112" s="1"/>
  <c r="B22" i="112"/>
  <c r="C22" i="112" s="1"/>
  <c r="B23" i="112" s="1"/>
  <c r="C23" i="112" s="1"/>
  <c r="D33" i="112"/>
  <c r="D21" i="112"/>
  <c r="D33" i="111"/>
  <c r="B36" i="111"/>
  <c r="C46" i="111"/>
  <c r="B47" i="111"/>
  <c r="C34" i="111"/>
  <c r="D34" i="111" s="1"/>
  <c r="D45" i="111"/>
  <c r="B22" i="110"/>
  <c r="C22" i="110" s="1"/>
  <c r="D21" i="110"/>
  <c r="C34" i="110"/>
  <c r="B47" i="109"/>
  <c r="B48" i="109" s="1"/>
  <c r="D33" i="109"/>
  <c r="C46" i="109"/>
  <c r="D45" i="109"/>
  <c r="D21" i="108"/>
  <c r="D33" i="108"/>
  <c r="D34" i="108"/>
  <c r="B22" i="107"/>
  <c r="B46" i="106"/>
  <c r="C45" i="106"/>
  <c r="C21" i="106"/>
  <c r="B34" i="106"/>
  <c r="C34" i="106" s="1"/>
  <c r="B35" i="106"/>
  <c r="C35" i="106" s="1"/>
  <c r="C33" i="106"/>
  <c r="D33" i="106" s="1"/>
  <c r="B46" i="105"/>
  <c r="C46" i="105" s="1"/>
  <c r="C45" i="105"/>
  <c r="D45" i="105" s="1"/>
  <c r="C21" i="105"/>
  <c r="B34" i="105"/>
  <c r="B35" i="105" s="1"/>
  <c r="C33" i="105"/>
  <c r="B46" i="104"/>
  <c r="C45" i="104"/>
  <c r="C21" i="104"/>
  <c r="B22" i="104" s="1"/>
  <c r="C22" i="104" s="1"/>
  <c r="B34" i="104"/>
  <c r="B35" i="104" s="1"/>
  <c r="C33" i="104"/>
  <c r="D33" i="104" s="1"/>
  <c r="B46" i="103"/>
  <c r="C45" i="103"/>
  <c r="C21" i="103"/>
  <c r="D21" i="103" s="1"/>
  <c r="B34" i="103"/>
  <c r="C33" i="103"/>
  <c r="B46" i="102"/>
  <c r="C45" i="102"/>
  <c r="C21" i="102"/>
  <c r="D21" i="102" s="1"/>
  <c r="B34" i="102"/>
  <c r="C33" i="102"/>
  <c r="B46" i="101"/>
  <c r="B47" i="101"/>
  <c r="B48" i="101" s="1"/>
  <c r="B49" i="101" s="1"/>
  <c r="C45" i="101"/>
  <c r="D45" i="101" s="1"/>
  <c r="C21" i="101"/>
  <c r="D21" i="101" s="1"/>
  <c r="B34" i="101"/>
  <c r="C33" i="101"/>
  <c r="D33" i="101" s="1"/>
  <c r="B46" i="100"/>
  <c r="C45" i="100"/>
  <c r="D45" i="100" s="1"/>
  <c r="C21" i="100"/>
  <c r="B34" i="100"/>
  <c r="C34" i="100" s="1"/>
  <c r="C33" i="100"/>
  <c r="B36" i="112"/>
  <c r="B35" i="100"/>
  <c r="C35" i="100" s="1"/>
  <c r="B48" i="111"/>
  <c r="C47" i="111"/>
  <c r="D47" i="111" s="1"/>
  <c r="D46" i="111"/>
  <c r="D46" i="109"/>
  <c r="C22" i="107"/>
  <c r="B23" i="107" s="1"/>
  <c r="C23" i="107" s="1"/>
  <c r="D21" i="104"/>
  <c r="C46" i="101"/>
  <c r="D46" i="101"/>
  <c r="B36" i="106"/>
  <c r="B22" i="106"/>
  <c r="D21" i="106"/>
  <c r="B47" i="105"/>
  <c r="B48" i="105" s="1"/>
  <c r="D45" i="104"/>
  <c r="D33" i="103"/>
  <c r="B22" i="103"/>
  <c r="D45" i="103"/>
  <c r="B47" i="102"/>
  <c r="B48" i="102" s="1"/>
  <c r="C46" i="102"/>
  <c r="D33" i="102"/>
  <c r="B22" i="100"/>
  <c r="D33" i="100"/>
  <c r="L27" i="95" s="1"/>
  <c r="D21" i="100"/>
  <c r="C28" i="32"/>
  <c r="D28" i="32"/>
  <c r="E28" i="32"/>
  <c r="C29" i="32"/>
  <c r="D29" i="32"/>
  <c r="E29" i="32"/>
  <c r="C30" i="32"/>
  <c r="D30" i="32"/>
  <c r="E30" i="32"/>
  <c r="C31" i="32"/>
  <c r="D31" i="32"/>
  <c r="E31" i="32"/>
  <c r="B29" i="32"/>
  <c r="B30" i="32"/>
  <c r="B31" i="32"/>
  <c r="B28" i="32"/>
  <c r="F24" i="32"/>
  <c r="F25" i="32"/>
  <c r="B36" i="100"/>
  <c r="C48" i="111"/>
  <c r="B49" i="111"/>
  <c r="C49" i="111" s="1"/>
  <c r="D22" i="107"/>
  <c r="C22" i="106"/>
  <c r="C22" i="103"/>
  <c r="C47" i="102"/>
  <c r="C22" i="100"/>
  <c r="D22" i="100" s="1"/>
  <c r="B46" i="99"/>
  <c r="C46" i="99" s="1"/>
  <c r="C45" i="99"/>
  <c r="D45" i="99" s="1"/>
  <c r="B46" i="89"/>
  <c r="C46" i="89"/>
  <c r="C45" i="89"/>
  <c r="D45" i="96"/>
  <c r="D45" i="94"/>
  <c r="D45" i="93"/>
  <c r="D45" i="92"/>
  <c r="D45" i="90"/>
  <c r="C21" i="99"/>
  <c r="C21" i="89"/>
  <c r="B22" i="89" s="1"/>
  <c r="C22" i="89"/>
  <c r="D21" i="93"/>
  <c r="D21" i="91"/>
  <c r="D21" i="90"/>
  <c r="B34" i="99"/>
  <c r="C34" i="99" s="1"/>
  <c r="C33" i="99"/>
  <c r="D33" i="99" s="1"/>
  <c r="B34" i="89"/>
  <c r="C34" i="89" s="1"/>
  <c r="D34" i="89" s="1"/>
  <c r="C33" i="89"/>
  <c r="D33" i="89" s="1"/>
  <c r="B34" i="96"/>
  <c r="C34" i="96" s="1"/>
  <c r="C33" i="96"/>
  <c r="D33" i="96" s="1"/>
  <c r="B34" i="94"/>
  <c r="C33" i="94"/>
  <c r="D33" i="94" s="1"/>
  <c r="B34" i="93"/>
  <c r="C33" i="93"/>
  <c r="D33" i="93" s="1"/>
  <c r="B34" i="92"/>
  <c r="C34" i="92" s="1"/>
  <c r="D34" i="92" s="1"/>
  <c r="C33" i="92"/>
  <c r="D33" i="92" s="1"/>
  <c r="B34" i="91"/>
  <c r="C34" i="91" s="1"/>
  <c r="C33" i="91"/>
  <c r="D33" i="91" s="1"/>
  <c r="B34" i="90"/>
  <c r="C33" i="90"/>
  <c r="D33" i="90" s="1"/>
  <c r="D45" i="80"/>
  <c r="B34" i="80"/>
  <c r="C33" i="80"/>
  <c r="D33" i="80"/>
  <c r="B50" i="111"/>
  <c r="D21" i="89"/>
  <c r="B35" i="99"/>
  <c r="C35" i="99" s="1"/>
  <c r="B36" i="99"/>
  <c r="B49" i="92"/>
  <c r="B49" i="94"/>
  <c r="B47" i="89"/>
  <c r="B23" i="100"/>
  <c r="C23" i="100" s="1"/>
  <c r="B49" i="93"/>
  <c r="D45" i="91"/>
  <c r="B35" i="89"/>
  <c r="B35" i="96"/>
  <c r="C35" i="96" s="1"/>
  <c r="B35" i="91"/>
  <c r="C35" i="91" s="1"/>
  <c r="B36" i="91"/>
  <c r="D34" i="91"/>
  <c r="B49" i="80"/>
  <c r="B49" i="90"/>
  <c r="B24" i="112"/>
  <c r="D23" i="112"/>
  <c r="C49" i="94"/>
  <c r="D49" i="94" s="1"/>
  <c r="B50" i="94"/>
  <c r="C49" i="92"/>
  <c r="B50" i="92"/>
  <c r="C49" i="90"/>
  <c r="B50" i="90"/>
  <c r="C49" i="80"/>
  <c r="B50" i="80"/>
  <c r="C50" i="80" s="1"/>
  <c r="C24" i="112"/>
  <c r="B51" i="94"/>
  <c r="C50" i="94"/>
  <c r="D50" i="94"/>
  <c r="C50" i="92"/>
  <c r="B51" i="92"/>
  <c r="B52" i="92" s="1"/>
  <c r="B53" i="92" s="1"/>
  <c r="C50" i="90"/>
  <c r="B51" i="90"/>
  <c r="C51" i="90" s="1"/>
  <c r="B25" i="112"/>
  <c r="D24" i="112"/>
  <c r="B52" i="94"/>
  <c r="C51" i="94"/>
  <c r="C51" i="92"/>
  <c r="B52" i="90"/>
  <c r="C25" i="112"/>
  <c r="B53" i="90"/>
  <c r="C52" i="90"/>
  <c r="X43" i="97"/>
  <c r="X40" i="97"/>
  <c r="X41" i="97"/>
  <c r="X42" i="97"/>
  <c r="X34" i="97"/>
  <c r="X35" i="97"/>
  <c r="X36" i="97"/>
  <c r="X37" i="97"/>
  <c r="X38" i="97"/>
  <c r="X39" i="97"/>
  <c r="X8" i="97"/>
  <c r="X9" i="97"/>
  <c r="X10" i="97"/>
  <c r="X11" i="97"/>
  <c r="X12" i="97"/>
  <c r="X13" i="97"/>
  <c r="X14" i="97"/>
  <c r="X15" i="97"/>
  <c r="X16" i="97"/>
  <c r="X17" i="97"/>
  <c r="X18" i="97"/>
  <c r="X19" i="97"/>
  <c r="X20" i="97"/>
  <c r="X21" i="97"/>
  <c r="X22" i="97"/>
  <c r="X23" i="97"/>
  <c r="Y23" i="97"/>
  <c r="Z23" i="97"/>
  <c r="AA23" i="97"/>
  <c r="AB23" i="97"/>
  <c r="AC23" i="97"/>
  <c r="AD23" i="97"/>
  <c r="AE23" i="97"/>
  <c r="AF23" i="97"/>
  <c r="AG23" i="97"/>
  <c r="AH23" i="97"/>
  <c r="X24" i="97"/>
  <c r="X25" i="97"/>
  <c r="X26" i="97"/>
  <c r="X27" i="97"/>
  <c r="X28" i="97"/>
  <c r="X29" i="97"/>
  <c r="X30" i="97"/>
  <c r="X31" i="97"/>
  <c r="X32" i="97"/>
  <c r="X33" i="97"/>
  <c r="Y33" i="97"/>
  <c r="Z33" i="97"/>
  <c r="AA33" i="97"/>
  <c r="AB33" i="97"/>
  <c r="AC33" i="97"/>
  <c r="AD33" i="97"/>
  <c r="AE33" i="97"/>
  <c r="AF33" i="97"/>
  <c r="AG33" i="97"/>
  <c r="AH33" i="97"/>
  <c r="AH7" i="97"/>
  <c r="AD7" i="97"/>
  <c r="AE7" i="97"/>
  <c r="AF7" i="97"/>
  <c r="AG7" i="97"/>
  <c r="Y7" i="97"/>
  <c r="Z7" i="97"/>
  <c r="AA7" i="97"/>
  <c r="AB7" i="97"/>
  <c r="AC7" i="97"/>
  <c r="X7" i="97"/>
  <c r="C7" i="97"/>
  <c r="D7" i="97"/>
  <c r="E7" i="97"/>
  <c r="F7" i="97"/>
  <c r="G7" i="97"/>
  <c r="H7" i="97"/>
  <c r="I7" i="97"/>
  <c r="J7" i="97"/>
  <c r="K7" i="97"/>
  <c r="A36" i="97"/>
  <c r="A35" i="97"/>
  <c r="A22" i="97"/>
  <c r="A23" i="97"/>
  <c r="A24" i="97"/>
  <c r="A25" i="97"/>
  <c r="A26" i="97"/>
  <c r="B26" i="97"/>
  <c r="C26" i="97"/>
  <c r="D26" i="97"/>
  <c r="E26" i="97"/>
  <c r="F26" i="97"/>
  <c r="G26" i="97"/>
  <c r="H26" i="97"/>
  <c r="I26" i="97"/>
  <c r="J26" i="97"/>
  <c r="K26" i="97"/>
  <c r="A27" i="97"/>
  <c r="A28" i="97"/>
  <c r="A29" i="97"/>
  <c r="A30" i="97"/>
  <c r="A31" i="97"/>
  <c r="A32" i="97"/>
  <c r="A33" i="97"/>
  <c r="A34" i="97"/>
  <c r="H18" i="97"/>
  <c r="I18" i="97"/>
  <c r="J18" i="97"/>
  <c r="K18" i="97"/>
  <c r="A7" i="97"/>
  <c r="B7" i="97"/>
  <c r="A8" i="97"/>
  <c r="A9" i="97"/>
  <c r="A10" i="97"/>
  <c r="A11" i="97"/>
  <c r="A12" i="97"/>
  <c r="A13" i="97"/>
  <c r="A14" i="97"/>
  <c r="A15" i="97"/>
  <c r="A16" i="97"/>
  <c r="A17" i="97"/>
  <c r="A18" i="97"/>
  <c r="B18" i="97"/>
  <c r="C18" i="97"/>
  <c r="D18" i="97"/>
  <c r="E18" i="97"/>
  <c r="F18" i="97"/>
  <c r="G18" i="97"/>
  <c r="A19" i="97"/>
  <c r="A20" i="97"/>
  <c r="A21" i="97"/>
  <c r="A6" i="97"/>
  <c r="O23" i="15"/>
  <c r="O24" i="15"/>
  <c r="O25" i="15"/>
  <c r="O29" i="15"/>
  <c r="O30" i="15"/>
  <c r="O31" i="15"/>
  <c r="P22" i="15"/>
  <c r="P23" i="15"/>
  <c r="P26" i="15"/>
  <c r="P27" i="15"/>
  <c r="P30" i="15"/>
  <c r="P31" i="15"/>
  <c r="Q23" i="15"/>
  <c r="Q24" i="15"/>
  <c r="Q25" i="15"/>
  <c r="Q29" i="15"/>
  <c r="Q30" i="15"/>
  <c r="Q31" i="15"/>
  <c r="R22" i="15"/>
  <c r="R23" i="15"/>
  <c r="R26" i="15"/>
  <c r="R27" i="15"/>
  <c r="R30" i="15"/>
  <c r="R30" i="18" s="1"/>
  <c r="R31" i="15"/>
  <c r="S23" i="15"/>
  <c r="S24" i="15"/>
  <c r="S25" i="15"/>
  <c r="F25" i="18"/>
  <c r="S25" i="18" s="1"/>
  <c r="S29" i="15"/>
  <c r="S30" i="15"/>
  <c r="T22" i="15"/>
  <c r="T23" i="15"/>
  <c r="T26" i="15"/>
  <c r="T27" i="15"/>
  <c r="T30" i="15"/>
  <c r="U23" i="15"/>
  <c r="U24" i="15"/>
  <c r="U25" i="15"/>
  <c r="U29" i="15"/>
  <c r="U30" i="15"/>
  <c r="U31" i="15"/>
  <c r="V23" i="15"/>
  <c r="V27" i="15"/>
  <c r="V28" i="15"/>
  <c r="V29" i="15"/>
  <c r="V30" i="15"/>
  <c r="V31" i="15"/>
  <c r="W22" i="15"/>
  <c r="W23" i="15"/>
  <c r="W24" i="15"/>
  <c r="W25" i="15"/>
  <c r="W29" i="15"/>
  <c r="W30" i="15"/>
  <c r="W30" i="18" s="1"/>
  <c r="W31" i="15"/>
  <c r="X23" i="15"/>
  <c r="X27" i="15"/>
  <c r="X28" i="15"/>
  <c r="X29" i="15"/>
  <c r="X31" i="15"/>
  <c r="Y32" i="97"/>
  <c r="Z32" i="97"/>
  <c r="AA32" i="97"/>
  <c r="AB32" i="97"/>
  <c r="AD32" i="97"/>
  <c r="AF32" i="97"/>
  <c r="K17" i="33"/>
  <c r="J18" i="33"/>
  <c r="I19" i="33"/>
  <c r="H20" i="33"/>
  <c r="C17" i="33"/>
  <c r="D17" i="33"/>
  <c r="E17" i="33"/>
  <c r="F17" i="33"/>
  <c r="G17" i="33"/>
  <c r="H17" i="33"/>
  <c r="I17" i="33"/>
  <c r="J17" i="33"/>
  <c r="O10" i="33" s="1"/>
  <c r="B37" i="33" s="1"/>
  <c r="C18" i="33"/>
  <c r="D18" i="33"/>
  <c r="O5" i="33" s="1"/>
  <c r="B32" i="33" s="1"/>
  <c r="E18" i="33"/>
  <c r="F18" i="33"/>
  <c r="G18" i="33"/>
  <c r="H18" i="33"/>
  <c r="I18" i="33"/>
  <c r="K18" i="33"/>
  <c r="C19" i="33"/>
  <c r="D19" i="33"/>
  <c r="E19" i="33"/>
  <c r="F19" i="33"/>
  <c r="G19" i="33"/>
  <c r="H19" i="33"/>
  <c r="J19" i="33"/>
  <c r="K19" i="33"/>
  <c r="O13" i="33" s="1"/>
  <c r="B40" i="33" s="1"/>
  <c r="C20" i="33"/>
  <c r="D20" i="33"/>
  <c r="E20" i="33"/>
  <c r="F20" i="33"/>
  <c r="G20" i="33"/>
  <c r="I20" i="33"/>
  <c r="J20" i="33"/>
  <c r="K20" i="33"/>
  <c r="O14" i="33" s="1"/>
  <c r="B41" i="33" s="1"/>
  <c r="C21" i="33"/>
  <c r="D21" i="33"/>
  <c r="E21" i="33"/>
  <c r="F21" i="33"/>
  <c r="G21" i="33"/>
  <c r="H21" i="33"/>
  <c r="I21" i="33"/>
  <c r="J21" i="33"/>
  <c r="K21" i="33"/>
  <c r="C22" i="33"/>
  <c r="D22" i="33"/>
  <c r="E22" i="33"/>
  <c r="F22" i="33"/>
  <c r="G22" i="33"/>
  <c r="H22" i="33"/>
  <c r="I22" i="33"/>
  <c r="J22" i="33"/>
  <c r="K22" i="33"/>
  <c r="C23" i="33"/>
  <c r="D23" i="33"/>
  <c r="E23" i="33"/>
  <c r="F23" i="33"/>
  <c r="G23" i="33"/>
  <c r="H23" i="33"/>
  <c r="I23" i="33"/>
  <c r="J23" i="33"/>
  <c r="K23" i="33"/>
  <c r="C24" i="33"/>
  <c r="D24" i="33"/>
  <c r="E24" i="33"/>
  <c r="F24" i="33"/>
  <c r="G24" i="33"/>
  <c r="H24" i="33"/>
  <c r="I24" i="33"/>
  <c r="J24" i="33"/>
  <c r="K24" i="33"/>
  <c r="C25" i="33"/>
  <c r="D25" i="33"/>
  <c r="E25" i="33"/>
  <c r="F25" i="33"/>
  <c r="G25" i="33"/>
  <c r="H25" i="33"/>
  <c r="I25" i="33"/>
  <c r="J25" i="33"/>
  <c r="K25" i="33"/>
  <c r="C4" i="33"/>
  <c r="D4" i="33"/>
  <c r="E4" i="33"/>
  <c r="F4" i="33"/>
  <c r="G4" i="33"/>
  <c r="H4" i="33"/>
  <c r="I4" i="33"/>
  <c r="J4" i="33"/>
  <c r="K4" i="33"/>
  <c r="C5" i="33"/>
  <c r="D5" i="33"/>
  <c r="E5" i="33"/>
  <c r="F5" i="33"/>
  <c r="G5" i="33"/>
  <c r="H5" i="33"/>
  <c r="I5" i="33"/>
  <c r="J5" i="33"/>
  <c r="K5" i="33"/>
  <c r="C6" i="33"/>
  <c r="D6" i="33"/>
  <c r="E6" i="33"/>
  <c r="F6" i="33"/>
  <c r="G6" i="33"/>
  <c r="H6" i="33"/>
  <c r="I6" i="33"/>
  <c r="J6" i="33"/>
  <c r="K6" i="33"/>
  <c r="C7" i="33"/>
  <c r="D7" i="33"/>
  <c r="E7" i="33"/>
  <c r="F7" i="33"/>
  <c r="G7" i="33"/>
  <c r="H7" i="33"/>
  <c r="I7" i="33"/>
  <c r="J7" i="33"/>
  <c r="K7" i="33"/>
  <c r="C8" i="33"/>
  <c r="D8" i="33"/>
  <c r="E8" i="33"/>
  <c r="F8" i="33"/>
  <c r="G8" i="33"/>
  <c r="H8" i="33"/>
  <c r="I8" i="33"/>
  <c r="J8" i="33"/>
  <c r="K8" i="33"/>
  <c r="C9" i="33"/>
  <c r="D9" i="33"/>
  <c r="E9" i="33"/>
  <c r="F9" i="33"/>
  <c r="G9" i="33"/>
  <c r="H9" i="33"/>
  <c r="I9" i="33"/>
  <c r="J9" i="33"/>
  <c r="K9" i="33"/>
  <c r="C10" i="33"/>
  <c r="D10" i="33"/>
  <c r="E10" i="33"/>
  <c r="F10" i="33"/>
  <c r="G10" i="33"/>
  <c r="H10" i="33"/>
  <c r="I10" i="33"/>
  <c r="J10" i="33"/>
  <c r="K10" i="33"/>
  <c r="C11" i="33"/>
  <c r="D11" i="33"/>
  <c r="E11" i="33"/>
  <c r="F11" i="33"/>
  <c r="G11" i="33"/>
  <c r="H11" i="33"/>
  <c r="I11" i="33"/>
  <c r="J11" i="33"/>
  <c r="K11" i="33"/>
  <c r="C12" i="33"/>
  <c r="D12" i="33"/>
  <c r="E12" i="33"/>
  <c r="F12" i="33"/>
  <c r="G12" i="33"/>
  <c r="H12" i="33"/>
  <c r="I12" i="33"/>
  <c r="J12" i="33"/>
  <c r="K12" i="33"/>
  <c r="Y43" i="33"/>
  <c r="Z43" i="33"/>
  <c r="AA43" i="33"/>
  <c r="AB43" i="33"/>
  <c r="L21" i="33"/>
  <c r="G26" i="33"/>
  <c r="L4" i="33"/>
  <c r="L5" i="33"/>
  <c r="L6" i="33"/>
  <c r="L7" i="33"/>
  <c r="L8" i="33"/>
  <c r="L9" i="33"/>
  <c r="L10" i="33"/>
  <c r="L11" i="33"/>
  <c r="L12" i="33"/>
  <c r="L13" i="33"/>
  <c r="L17" i="33"/>
  <c r="L18" i="33"/>
  <c r="L19" i="33"/>
  <c r="L20" i="33"/>
  <c r="L22" i="33"/>
  <c r="L23" i="33"/>
  <c r="R10" i="33" s="1"/>
  <c r="L24" i="33"/>
  <c r="L25" i="33"/>
  <c r="L26" i="33"/>
  <c r="C13" i="33"/>
  <c r="D13" i="33"/>
  <c r="E13" i="33"/>
  <c r="F13" i="33"/>
  <c r="G13" i="33"/>
  <c r="H13" i="33"/>
  <c r="I13" i="33"/>
  <c r="J13" i="33"/>
  <c r="K13" i="33"/>
  <c r="C26" i="33"/>
  <c r="D26" i="33"/>
  <c r="E26" i="33"/>
  <c r="F26" i="33"/>
  <c r="H26" i="33"/>
  <c r="I26" i="33"/>
  <c r="J26" i="33"/>
  <c r="K26" i="33"/>
  <c r="S53" i="33"/>
  <c r="T53" i="33"/>
  <c r="U53" i="33"/>
  <c r="X73" i="33"/>
  <c r="Y73" i="33"/>
  <c r="Z73" i="33"/>
  <c r="AA73" i="33"/>
  <c r="AB73" i="33"/>
  <c r="R82" i="33"/>
  <c r="S82" i="33"/>
  <c r="T82" i="33"/>
  <c r="W102" i="33"/>
  <c r="X102" i="33"/>
  <c r="Y102" i="33"/>
  <c r="Z102" i="33"/>
  <c r="AA102" i="33"/>
  <c r="AB102" i="33"/>
  <c r="B2" i="34"/>
  <c r="C2" i="34" s="1"/>
  <c r="Q110" i="33"/>
  <c r="R110" i="33"/>
  <c r="S110" i="33"/>
  <c r="R114" i="33"/>
  <c r="C114" i="33"/>
  <c r="D114" i="33"/>
  <c r="E114" i="33"/>
  <c r="F114" i="33"/>
  <c r="G114" i="33"/>
  <c r="H114" i="33"/>
  <c r="I114" i="33"/>
  <c r="J114" i="33"/>
  <c r="C86" i="33"/>
  <c r="D86" i="33"/>
  <c r="E86" i="33"/>
  <c r="F86" i="33"/>
  <c r="G86" i="33"/>
  <c r="H86" i="33"/>
  <c r="I86" i="33"/>
  <c r="J86" i="33"/>
  <c r="S86" i="33"/>
  <c r="C57" i="33"/>
  <c r="D57" i="33"/>
  <c r="E57" i="33"/>
  <c r="F57" i="33"/>
  <c r="G57" i="33"/>
  <c r="H57" i="33"/>
  <c r="I57" i="33"/>
  <c r="J57" i="33"/>
  <c r="T110" i="33"/>
  <c r="W20" i="12"/>
  <c r="Q20" i="12" s="1"/>
  <c r="Q30" i="12"/>
  <c r="H30" i="12"/>
  <c r="R24" i="12"/>
  <c r="R25" i="12"/>
  <c r="R26" i="12"/>
  <c r="R27" i="12"/>
  <c r="R28" i="12"/>
  <c r="R29" i="12"/>
  <c r="R30" i="12"/>
  <c r="S24" i="12"/>
  <c r="S25" i="12"/>
  <c r="S26" i="12"/>
  <c r="S27" i="12"/>
  <c r="S28" i="12"/>
  <c r="S29" i="12"/>
  <c r="S30" i="12"/>
  <c r="T24" i="12"/>
  <c r="T31" i="12" s="1"/>
  <c r="T25" i="12"/>
  <c r="T26" i="12"/>
  <c r="T27" i="12"/>
  <c r="T28" i="12"/>
  <c r="T29" i="12"/>
  <c r="T30" i="12"/>
  <c r="U24" i="12"/>
  <c r="U25" i="12"/>
  <c r="U31" i="12" s="1"/>
  <c r="U26" i="12"/>
  <c r="U27" i="12"/>
  <c r="U28" i="12"/>
  <c r="U29" i="12"/>
  <c r="U30" i="12"/>
  <c r="V24" i="12"/>
  <c r="V25" i="12"/>
  <c r="V26" i="12"/>
  <c r="V31" i="12" s="1"/>
  <c r="V27" i="12"/>
  <c r="V28" i="12"/>
  <c r="V29" i="12"/>
  <c r="V30" i="12"/>
  <c r="W25" i="12"/>
  <c r="W26" i="12"/>
  <c r="W27" i="12"/>
  <c r="W28" i="12"/>
  <c r="W29" i="12"/>
  <c r="I31" i="12"/>
  <c r="J31" i="12"/>
  <c r="K31" i="12"/>
  <c r="L31" i="12"/>
  <c r="C5" i="32"/>
  <c r="B22" i="20"/>
  <c r="B23" i="20"/>
  <c r="B24" i="20"/>
  <c r="B25" i="20"/>
  <c r="B26" i="20"/>
  <c r="O26" i="20" s="1"/>
  <c r="B27" i="20"/>
  <c r="B28" i="20"/>
  <c r="B29" i="20"/>
  <c r="O29" i="20" s="1"/>
  <c r="B30" i="20"/>
  <c r="B31" i="20"/>
  <c r="O31" i="20" s="1"/>
  <c r="C22" i="20"/>
  <c r="D22" i="20"/>
  <c r="Q22" i="20" s="1"/>
  <c r="E22" i="20"/>
  <c r="R22" i="20" s="1"/>
  <c r="F22" i="20"/>
  <c r="S22" i="20" s="1"/>
  <c r="G22" i="20"/>
  <c r="H22" i="20"/>
  <c r="U22" i="20" s="1"/>
  <c r="I22" i="20"/>
  <c r="J22" i="20"/>
  <c r="W22" i="20" s="1"/>
  <c r="K22" i="20"/>
  <c r="C23" i="20"/>
  <c r="P23" i="20" s="1"/>
  <c r="D23" i="20"/>
  <c r="Q23" i="20" s="1"/>
  <c r="E23" i="20"/>
  <c r="R23" i="20" s="1"/>
  <c r="F23" i="20"/>
  <c r="G23" i="20"/>
  <c r="T23" i="20" s="1"/>
  <c r="H23" i="20"/>
  <c r="I23" i="20"/>
  <c r="V23" i="20" s="1"/>
  <c r="J23" i="20"/>
  <c r="W23" i="20" s="1"/>
  <c r="K23" i="20"/>
  <c r="X23" i="20" s="1"/>
  <c r="C24" i="20"/>
  <c r="P24" i="20" s="1"/>
  <c r="D24" i="20"/>
  <c r="Q24" i="20" s="1"/>
  <c r="E24" i="20"/>
  <c r="F24" i="20"/>
  <c r="S24" i="20" s="1"/>
  <c r="G24" i="20"/>
  <c r="H24" i="20"/>
  <c r="U24" i="20" s="1"/>
  <c r="I24" i="20"/>
  <c r="V24" i="20" s="1"/>
  <c r="J24" i="20"/>
  <c r="W24" i="20" s="1"/>
  <c r="K24" i="20"/>
  <c r="X24" i="20" s="1"/>
  <c r="C25" i="20"/>
  <c r="P25" i="20" s="1"/>
  <c r="D25" i="20"/>
  <c r="E25" i="20"/>
  <c r="R25" i="20" s="1"/>
  <c r="F25" i="20"/>
  <c r="G25" i="20"/>
  <c r="T25" i="20" s="1"/>
  <c r="H25" i="20"/>
  <c r="U25" i="20" s="1"/>
  <c r="I25" i="20"/>
  <c r="V25" i="20" s="1"/>
  <c r="J25" i="20"/>
  <c r="W25" i="20" s="1"/>
  <c r="K25" i="20"/>
  <c r="X25" i="20" s="1"/>
  <c r="C26" i="20"/>
  <c r="D26" i="20"/>
  <c r="Q26" i="20" s="1"/>
  <c r="E26" i="20"/>
  <c r="F26" i="20"/>
  <c r="S26" i="20" s="1"/>
  <c r="G26" i="20"/>
  <c r="H26" i="20"/>
  <c r="U26" i="20" s="1"/>
  <c r="I26" i="20"/>
  <c r="V26" i="20" s="1"/>
  <c r="J26" i="20"/>
  <c r="K26" i="20"/>
  <c r="C27" i="20"/>
  <c r="P27" i="20" s="1"/>
  <c r="D27" i="20"/>
  <c r="Q27" i="20" s="1"/>
  <c r="E27" i="20"/>
  <c r="R27" i="20" s="1"/>
  <c r="F27" i="20"/>
  <c r="S27" i="20" s="1"/>
  <c r="G27" i="20"/>
  <c r="T27" i="20" s="1"/>
  <c r="H27" i="20"/>
  <c r="U27" i="20" s="1"/>
  <c r="I27" i="20"/>
  <c r="J27" i="20"/>
  <c r="K27" i="20"/>
  <c r="X27" i="20" s="1"/>
  <c r="C28" i="20"/>
  <c r="P28" i="20" s="1"/>
  <c r="D28" i="20"/>
  <c r="Q28" i="20" s="1"/>
  <c r="E28" i="20"/>
  <c r="F28" i="20"/>
  <c r="S28" i="20" s="1"/>
  <c r="G28" i="20"/>
  <c r="T28" i="20" s="1"/>
  <c r="H28" i="20"/>
  <c r="U28" i="20" s="1"/>
  <c r="I28" i="20"/>
  <c r="V28" i="20" s="1"/>
  <c r="J28" i="20"/>
  <c r="W28" i="20" s="1"/>
  <c r="K28" i="20"/>
  <c r="X28" i="20" s="1"/>
  <c r="C29" i="20"/>
  <c r="P29" i="20" s="1"/>
  <c r="D29" i="20"/>
  <c r="E29" i="20"/>
  <c r="R29" i="20" s="1"/>
  <c r="F29" i="20"/>
  <c r="S29" i="20" s="1"/>
  <c r="G29" i="20"/>
  <c r="H29" i="20"/>
  <c r="U29" i="20" s="1"/>
  <c r="I29" i="20"/>
  <c r="V29" i="20" s="1"/>
  <c r="J29" i="20"/>
  <c r="W29" i="20" s="1"/>
  <c r="K29" i="20"/>
  <c r="X29" i="20" s="1"/>
  <c r="C30" i="20"/>
  <c r="P30" i="20" s="1"/>
  <c r="D30" i="20"/>
  <c r="Q30" i="20" s="1"/>
  <c r="E30" i="20"/>
  <c r="R30" i="20" s="1"/>
  <c r="F30" i="20"/>
  <c r="S30" i="20" s="1"/>
  <c r="G30" i="20"/>
  <c r="H30" i="20"/>
  <c r="I30" i="20"/>
  <c r="V30" i="20" s="1"/>
  <c r="J30" i="20"/>
  <c r="K30" i="20"/>
  <c r="X30" i="20" s="1"/>
  <c r="C31" i="20"/>
  <c r="P31" i="20" s="1"/>
  <c r="D31" i="20"/>
  <c r="Q31" i="20" s="1"/>
  <c r="E31" i="20"/>
  <c r="R31" i="20" s="1"/>
  <c r="F31" i="20"/>
  <c r="G31" i="20"/>
  <c r="T31" i="20" s="1"/>
  <c r="H31" i="20"/>
  <c r="U31" i="20" s="1"/>
  <c r="I31" i="20"/>
  <c r="V31" i="20" s="1"/>
  <c r="J31" i="20"/>
  <c r="K31" i="20"/>
  <c r="X31" i="20" s="1"/>
  <c r="B22" i="18"/>
  <c r="O22" i="15"/>
  <c r="C22" i="18"/>
  <c r="D22" i="18"/>
  <c r="Q22" i="15"/>
  <c r="Q22" i="18" s="1"/>
  <c r="E22" i="18"/>
  <c r="R22" i="18" s="1"/>
  <c r="F22" i="18"/>
  <c r="S22" i="15"/>
  <c r="S22" i="18" s="1"/>
  <c r="G22" i="18"/>
  <c r="H22" i="18"/>
  <c r="U22" i="15"/>
  <c r="I22" i="18"/>
  <c r="V22" i="15"/>
  <c r="V22" i="18" s="1"/>
  <c r="J22" i="18"/>
  <c r="W22" i="18" s="1"/>
  <c r="K22" i="18"/>
  <c r="X22" i="15"/>
  <c r="X22" i="18" s="1"/>
  <c r="B23" i="18"/>
  <c r="C23" i="18"/>
  <c r="D23" i="18"/>
  <c r="Q23" i="18" s="1"/>
  <c r="E23" i="18"/>
  <c r="F23" i="18"/>
  <c r="S23" i="18" s="1"/>
  <c r="G23" i="18"/>
  <c r="T23" i="18" s="1"/>
  <c r="H23" i="18"/>
  <c r="I23" i="18"/>
  <c r="J23" i="18"/>
  <c r="K23" i="18"/>
  <c r="B24" i="18"/>
  <c r="O24" i="18" s="1"/>
  <c r="C24" i="18"/>
  <c r="P24" i="15"/>
  <c r="P24" i="18" s="1"/>
  <c r="D24" i="18"/>
  <c r="E24" i="18"/>
  <c r="R24" i="15"/>
  <c r="F24" i="18"/>
  <c r="S24" i="18" s="1"/>
  <c r="G24" i="18"/>
  <c r="T24" i="15"/>
  <c r="H24" i="18"/>
  <c r="I24" i="18"/>
  <c r="V24" i="18" s="1"/>
  <c r="V24" i="15"/>
  <c r="J24" i="18"/>
  <c r="K24" i="18"/>
  <c r="X24" i="15"/>
  <c r="B25" i="18"/>
  <c r="C25" i="18"/>
  <c r="P25" i="15"/>
  <c r="D25" i="18"/>
  <c r="E25" i="18"/>
  <c r="R25" i="18" s="1"/>
  <c r="R25" i="15"/>
  <c r="G25" i="18"/>
  <c r="T25" i="18" s="1"/>
  <c r="T25" i="15"/>
  <c r="H25" i="18"/>
  <c r="I25" i="18"/>
  <c r="V25" i="18" s="1"/>
  <c r="V25" i="15"/>
  <c r="J25" i="18"/>
  <c r="W25" i="18" s="1"/>
  <c r="K25" i="18"/>
  <c r="X25" i="18" s="1"/>
  <c r="X25" i="15"/>
  <c r="B26" i="18"/>
  <c r="O26" i="18" s="1"/>
  <c r="O26" i="15"/>
  <c r="C26" i="18"/>
  <c r="D26" i="18"/>
  <c r="Q26" i="18" s="1"/>
  <c r="Q26" i="15"/>
  <c r="E26" i="18"/>
  <c r="R26" i="18" s="1"/>
  <c r="F26" i="18"/>
  <c r="S26" i="15"/>
  <c r="G26" i="18"/>
  <c r="T26" i="18" s="1"/>
  <c r="H26" i="18"/>
  <c r="U26" i="18" s="1"/>
  <c r="U26" i="15"/>
  <c r="I26" i="18"/>
  <c r="V26" i="18" s="1"/>
  <c r="V26" i="15"/>
  <c r="J26" i="18"/>
  <c r="W26" i="18" s="1"/>
  <c r="W26" i="15"/>
  <c r="K26" i="18"/>
  <c r="X26" i="15"/>
  <c r="B27" i="18"/>
  <c r="O27" i="15"/>
  <c r="C27" i="18"/>
  <c r="D27" i="18"/>
  <c r="Q27" i="15"/>
  <c r="Q27" i="18" s="1"/>
  <c r="E27" i="18"/>
  <c r="R27" i="18" s="1"/>
  <c r="F27" i="18"/>
  <c r="S27" i="15"/>
  <c r="S27" i="18" s="1"/>
  <c r="G27" i="18"/>
  <c r="T27" i="18" s="1"/>
  <c r="H27" i="18"/>
  <c r="U27" i="15"/>
  <c r="I27" i="18"/>
  <c r="J27" i="18"/>
  <c r="W27" i="18" s="1"/>
  <c r="W27" i="15"/>
  <c r="K27" i="18"/>
  <c r="B28" i="18"/>
  <c r="O28" i="18" s="1"/>
  <c r="O28" i="15"/>
  <c r="C28" i="18"/>
  <c r="P28" i="15"/>
  <c r="P28" i="18" s="1"/>
  <c r="D28" i="18"/>
  <c r="Q28" i="15"/>
  <c r="Q28" i="18" s="1"/>
  <c r="E28" i="18"/>
  <c r="R28" i="18" s="1"/>
  <c r="R28" i="15"/>
  <c r="F28" i="18"/>
  <c r="S28" i="15"/>
  <c r="G28" i="18"/>
  <c r="T28" i="15"/>
  <c r="H28" i="18"/>
  <c r="U28" i="15"/>
  <c r="U28" i="18" s="1"/>
  <c r="I28" i="18"/>
  <c r="J28" i="18"/>
  <c r="W28" i="15"/>
  <c r="W28" i="18" s="1"/>
  <c r="K28" i="18"/>
  <c r="B29" i="18"/>
  <c r="C29" i="18"/>
  <c r="P29" i="15"/>
  <c r="D29" i="18"/>
  <c r="Q29" i="18" s="1"/>
  <c r="E29" i="18"/>
  <c r="R29" i="18" s="1"/>
  <c r="R29" i="15"/>
  <c r="F29" i="18"/>
  <c r="G29" i="18"/>
  <c r="T29" i="18" s="1"/>
  <c r="T29" i="15"/>
  <c r="H29" i="18"/>
  <c r="U29" i="18" s="1"/>
  <c r="I29" i="18"/>
  <c r="J29" i="18"/>
  <c r="W29" i="18" s="1"/>
  <c r="K29" i="18"/>
  <c r="X29" i="18" s="1"/>
  <c r="B30" i="18"/>
  <c r="C30" i="18"/>
  <c r="P30" i="18" s="1"/>
  <c r="D30" i="18"/>
  <c r="Q30" i="18" s="1"/>
  <c r="E30" i="18"/>
  <c r="F30" i="18"/>
  <c r="S30" i="18" s="1"/>
  <c r="G30" i="18"/>
  <c r="H30" i="18"/>
  <c r="U30" i="18" s="1"/>
  <c r="I30" i="18"/>
  <c r="V30" i="18" s="1"/>
  <c r="J30" i="18"/>
  <c r="K30" i="18"/>
  <c r="X30" i="15"/>
  <c r="B31" i="18"/>
  <c r="C31" i="18"/>
  <c r="P31" i="18" s="1"/>
  <c r="D31" i="18"/>
  <c r="E31" i="18"/>
  <c r="R31" i="18" s="1"/>
  <c r="F31" i="18"/>
  <c r="G31" i="18"/>
  <c r="T31" i="15"/>
  <c r="T31" i="18" s="1"/>
  <c r="H31" i="18"/>
  <c r="I31" i="18"/>
  <c r="J31" i="18"/>
  <c r="W31" i="18" s="1"/>
  <c r="K31" i="18"/>
  <c r="F43" i="12"/>
  <c r="F42" i="12"/>
  <c r="F41" i="12"/>
  <c r="F40" i="12"/>
  <c r="F39" i="12"/>
  <c r="F38" i="12"/>
  <c r="F37" i="12"/>
  <c r="F36" i="12"/>
  <c r="F35" i="12"/>
  <c r="F34" i="12"/>
  <c r="R21" i="12"/>
  <c r="S21" i="12"/>
  <c r="T21" i="12"/>
  <c r="U21" i="12"/>
  <c r="V21" i="12"/>
  <c r="X21" i="12"/>
  <c r="Y21" i="12"/>
  <c r="Z21" i="12"/>
  <c r="AA21" i="12"/>
  <c r="AB21" i="12"/>
  <c r="AC21" i="12"/>
  <c r="AD21" i="12"/>
  <c r="AE21" i="12"/>
  <c r="AF21" i="12"/>
  <c r="O25" i="18"/>
  <c r="P29" i="18"/>
  <c r="R24" i="18"/>
  <c r="W21" i="12"/>
  <c r="O27" i="18"/>
  <c r="W24" i="12"/>
  <c r="V22" i="20"/>
  <c r="S25" i="20"/>
  <c r="W31" i="20"/>
  <c r="T29" i="20"/>
  <c r="R24" i="20"/>
  <c r="Q29" i="20"/>
  <c r="X27" i="18"/>
  <c r="X26" i="18"/>
  <c r="X26" i="20"/>
  <c r="P23" i="18"/>
  <c r="R26" i="20"/>
  <c r="D2" i="34"/>
  <c r="W23" i="18"/>
  <c r="S23" i="20"/>
  <c r="P27" i="18"/>
  <c r="T26" i="20"/>
  <c r="O24" i="20"/>
  <c r="X31" i="18"/>
  <c r="V31" i="18"/>
  <c r="U27" i="18"/>
  <c r="P25" i="18"/>
  <c r="X24" i="18"/>
  <c r="S31" i="15"/>
  <c r="S31" i="18"/>
  <c r="S31" i="20"/>
  <c r="V29" i="18"/>
  <c r="X23" i="18"/>
  <c r="V23" i="18"/>
  <c r="R23" i="18"/>
  <c r="R6" i="33"/>
  <c r="B49" i="33" s="1"/>
  <c r="W30" i="20"/>
  <c r="V28" i="18"/>
  <c r="T28" i="18"/>
  <c r="R28" i="20"/>
  <c r="U25" i="18"/>
  <c r="P22" i="20"/>
  <c r="W30" i="12"/>
  <c r="W31" i="12" s="1"/>
  <c r="U31" i="18"/>
  <c r="X30" i="18"/>
  <c r="O30" i="18"/>
  <c r="O30" i="20" s="1"/>
  <c r="S28" i="18"/>
  <c r="V27" i="18"/>
  <c r="V27" i="20"/>
  <c r="W26" i="20"/>
  <c r="P26" i="18"/>
  <c r="P26" i="20"/>
  <c r="Q25" i="18"/>
  <c r="Q25" i="20"/>
  <c r="T24" i="18"/>
  <c r="T24" i="20"/>
  <c r="U23" i="18"/>
  <c r="U23" i="20"/>
  <c r="X22" i="20"/>
  <c r="O22" i="18"/>
  <c r="O22" i="20" s="1"/>
  <c r="Q31" i="18"/>
  <c r="O31" i="18"/>
  <c r="T30" i="18"/>
  <c r="T30" i="20"/>
  <c r="S29" i="18"/>
  <c r="X28" i="18"/>
  <c r="O28" i="20"/>
  <c r="W27" i="20"/>
  <c r="S26" i="18"/>
  <c r="W24" i="18"/>
  <c r="U24" i="18"/>
  <c r="O23" i="18"/>
  <c r="T22" i="18"/>
  <c r="T22" i="20"/>
  <c r="U30" i="20"/>
  <c r="O29" i="18"/>
  <c r="Q24" i="18"/>
  <c r="U22" i="18"/>
  <c r="R31" i="12"/>
  <c r="R4" i="33"/>
  <c r="B47" i="33" s="1"/>
  <c r="R3" i="33"/>
  <c r="B46" i="33" s="1"/>
  <c r="C46" i="33" s="1"/>
  <c r="C53" i="33" s="1"/>
  <c r="K57" i="33" s="1"/>
  <c r="S31" i="12"/>
  <c r="O15" i="33"/>
  <c r="B42" i="33" s="1"/>
  <c r="O42" i="33" s="1"/>
  <c r="O3" i="33"/>
  <c r="B30" i="33" s="1"/>
  <c r="K30" i="33" s="1"/>
  <c r="O17" i="33"/>
  <c r="O4" i="33"/>
  <c r="B31" i="33" s="1"/>
  <c r="F31" i="33" s="1"/>
  <c r="O19" i="33"/>
  <c r="R8" i="33"/>
  <c r="B51" i="33" s="1"/>
  <c r="R11" i="33"/>
  <c r="X42" i="33"/>
  <c r="X43" i="33" s="1"/>
  <c r="U42" i="33"/>
  <c r="V42" i="33"/>
  <c r="C30" i="33"/>
  <c r="C43" i="33" s="1"/>
  <c r="C56" i="33" s="1"/>
  <c r="B61" i="33" s="1"/>
  <c r="I30" i="33"/>
  <c r="K21" i="17"/>
  <c r="K54" i="17" s="1"/>
  <c r="J21" i="17"/>
  <c r="J54" i="17" s="1"/>
  <c r="I21" i="17"/>
  <c r="I54" i="17" s="1"/>
  <c r="H21" i="17"/>
  <c r="H54" i="17" s="1"/>
  <c r="G21" i="17"/>
  <c r="G54" i="17" s="1"/>
  <c r="F21" i="17"/>
  <c r="F54" i="17" s="1"/>
  <c r="E21" i="17"/>
  <c r="E54" i="17" s="1"/>
  <c r="D21" i="17"/>
  <c r="D54" i="17" s="1"/>
  <c r="C21" i="17"/>
  <c r="C54" i="17" s="1"/>
  <c r="B21" i="17"/>
  <c r="B54" i="17" s="1"/>
  <c r="D31" i="33" l="1"/>
  <c r="S42" i="33"/>
  <c r="K27" i="26"/>
  <c r="K26" i="29" s="1"/>
  <c r="L46" i="33"/>
  <c r="M31" i="33"/>
  <c r="R12" i="33"/>
  <c r="O9" i="33"/>
  <c r="B36" i="33" s="1"/>
  <c r="L36" i="33" s="1"/>
  <c r="O11" i="33"/>
  <c r="B38" i="33" s="1"/>
  <c r="P38" i="33" s="1"/>
  <c r="G27" i="26"/>
  <c r="G26" i="29" s="1"/>
  <c r="E27" i="26"/>
  <c r="E26" i="29" s="1"/>
  <c r="C27" i="26"/>
  <c r="C26" i="29" s="1"/>
  <c r="M27" i="24"/>
  <c r="Q25" i="12"/>
  <c r="F46" i="33"/>
  <c r="F44" i="12"/>
  <c r="C85" i="24"/>
  <c r="E85" i="24" s="1"/>
  <c r="C84" i="24"/>
  <c r="E84" i="24" s="1"/>
  <c r="Q26" i="12"/>
  <c r="Q36" i="33"/>
  <c r="P36" i="33"/>
  <c r="K36" i="33"/>
  <c r="I36" i="33"/>
  <c r="G32" i="33"/>
  <c r="M32" i="33"/>
  <c r="H32" i="33"/>
  <c r="N38" i="33"/>
  <c r="T38" i="33"/>
  <c r="K38" i="33"/>
  <c r="O38" i="33"/>
  <c r="S38" i="33"/>
  <c r="N40" i="33"/>
  <c r="S40" i="33"/>
  <c r="T40" i="33"/>
  <c r="U40" i="33"/>
  <c r="O40" i="33"/>
  <c r="I51" i="33"/>
  <c r="J51" i="33"/>
  <c r="N51" i="33"/>
  <c r="H51" i="33"/>
  <c r="N41" i="33"/>
  <c r="P41" i="33"/>
  <c r="T41" i="33"/>
  <c r="U41" i="33"/>
  <c r="O41" i="33"/>
  <c r="V41" i="33"/>
  <c r="R41" i="33"/>
  <c r="W41" i="33"/>
  <c r="L30" i="33"/>
  <c r="J30" i="33"/>
  <c r="D30" i="33"/>
  <c r="D43" i="33" s="1"/>
  <c r="D56" i="33" s="1"/>
  <c r="B62" i="33" s="1"/>
  <c r="E62" i="33" s="1"/>
  <c r="K46" i="33"/>
  <c r="I46" i="33"/>
  <c r="H31" i="33"/>
  <c r="K31" i="33"/>
  <c r="N45" i="12"/>
  <c r="O45" i="12" s="1"/>
  <c r="Q21" i="12"/>
  <c r="C2" i="28"/>
  <c r="C3" i="28" s="1"/>
  <c r="H41" i="26" s="1"/>
  <c r="H30" i="33"/>
  <c r="G46" i="33"/>
  <c r="D46" i="33"/>
  <c r="L31" i="33"/>
  <c r="J31" i="33"/>
  <c r="I31" i="33"/>
  <c r="E46" i="33"/>
  <c r="G31" i="33"/>
  <c r="E31" i="33"/>
  <c r="R42" i="33"/>
  <c r="H31" i="12"/>
  <c r="J27" i="26"/>
  <c r="J26" i="29" s="1"/>
  <c r="H27" i="26"/>
  <c r="H26" i="29" s="1"/>
  <c r="O25" i="20"/>
  <c r="O27" i="20"/>
  <c r="B76" i="33"/>
  <c r="I47" i="33"/>
  <c r="L47" i="33"/>
  <c r="K47" i="33"/>
  <c r="G47" i="33"/>
  <c r="M47" i="33"/>
  <c r="H47" i="33"/>
  <c r="J47" i="33"/>
  <c r="D47" i="33"/>
  <c r="D53" i="33" s="1"/>
  <c r="L57" i="33" s="1"/>
  <c r="B77" i="33" s="1"/>
  <c r="F47" i="33"/>
  <c r="K37" i="33"/>
  <c r="P37" i="33"/>
  <c r="R37" i="33"/>
  <c r="M37" i="33"/>
  <c r="N37" i="33"/>
  <c r="S37" i="33"/>
  <c r="J37" i="33"/>
  <c r="Q37" i="33"/>
  <c r="O37" i="33"/>
  <c r="L37" i="33"/>
  <c r="E47" i="33"/>
  <c r="L51" i="33"/>
  <c r="E30" i="33"/>
  <c r="G30" i="33"/>
  <c r="F30" i="33"/>
  <c r="P40" i="33"/>
  <c r="V40" i="33"/>
  <c r="V43" i="33" s="1"/>
  <c r="Q40" i="33"/>
  <c r="F49" i="33"/>
  <c r="N49" i="33"/>
  <c r="M49" i="33"/>
  <c r="O49" i="33"/>
  <c r="I49" i="33"/>
  <c r="K49" i="33"/>
  <c r="M51" i="33"/>
  <c r="O51" i="33"/>
  <c r="K51" i="33"/>
  <c r="P51" i="33"/>
  <c r="N36" i="33"/>
  <c r="J36" i="33"/>
  <c r="R36" i="33"/>
  <c r="M36" i="33"/>
  <c r="O36" i="33"/>
  <c r="M40" i="33"/>
  <c r="H49" i="33"/>
  <c r="R40" i="33"/>
  <c r="Q51" i="33"/>
  <c r="J49" i="33"/>
  <c r="G49" i="33"/>
  <c r="L49" i="33"/>
  <c r="J46" i="33"/>
  <c r="H46" i="33"/>
  <c r="W42" i="33"/>
  <c r="W43" i="33" s="1"/>
  <c r="Q42" i="33"/>
  <c r="K32" i="33"/>
  <c r="I32" i="33"/>
  <c r="J32" i="33"/>
  <c r="N32" i="33"/>
  <c r="E32" i="33"/>
  <c r="F32" i="33"/>
  <c r="O23" i="20"/>
  <c r="D51" i="94"/>
  <c r="M38" i="33"/>
  <c r="R38" i="33"/>
  <c r="L38" i="33"/>
  <c r="C52" i="94"/>
  <c r="D52" i="94" s="1"/>
  <c r="B53" i="94"/>
  <c r="C36" i="91"/>
  <c r="B37" i="91"/>
  <c r="C34" i="90"/>
  <c r="B35" i="90"/>
  <c r="C35" i="87"/>
  <c r="B36" i="87"/>
  <c r="B22" i="88"/>
  <c r="C22" i="88" s="1"/>
  <c r="B23" i="88" s="1"/>
  <c r="C23" i="88" s="1"/>
  <c r="B24" i="88" s="1"/>
  <c r="C24" i="88" s="1"/>
  <c r="B25" i="88" s="1"/>
  <c r="C25" i="88" s="1"/>
  <c r="B26" i="88" s="1"/>
  <c r="C26" i="88" s="1"/>
  <c r="B27" i="88" s="1"/>
  <c r="C27" i="88" s="1"/>
  <c r="B28" i="88" s="1"/>
  <c r="C28" i="88" s="1"/>
  <c r="B29" i="88" s="1"/>
  <c r="C29" i="88" s="1"/>
  <c r="B30" i="88" s="1"/>
  <c r="C30" i="88" s="1"/>
  <c r="D21" i="88"/>
  <c r="D27" i="88"/>
  <c r="D25" i="88"/>
  <c r="P20" i="12"/>
  <c r="P22" i="18"/>
  <c r="B26" i="112"/>
  <c r="C26" i="112" s="1"/>
  <c r="D25" i="112"/>
  <c r="P42" i="33"/>
  <c r="D52" i="90"/>
  <c r="B24" i="100"/>
  <c r="C24" i="100" s="1"/>
  <c r="D23" i="100"/>
  <c r="D36" i="91"/>
  <c r="D35" i="91"/>
  <c r="D35" i="96"/>
  <c r="D34" i="96"/>
  <c r="B23" i="106"/>
  <c r="C23" i="106" s="1"/>
  <c r="B24" i="106" s="1"/>
  <c r="C24" i="106" s="1"/>
  <c r="B25" i="106" s="1"/>
  <c r="C25" i="106" s="1"/>
  <c r="B26" i="106" s="1"/>
  <c r="C26" i="106" s="1"/>
  <c r="B27" i="106" s="1"/>
  <c r="C27" i="106" s="1"/>
  <c r="B28" i="106" s="1"/>
  <c r="C28" i="106" s="1"/>
  <c r="B29" i="106" s="1"/>
  <c r="C29" i="106" s="1"/>
  <c r="B30" i="106" s="1"/>
  <c r="C30" i="106" s="1"/>
  <c r="D24" i="106"/>
  <c r="D22" i="106"/>
  <c r="B22" i="94"/>
  <c r="C22" i="94" s="1"/>
  <c r="D21" i="94"/>
  <c r="Q38" i="33"/>
  <c r="T42" i="33"/>
  <c r="L32" i="33"/>
  <c r="S41" i="33"/>
  <c r="Q41" i="33"/>
  <c r="B36" i="89"/>
  <c r="C35" i="89"/>
  <c r="D21" i="109"/>
  <c r="D22" i="109"/>
  <c r="B22" i="109"/>
  <c r="C22" i="109" s="1"/>
  <c r="C46" i="110"/>
  <c r="B47" i="110"/>
  <c r="C47" i="110" s="1"/>
  <c r="D47" i="110" s="1"/>
  <c r="D48" i="92"/>
  <c r="R9" i="33"/>
  <c r="B52" i="33" s="1"/>
  <c r="R5" i="33"/>
  <c r="R7" i="33"/>
  <c r="B50" i="33" s="1"/>
  <c r="O7" i="33"/>
  <c r="B34" i="33" s="1"/>
  <c r="C53" i="90"/>
  <c r="D53" i="90" s="1"/>
  <c r="B54" i="90"/>
  <c r="C54" i="90" s="1"/>
  <c r="C53" i="92"/>
  <c r="B54" i="92"/>
  <c r="C54" i="92" s="1"/>
  <c r="D21" i="99"/>
  <c r="B22" i="99"/>
  <c r="C22" i="99" s="1"/>
  <c r="O18" i="33"/>
  <c r="O12" i="33"/>
  <c r="B39" i="33" s="1"/>
  <c r="O16" i="33"/>
  <c r="O8" i="33"/>
  <c r="B35" i="33" s="1"/>
  <c r="O6" i="33"/>
  <c r="C52" i="92"/>
  <c r="B37" i="99"/>
  <c r="C36" i="99"/>
  <c r="B35" i="93"/>
  <c r="C34" i="93"/>
  <c r="C36" i="106"/>
  <c r="B37" i="106"/>
  <c r="C46" i="100"/>
  <c r="B47" i="100"/>
  <c r="B35" i="102"/>
  <c r="C34" i="102"/>
  <c r="D34" i="102" s="1"/>
  <c r="C46" i="103"/>
  <c r="B47" i="103"/>
  <c r="B22" i="105"/>
  <c r="C22" i="105" s="1"/>
  <c r="B23" i="105" s="1"/>
  <c r="C23" i="105" s="1"/>
  <c r="B24" i="105" s="1"/>
  <c r="C24" i="105" s="1"/>
  <c r="B25" i="105" s="1"/>
  <c r="C25" i="105" s="1"/>
  <c r="B26" i="105" s="1"/>
  <c r="C26" i="105" s="1"/>
  <c r="B27" i="105" s="1"/>
  <c r="C27" i="105" s="1"/>
  <c r="B28" i="105" s="1"/>
  <c r="C28" i="105" s="1"/>
  <c r="B29" i="105" s="1"/>
  <c r="C29" i="105" s="1"/>
  <c r="B30" i="105" s="1"/>
  <c r="C30" i="105" s="1"/>
  <c r="D21" i="105"/>
  <c r="B47" i="106"/>
  <c r="C47" i="106" s="1"/>
  <c r="C46" i="106"/>
  <c r="B49" i="109"/>
  <c r="C48" i="109"/>
  <c r="C35" i="108"/>
  <c r="B36" i="108"/>
  <c r="B23" i="93"/>
  <c r="C23" i="93" s="1"/>
  <c r="B24" i="93" s="1"/>
  <c r="C24" i="93" s="1"/>
  <c r="B25" i="93" s="1"/>
  <c r="C25" i="93" s="1"/>
  <c r="B26" i="93" s="1"/>
  <c r="C26" i="93" s="1"/>
  <c r="B27" i="93" s="1"/>
  <c r="C27" i="93" s="1"/>
  <c r="B28" i="93" s="1"/>
  <c r="C28" i="93" s="1"/>
  <c r="B29" i="93" s="1"/>
  <c r="C29" i="93" s="1"/>
  <c r="B30" i="93" s="1"/>
  <c r="C30" i="93" s="1"/>
  <c r="B49" i="87"/>
  <c r="C48" i="87"/>
  <c r="D51" i="90"/>
  <c r="B35" i="92"/>
  <c r="C34" i="94"/>
  <c r="B35" i="94"/>
  <c r="D22" i="112"/>
  <c r="C47" i="101"/>
  <c r="C34" i="101"/>
  <c r="B35" i="101"/>
  <c r="D34" i="110"/>
  <c r="D45" i="112"/>
  <c r="C35" i="88"/>
  <c r="B36" i="88"/>
  <c r="D22" i="93"/>
  <c r="C49" i="93"/>
  <c r="B50" i="93"/>
  <c r="B37" i="112"/>
  <c r="C36" i="112"/>
  <c r="D37" i="112" s="1"/>
  <c r="B37" i="111"/>
  <c r="C36" i="111"/>
  <c r="B23" i="108"/>
  <c r="C23" i="108" s="1"/>
  <c r="D22" i="108"/>
  <c r="B22" i="111"/>
  <c r="C22" i="111" s="1"/>
  <c r="D21" i="111"/>
  <c r="B47" i="112"/>
  <c r="C46" i="112"/>
  <c r="B22" i="92"/>
  <c r="C22" i="92" s="1"/>
  <c r="D22" i="92" s="1"/>
  <c r="D21" i="92"/>
  <c r="B47" i="96"/>
  <c r="C46" i="96"/>
  <c r="C3" i="24"/>
  <c r="E3" i="24"/>
  <c r="G3" i="24"/>
  <c r="I3" i="24"/>
  <c r="K3" i="24"/>
  <c r="J3" i="24"/>
  <c r="H3" i="24"/>
  <c r="F3" i="24"/>
  <c r="D3" i="24"/>
  <c r="B3" i="24"/>
  <c r="C76" i="24"/>
  <c r="C73" i="24"/>
  <c r="C78" i="24"/>
  <c r="C80" i="24"/>
  <c r="C81" i="24"/>
  <c r="C77" i="24"/>
  <c r="C82" i="24"/>
  <c r="C83" i="24"/>
  <c r="C74" i="24"/>
  <c r="C75" i="24"/>
  <c r="C79" i="24"/>
  <c r="AE32" i="97"/>
  <c r="D29" i="93"/>
  <c r="C36" i="100"/>
  <c r="B37" i="100"/>
  <c r="C47" i="109"/>
  <c r="D34" i="103"/>
  <c r="D34" i="88"/>
  <c r="D33" i="88"/>
  <c r="D35" i="88"/>
  <c r="D48" i="93"/>
  <c r="D46" i="93"/>
  <c r="D50" i="90"/>
  <c r="B48" i="89"/>
  <c r="C47" i="89"/>
  <c r="B35" i="80"/>
  <c r="C34" i="80"/>
  <c r="D23" i="89"/>
  <c r="B23" i="89"/>
  <c r="C23" i="89" s="1"/>
  <c r="D22" i="89"/>
  <c r="B35" i="103"/>
  <c r="C34" i="103"/>
  <c r="C46" i="104"/>
  <c r="B47" i="104"/>
  <c r="B48" i="104" s="1"/>
  <c r="B23" i="110"/>
  <c r="C23" i="110" s="1"/>
  <c r="D22" i="110"/>
  <c r="B47" i="108"/>
  <c r="C46" i="108"/>
  <c r="C48" i="91"/>
  <c r="B49" i="91"/>
  <c r="D46" i="88"/>
  <c r="D47" i="88"/>
  <c r="C17" i="24"/>
  <c r="E17" i="24"/>
  <c r="G17" i="24"/>
  <c r="I17" i="24"/>
  <c r="K17" i="24"/>
  <c r="B17" i="24"/>
  <c r="D17" i="24"/>
  <c r="F17" i="24"/>
  <c r="H17" i="24"/>
  <c r="J17" i="24"/>
  <c r="D24" i="100"/>
  <c r="B51" i="80"/>
  <c r="B36" i="96"/>
  <c r="D45" i="89"/>
  <c r="D46" i="89"/>
  <c r="D34" i="112"/>
  <c r="D48" i="91"/>
  <c r="D47" i="80"/>
  <c r="D46" i="80"/>
  <c r="D27" i="93"/>
  <c r="B51" i="111"/>
  <c r="C50" i="111"/>
  <c r="D35" i="89"/>
  <c r="B23" i="103"/>
  <c r="C23" i="103" s="1"/>
  <c r="D22" i="103"/>
  <c r="D48" i="111"/>
  <c r="D49" i="111"/>
  <c r="D45" i="106"/>
  <c r="D46" i="106"/>
  <c r="B36" i="109"/>
  <c r="C35" i="109"/>
  <c r="D46" i="110"/>
  <c r="B22" i="96"/>
  <c r="C22" i="96" s="1"/>
  <c r="D21" i="96"/>
  <c r="B22" i="90"/>
  <c r="C22" i="90" s="1"/>
  <c r="C48" i="88"/>
  <c r="B49" i="88"/>
  <c r="D48" i="90"/>
  <c r="D49" i="90"/>
  <c r="C16" i="24"/>
  <c r="K16" i="24"/>
  <c r="F16" i="24"/>
  <c r="B16" i="24"/>
  <c r="J16" i="24"/>
  <c r="E16" i="24"/>
  <c r="H16" i="24"/>
  <c r="I16" i="24"/>
  <c r="D16" i="24"/>
  <c r="G16" i="24"/>
  <c r="C46" i="80"/>
  <c r="D46" i="92"/>
  <c r="D23" i="93"/>
  <c r="B47" i="99"/>
  <c r="D46" i="102"/>
  <c r="B27" i="26"/>
  <c r="C34" i="109"/>
  <c r="B22" i="91"/>
  <c r="C22" i="91" s="1"/>
  <c r="C47" i="92"/>
  <c r="D49" i="92" s="1"/>
  <c r="D47" i="91"/>
  <c r="D46" i="104"/>
  <c r="D48" i="94"/>
  <c r="D47" i="90"/>
  <c r="D47" i="87"/>
  <c r="H54" i="14"/>
  <c r="C72" i="24"/>
  <c r="I21" i="14"/>
  <c r="J21" i="14"/>
  <c r="K21" i="14"/>
  <c r="D54" i="14"/>
  <c r="E21" i="14"/>
  <c r="F21" i="14"/>
  <c r="G21" i="14"/>
  <c r="C54" i="14"/>
  <c r="P26" i="12"/>
  <c r="O16" i="12"/>
  <c r="O17" i="12"/>
  <c r="P19" i="12"/>
  <c r="Q29" i="12"/>
  <c r="P18" i="12"/>
  <c r="Q28" i="12"/>
  <c r="B21" i="14"/>
  <c r="N15" i="12"/>
  <c r="P14" i="12"/>
  <c r="Q24" i="12"/>
  <c r="P48" i="91"/>
  <c r="R47" i="91"/>
  <c r="R35" i="105"/>
  <c r="P36" i="105"/>
  <c r="P25" i="12"/>
  <c r="B22" i="80"/>
  <c r="C22" i="80" s="1"/>
  <c r="R36" i="103"/>
  <c r="R35" i="100"/>
  <c r="P36" i="100"/>
  <c r="Q36" i="100" s="1"/>
  <c r="P48" i="105"/>
  <c r="R48" i="105"/>
  <c r="R47" i="105"/>
  <c r="R47" i="112"/>
  <c r="P24" i="91"/>
  <c r="Q24" i="91" s="1"/>
  <c r="R23" i="91"/>
  <c r="R36" i="93"/>
  <c r="P48" i="92"/>
  <c r="R48" i="92"/>
  <c r="R47" i="92"/>
  <c r="R35" i="101"/>
  <c r="P48" i="106"/>
  <c r="R47" i="106"/>
  <c r="P36" i="87"/>
  <c r="R35" i="87"/>
  <c r="P48" i="101"/>
  <c r="R47" i="101"/>
  <c r="R35" i="99"/>
  <c r="R49" i="103"/>
  <c r="Q27" i="12"/>
  <c r="R48" i="88"/>
  <c r="R36" i="102"/>
  <c r="R35" i="102"/>
  <c r="P36" i="102"/>
  <c r="Q36" i="102" s="1"/>
  <c r="R35" i="90"/>
  <c r="R35" i="94"/>
  <c r="P48" i="107"/>
  <c r="Q48" i="107" s="1"/>
  <c r="R47" i="107"/>
  <c r="R47" i="90"/>
  <c r="R48" i="90"/>
  <c r="P48" i="94"/>
  <c r="R47" i="94"/>
  <c r="R35" i="108"/>
  <c r="R37" i="103"/>
  <c r="D22" i="80"/>
  <c r="P48" i="90"/>
  <c r="P48" i="96"/>
  <c r="R47" i="96"/>
  <c r="P48" i="87"/>
  <c r="R47" i="87"/>
  <c r="R47" i="93"/>
  <c r="R47" i="108"/>
  <c r="P48" i="102"/>
  <c r="Q48" i="102" s="1"/>
  <c r="R47" i="102"/>
  <c r="P36" i="107"/>
  <c r="R35" i="107"/>
  <c r="R37" i="112"/>
  <c r="R48" i="80"/>
  <c r="P36" i="92"/>
  <c r="R35" i="92"/>
  <c r="P48" i="89"/>
  <c r="Q48" i="89" s="1"/>
  <c r="R47" i="89"/>
  <c r="P48" i="104"/>
  <c r="R47" i="104"/>
  <c r="R49" i="80"/>
  <c r="Q48" i="112"/>
  <c r="P49" i="112" s="1"/>
  <c r="P37" i="112"/>
  <c r="Q37" i="112" s="1"/>
  <c r="Q48" i="111"/>
  <c r="Q36" i="111"/>
  <c r="Q48" i="109"/>
  <c r="Q48" i="108"/>
  <c r="P49" i="108" s="1"/>
  <c r="P36" i="108"/>
  <c r="Q36" i="107"/>
  <c r="Q48" i="99"/>
  <c r="P36" i="99"/>
  <c r="Q48" i="106"/>
  <c r="P49" i="106" s="1"/>
  <c r="Q36" i="106"/>
  <c r="Q48" i="105"/>
  <c r="P49" i="105" s="1"/>
  <c r="Q36" i="105"/>
  <c r="R36" i="105" s="1"/>
  <c r="Q48" i="104"/>
  <c r="P49" i="104" s="1"/>
  <c r="Q48" i="101"/>
  <c r="P49" i="101" s="1"/>
  <c r="P36" i="101"/>
  <c r="Q48" i="96"/>
  <c r="P49" i="96" s="1"/>
  <c r="Q48" i="94"/>
  <c r="P49" i="94" s="1"/>
  <c r="P36" i="94"/>
  <c r="Q48" i="93"/>
  <c r="P49" i="93" s="1"/>
  <c r="Q48" i="92"/>
  <c r="P49" i="92" s="1"/>
  <c r="Q36" i="92"/>
  <c r="R36" i="92" s="1"/>
  <c r="Q48" i="91"/>
  <c r="P49" i="91" s="1"/>
  <c r="Q36" i="91"/>
  <c r="Q48" i="90"/>
  <c r="P36" i="90"/>
  <c r="Q48" i="87"/>
  <c r="P49" i="87" s="1"/>
  <c r="Q36" i="87"/>
  <c r="P49" i="110"/>
  <c r="Q49" i="110" s="1"/>
  <c r="P49" i="103"/>
  <c r="Q49" i="103" s="1"/>
  <c r="P49" i="100"/>
  <c r="Q49" i="100" s="1"/>
  <c r="P49" i="88"/>
  <c r="P37" i="110"/>
  <c r="Q37" i="110" s="1"/>
  <c r="R37" i="110" s="1"/>
  <c r="P37" i="109"/>
  <c r="Q37" i="109" s="1"/>
  <c r="P37" i="104"/>
  <c r="Q37" i="104" s="1"/>
  <c r="R37" i="104" s="1"/>
  <c r="P37" i="103"/>
  <c r="Q37" i="103" s="1"/>
  <c r="P37" i="102"/>
  <c r="Q37" i="102" s="1"/>
  <c r="P37" i="89"/>
  <c r="Q37" i="89" s="1"/>
  <c r="P37" i="96"/>
  <c r="Q37" i="96" s="1"/>
  <c r="R37" i="96" s="1"/>
  <c r="P37" i="93"/>
  <c r="Q37" i="93" s="1"/>
  <c r="P37" i="88"/>
  <c r="Q37" i="88" s="1"/>
  <c r="P49" i="80"/>
  <c r="Q49" i="80" s="1"/>
  <c r="P37" i="80"/>
  <c r="Q37" i="80"/>
  <c r="R23" i="112"/>
  <c r="P24" i="112"/>
  <c r="Q24" i="112" s="1"/>
  <c r="R23" i="111"/>
  <c r="P24" i="111"/>
  <c r="R23" i="110"/>
  <c r="P24" i="110"/>
  <c r="Q24" i="109"/>
  <c r="R24" i="109" s="1"/>
  <c r="P25" i="108"/>
  <c r="Q24" i="108"/>
  <c r="R24" i="108" s="1"/>
  <c r="R23" i="108"/>
  <c r="R27" i="99"/>
  <c r="R25" i="99"/>
  <c r="R29" i="99"/>
  <c r="R30" i="99"/>
  <c r="R28" i="99"/>
  <c r="R26" i="99"/>
  <c r="R24" i="99"/>
  <c r="C37" i="112"/>
  <c r="B38" i="112"/>
  <c r="D36" i="112"/>
  <c r="D35" i="112"/>
  <c r="D36" i="111"/>
  <c r="D35" i="111"/>
  <c r="B37" i="110"/>
  <c r="C36" i="110"/>
  <c r="C35" i="110"/>
  <c r="D45" i="110"/>
  <c r="D35" i="100"/>
  <c r="L29" i="95" s="1"/>
  <c r="D34" i="100"/>
  <c r="L28" i="95" s="1"/>
  <c r="D36" i="100"/>
  <c r="L30" i="95" s="1"/>
  <c r="C49" i="101"/>
  <c r="B50" i="101"/>
  <c r="D34" i="101"/>
  <c r="C48" i="101"/>
  <c r="B22" i="101"/>
  <c r="C22" i="101" s="1"/>
  <c r="D49" i="101"/>
  <c r="D47" i="101"/>
  <c r="D22" i="101"/>
  <c r="C35" i="102"/>
  <c r="D35" i="102" s="1"/>
  <c r="B36" i="102"/>
  <c r="B49" i="102"/>
  <c r="C48" i="102"/>
  <c r="D45" i="102"/>
  <c r="B22" i="102"/>
  <c r="C22" i="102" s="1"/>
  <c r="D22" i="102" s="1"/>
  <c r="D48" i="102"/>
  <c r="D47" i="102"/>
  <c r="C35" i="103"/>
  <c r="B36" i="103"/>
  <c r="B49" i="104"/>
  <c r="C48" i="104"/>
  <c r="C35" i="104"/>
  <c r="B36" i="104"/>
  <c r="B23" i="104"/>
  <c r="C23" i="104" s="1"/>
  <c r="B24" i="104" s="1"/>
  <c r="C24" i="104" s="1"/>
  <c r="B25" i="104" s="1"/>
  <c r="C25" i="104" s="1"/>
  <c r="B26" i="104" s="1"/>
  <c r="C26" i="104" s="1"/>
  <c r="B27" i="104" s="1"/>
  <c r="C27" i="104" s="1"/>
  <c r="B28" i="104" s="1"/>
  <c r="C28" i="104" s="1"/>
  <c r="B29" i="104" s="1"/>
  <c r="C29" i="104" s="1"/>
  <c r="B30" i="104" s="1"/>
  <c r="C30" i="104" s="1"/>
  <c r="D22" i="104"/>
  <c r="C47" i="104"/>
  <c r="C34" i="104"/>
  <c r="B49" i="105"/>
  <c r="C48" i="105"/>
  <c r="D46" i="105"/>
  <c r="C35" i="105"/>
  <c r="B36" i="105"/>
  <c r="D28" i="105"/>
  <c r="D27" i="105"/>
  <c r="D26" i="105"/>
  <c r="C47" i="105"/>
  <c r="D47" i="105" s="1"/>
  <c r="D33" i="105"/>
  <c r="C34" i="105"/>
  <c r="D30" i="105"/>
  <c r="D29" i="105"/>
  <c r="D25" i="105"/>
  <c r="D24" i="105"/>
  <c r="D23" i="105"/>
  <c r="D22" i="105"/>
  <c r="B48" i="106"/>
  <c r="D34" i="106"/>
  <c r="D35" i="106"/>
  <c r="D36" i="106"/>
  <c r="C36" i="109"/>
  <c r="B37" i="109"/>
  <c r="B24" i="107"/>
  <c r="C24" i="107" s="1"/>
  <c r="B25" i="107" s="1"/>
  <c r="C25" i="107" s="1"/>
  <c r="B26" i="107" s="1"/>
  <c r="C26" i="107" s="1"/>
  <c r="B27" i="107" s="1"/>
  <c r="C27" i="107" s="1"/>
  <c r="B28" i="107" s="1"/>
  <c r="C28" i="107" s="1"/>
  <c r="B29" i="107" s="1"/>
  <c r="C29" i="107" s="1"/>
  <c r="B30" i="107" s="1"/>
  <c r="C30" i="107" s="1"/>
  <c r="B48" i="107"/>
  <c r="C47" i="107"/>
  <c r="B35" i="107"/>
  <c r="C46" i="107"/>
  <c r="D34" i="107"/>
  <c r="D23" i="107"/>
  <c r="B23" i="99"/>
  <c r="C23" i="99" s="1"/>
  <c r="B24" i="99" s="1"/>
  <c r="C24" i="99" s="1"/>
  <c r="B25" i="99" s="1"/>
  <c r="C25" i="99" s="1"/>
  <c r="B26" i="99" s="1"/>
  <c r="C26" i="99" s="1"/>
  <c r="B27" i="99" s="1"/>
  <c r="C27" i="99" s="1"/>
  <c r="B28" i="99" s="1"/>
  <c r="C28" i="99" s="1"/>
  <c r="B29" i="99" s="1"/>
  <c r="C29" i="99" s="1"/>
  <c r="B30" i="99" s="1"/>
  <c r="C30" i="99" s="1"/>
  <c r="D22" i="99"/>
  <c r="D29" i="99"/>
  <c r="D46" i="99"/>
  <c r="D35" i="99"/>
  <c r="D34" i="99"/>
  <c r="D36" i="99"/>
  <c r="P24" i="106"/>
  <c r="Q24" i="104"/>
  <c r="R24" i="104" s="1"/>
  <c r="R24" i="103"/>
  <c r="Q24" i="101"/>
  <c r="P25" i="101" s="1"/>
  <c r="R24" i="101"/>
  <c r="P25" i="100"/>
  <c r="Q25" i="100" s="1"/>
  <c r="R24" i="96"/>
  <c r="P25" i="96"/>
  <c r="P24" i="93"/>
  <c r="Q24" i="92"/>
  <c r="R24" i="92" s="1"/>
  <c r="Q24" i="90"/>
  <c r="P25" i="88"/>
  <c r="Q25" i="88" s="1"/>
  <c r="P25" i="109"/>
  <c r="P25" i="107"/>
  <c r="Q25" i="107" s="1"/>
  <c r="P25" i="105"/>
  <c r="Q25" i="105" s="1"/>
  <c r="R24" i="105"/>
  <c r="P25" i="104"/>
  <c r="Q25" i="104" s="1"/>
  <c r="P25" i="103"/>
  <c r="Q25" i="103" s="1"/>
  <c r="R24" i="100"/>
  <c r="R24" i="89"/>
  <c r="P25" i="89"/>
  <c r="Q25" i="89" s="1"/>
  <c r="R25" i="89" s="1"/>
  <c r="P25" i="94"/>
  <c r="R24" i="94"/>
  <c r="R24" i="87"/>
  <c r="Q25" i="87"/>
  <c r="D23" i="87"/>
  <c r="B24" i="87"/>
  <c r="C24" i="87" s="1"/>
  <c r="B25" i="87" s="1"/>
  <c r="C25" i="87" s="1"/>
  <c r="B26" i="87" s="1"/>
  <c r="C26" i="87" s="1"/>
  <c r="B27" i="87" s="1"/>
  <c r="C27" i="87" s="1"/>
  <c r="B28" i="87" s="1"/>
  <c r="C28" i="87" s="1"/>
  <c r="B29" i="87" s="1"/>
  <c r="C29" i="87" s="1"/>
  <c r="B30" i="87" s="1"/>
  <c r="C30" i="87" s="1"/>
  <c r="H61" i="33"/>
  <c r="C61" i="33"/>
  <c r="C73" i="33" s="1"/>
  <c r="C85" i="33" s="1"/>
  <c r="B91" i="33" s="1"/>
  <c r="G61" i="33"/>
  <c r="J61" i="33"/>
  <c r="K61" i="33"/>
  <c r="L61" i="33"/>
  <c r="D61" i="33"/>
  <c r="I61" i="33"/>
  <c r="F61" i="33"/>
  <c r="E61" i="33"/>
  <c r="D62" i="33" l="1"/>
  <c r="D73" i="33" s="1"/>
  <c r="D85" i="33" s="1"/>
  <c r="B92" i="33" s="1"/>
  <c r="L62" i="33"/>
  <c r="K62" i="33"/>
  <c r="G62" i="33"/>
  <c r="F62" i="33"/>
  <c r="M62" i="33"/>
  <c r="J62" i="33"/>
  <c r="I62" i="33"/>
  <c r="H62" i="33"/>
  <c r="C46" i="29"/>
  <c r="H43" i="26"/>
  <c r="T23" i="33"/>
  <c r="W56" i="33" s="1"/>
  <c r="V85" i="33" s="1"/>
  <c r="U113" i="33" s="1"/>
  <c r="E118" i="33" s="1"/>
  <c r="P49" i="107"/>
  <c r="Q49" i="107" s="1"/>
  <c r="R48" i="107"/>
  <c r="P49" i="102"/>
  <c r="R48" i="102"/>
  <c r="R36" i="100"/>
  <c r="P49" i="89"/>
  <c r="R48" i="89"/>
  <c r="R37" i="80"/>
  <c r="R48" i="109"/>
  <c r="R36" i="107"/>
  <c r="R48" i="96"/>
  <c r="B23" i="91"/>
  <c r="C23" i="91" s="1"/>
  <c r="B24" i="91" s="1"/>
  <c r="C24" i="91" s="1"/>
  <c r="B25" i="91" s="1"/>
  <c r="C25" i="91" s="1"/>
  <c r="B26" i="91" s="1"/>
  <c r="C26" i="91" s="1"/>
  <c r="B27" i="91" s="1"/>
  <c r="C27" i="91" s="1"/>
  <c r="B28" i="91" s="1"/>
  <c r="C28" i="91" s="1"/>
  <c r="B29" i="91" s="1"/>
  <c r="C29" i="91" s="1"/>
  <c r="B30" i="91" s="1"/>
  <c r="C30" i="91" s="1"/>
  <c r="D23" i="91"/>
  <c r="D29" i="91"/>
  <c r="D27" i="91"/>
  <c r="D30" i="91"/>
  <c r="C49" i="91"/>
  <c r="B50" i="91"/>
  <c r="D34" i="80"/>
  <c r="D35" i="80"/>
  <c r="E43" i="33"/>
  <c r="E56" i="33" s="1"/>
  <c r="D30" i="99"/>
  <c r="D24" i="107"/>
  <c r="D28" i="104"/>
  <c r="D46" i="100"/>
  <c r="R49" i="100"/>
  <c r="P49" i="90"/>
  <c r="P49" i="109"/>
  <c r="R37" i="92"/>
  <c r="R37" i="102"/>
  <c r="R49" i="106"/>
  <c r="D25" i="80"/>
  <c r="D24" i="80"/>
  <c r="B23" i="80"/>
  <c r="C23" i="80" s="1"/>
  <c r="B24" i="80" s="1"/>
  <c r="C24" i="80" s="1"/>
  <c r="B25" i="80" s="1"/>
  <c r="C25" i="80" s="1"/>
  <c r="B26" i="80" s="1"/>
  <c r="C26" i="80" s="1"/>
  <c r="B27" i="80" s="1"/>
  <c r="C27" i="80" s="1"/>
  <c r="B28" i="80" s="1"/>
  <c r="C28" i="80" s="1"/>
  <c r="B29" i="80" s="1"/>
  <c r="C29" i="80" s="1"/>
  <c r="B30" i="80" s="1"/>
  <c r="C30" i="80" s="1"/>
  <c r="D30" i="80"/>
  <c r="D28" i="80"/>
  <c r="D27" i="80"/>
  <c r="D26" i="80"/>
  <c r="D29" i="80"/>
  <c r="Q31" i="12"/>
  <c r="N17" i="12"/>
  <c r="O27" i="12"/>
  <c r="D24" i="93"/>
  <c r="D50" i="80"/>
  <c r="D48" i="80"/>
  <c r="D49" i="80"/>
  <c r="D22" i="96"/>
  <c r="D54" i="90"/>
  <c r="C36" i="96"/>
  <c r="B37" i="96"/>
  <c r="D49" i="91"/>
  <c r="B36" i="80"/>
  <c r="C35" i="80"/>
  <c r="C12" i="24"/>
  <c r="K12" i="24"/>
  <c r="F12" i="24"/>
  <c r="B12" i="24"/>
  <c r="J12" i="24"/>
  <c r="E12" i="24"/>
  <c r="H12" i="24"/>
  <c r="I12" i="24"/>
  <c r="D12" i="24"/>
  <c r="G12" i="24"/>
  <c r="E80" i="24"/>
  <c r="C37" i="106"/>
  <c r="B38" i="106"/>
  <c r="B33" i="33"/>
  <c r="O23" i="33"/>
  <c r="D53" i="92"/>
  <c r="D26" i="106"/>
  <c r="D29" i="88"/>
  <c r="B36" i="90"/>
  <c r="C35" i="90"/>
  <c r="P37" i="111"/>
  <c r="Q37" i="111" s="1"/>
  <c r="R36" i="111"/>
  <c r="R49" i="110"/>
  <c r="B50" i="88"/>
  <c r="C49" i="88"/>
  <c r="C13" i="24"/>
  <c r="E13" i="24"/>
  <c r="G13" i="24"/>
  <c r="I13" i="24"/>
  <c r="K13" i="24"/>
  <c r="B13" i="24"/>
  <c r="D13" i="24"/>
  <c r="F13" i="24"/>
  <c r="H13" i="24"/>
  <c r="J13" i="24"/>
  <c r="E81" i="24"/>
  <c r="C47" i="96"/>
  <c r="D47" i="96" s="1"/>
  <c r="B48" i="96"/>
  <c r="B48" i="112"/>
  <c r="C47" i="112"/>
  <c r="D49" i="87"/>
  <c r="B36" i="92"/>
  <c r="C35" i="92"/>
  <c r="D35" i="87"/>
  <c r="P25" i="90"/>
  <c r="Q25" i="90" s="1"/>
  <c r="R24" i="90"/>
  <c r="D27" i="99"/>
  <c r="D27" i="107"/>
  <c r="D23" i="104"/>
  <c r="R36" i="91"/>
  <c r="R37" i="91"/>
  <c r="P49" i="99"/>
  <c r="R48" i="99"/>
  <c r="R48" i="93"/>
  <c r="O14" i="12"/>
  <c r="P24" i="12"/>
  <c r="M44" i="12"/>
  <c r="P21" i="12"/>
  <c r="O18" i="12"/>
  <c r="P28" i="12"/>
  <c r="F54" i="14"/>
  <c r="D35" i="109"/>
  <c r="D34" i="109"/>
  <c r="B52" i="80"/>
  <c r="C51" i="80"/>
  <c r="D47" i="89"/>
  <c r="C11" i="24"/>
  <c r="E11" i="24"/>
  <c r="G11" i="24"/>
  <c r="I11" i="24"/>
  <c r="K11" i="24"/>
  <c r="B11" i="24"/>
  <c r="D11" i="24"/>
  <c r="F11" i="24"/>
  <c r="H11" i="24"/>
  <c r="J11" i="24"/>
  <c r="E79" i="24"/>
  <c r="C10" i="24"/>
  <c r="K10" i="24"/>
  <c r="F10" i="24"/>
  <c r="B10" i="24"/>
  <c r="J10" i="24"/>
  <c r="E10" i="24"/>
  <c r="D10" i="24"/>
  <c r="I10" i="24"/>
  <c r="G10" i="24"/>
  <c r="E78" i="24"/>
  <c r="H10" i="24"/>
  <c r="B51" i="93"/>
  <c r="C50" i="93"/>
  <c r="B36" i="101"/>
  <c r="C35" i="101"/>
  <c r="C36" i="108"/>
  <c r="B37" i="108"/>
  <c r="J35" i="33"/>
  <c r="N35" i="33"/>
  <c r="K35" i="33"/>
  <c r="H35" i="33"/>
  <c r="L35" i="33"/>
  <c r="I35" i="33"/>
  <c r="M35" i="33"/>
  <c r="Q35" i="33"/>
  <c r="P35" i="33"/>
  <c r="O35" i="33"/>
  <c r="D54" i="92"/>
  <c r="B23" i="109"/>
  <c r="C23" i="109" s="1"/>
  <c r="D25" i="106"/>
  <c r="D30" i="88"/>
  <c r="D34" i="90"/>
  <c r="C7" i="24"/>
  <c r="E7" i="24"/>
  <c r="G7" i="24"/>
  <c r="I7" i="24"/>
  <c r="K7" i="24"/>
  <c r="B7" i="24"/>
  <c r="D7" i="24"/>
  <c r="F7" i="24"/>
  <c r="H7" i="24"/>
  <c r="J7" i="24"/>
  <c r="E75" i="24"/>
  <c r="D35" i="101"/>
  <c r="B48" i="103"/>
  <c r="C47" i="103"/>
  <c r="P49" i="111"/>
  <c r="Q49" i="111" s="1"/>
  <c r="R48" i="111"/>
  <c r="R37" i="93"/>
  <c r="R48" i="106"/>
  <c r="G54" i="14"/>
  <c r="D48" i="87"/>
  <c r="B26" i="29"/>
  <c r="L27" i="26"/>
  <c r="D23" i="103"/>
  <c r="D30" i="103"/>
  <c r="D28" i="103"/>
  <c r="D29" i="103"/>
  <c r="D26" i="103"/>
  <c r="D25" i="103"/>
  <c r="B24" i="103"/>
  <c r="C24" i="103" s="1"/>
  <c r="B25" i="103" s="1"/>
  <c r="C25" i="103" s="1"/>
  <c r="B26" i="103" s="1"/>
  <c r="C26" i="103" s="1"/>
  <c r="B27" i="103" s="1"/>
  <c r="C27" i="103" s="1"/>
  <c r="B28" i="103" s="1"/>
  <c r="C28" i="103" s="1"/>
  <c r="B29" i="103" s="1"/>
  <c r="C29" i="103" s="1"/>
  <c r="B30" i="103" s="1"/>
  <c r="C30" i="103" s="1"/>
  <c r="B48" i="108"/>
  <c r="C47" i="108"/>
  <c r="D26" i="93"/>
  <c r="C6" i="24"/>
  <c r="K6" i="24"/>
  <c r="F6" i="24"/>
  <c r="B6" i="24"/>
  <c r="J6" i="24"/>
  <c r="E6" i="24"/>
  <c r="D6" i="24"/>
  <c r="I6" i="24"/>
  <c r="H6" i="24"/>
  <c r="G6" i="24"/>
  <c r="E74" i="24"/>
  <c r="C8" i="24"/>
  <c r="K8" i="24"/>
  <c r="F8" i="24"/>
  <c r="B8" i="24"/>
  <c r="J8" i="24"/>
  <c r="E8" i="24"/>
  <c r="H8" i="24"/>
  <c r="I8" i="24"/>
  <c r="D8" i="24"/>
  <c r="G8" i="24"/>
  <c r="E76" i="24"/>
  <c r="C36" i="88"/>
  <c r="B37" i="88"/>
  <c r="C49" i="87"/>
  <c r="B50" i="87"/>
  <c r="D46" i="103"/>
  <c r="B36" i="93"/>
  <c r="C35" i="93"/>
  <c r="Q39" i="33"/>
  <c r="T39" i="33"/>
  <c r="T43" i="33" s="1"/>
  <c r="P39" i="33"/>
  <c r="M39" i="33"/>
  <c r="R39" i="33"/>
  <c r="U39" i="33"/>
  <c r="U43" i="33" s="1"/>
  <c r="S39" i="33"/>
  <c r="S43" i="33" s="1"/>
  <c r="S56" i="33" s="1"/>
  <c r="L39" i="33"/>
  <c r="O39" i="33"/>
  <c r="N39" i="33"/>
  <c r="O34" i="33"/>
  <c r="L34" i="33"/>
  <c r="H34" i="33"/>
  <c r="N34" i="33"/>
  <c r="P34" i="33"/>
  <c r="I34" i="33"/>
  <c r="G34" i="33"/>
  <c r="K34" i="33"/>
  <c r="M34" i="33"/>
  <c r="J34" i="33"/>
  <c r="D52" i="92"/>
  <c r="B23" i="94"/>
  <c r="C23" i="94" s="1"/>
  <c r="R37" i="88"/>
  <c r="B23" i="96"/>
  <c r="C23" i="96" s="1"/>
  <c r="B24" i="96" s="1"/>
  <c r="C24" i="96" s="1"/>
  <c r="B25" i="96" s="1"/>
  <c r="C25" i="96" s="1"/>
  <c r="B26" i="96" s="1"/>
  <c r="C26" i="96" s="1"/>
  <c r="B27" i="96" s="1"/>
  <c r="C27" i="96" s="1"/>
  <c r="B28" i="96" s="1"/>
  <c r="C28" i="96" s="1"/>
  <c r="B29" i="96" s="1"/>
  <c r="C29" i="96" s="1"/>
  <c r="B30" i="96" s="1"/>
  <c r="C30" i="96" s="1"/>
  <c r="D26" i="96"/>
  <c r="D29" i="96"/>
  <c r="C5" i="24"/>
  <c r="E5" i="24"/>
  <c r="G5" i="24"/>
  <c r="I5" i="24"/>
  <c r="K5" i="24"/>
  <c r="B5" i="24"/>
  <c r="D5" i="24"/>
  <c r="F5" i="24"/>
  <c r="H5" i="24"/>
  <c r="J5" i="24"/>
  <c r="E73" i="24"/>
  <c r="B23" i="111"/>
  <c r="C23" i="111" s="1"/>
  <c r="B24" i="111" s="1"/>
  <c r="C24" i="111" s="1"/>
  <c r="B25" i="111" s="1"/>
  <c r="C25" i="111" s="1"/>
  <c r="B26" i="111" s="1"/>
  <c r="C26" i="111" s="1"/>
  <c r="B27" i="111" s="1"/>
  <c r="C27" i="111" s="1"/>
  <c r="B28" i="111" s="1"/>
  <c r="C28" i="111" s="1"/>
  <c r="B29" i="111" s="1"/>
  <c r="C29" i="111" s="1"/>
  <c r="B30" i="111" s="1"/>
  <c r="C30" i="111" s="1"/>
  <c r="D26" i="111"/>
  <c r="D29" i="111"/>
  <c r="D22" i="111"/>
  <c r="D35" i="108"/>
  <c r="D36" i="108"/>
  <c r="D34" i="93"/>
  <c r="P30" i="12"/>
  <c r="O20" i="12"/>
  <c r="C37" i="91"/>
  <c r="B38" i="91"/>
  <c r="R43" i="33"/>
  <c r="R56" i="33" s="1"/>
  <c r="D24" i="99"/>
  <c r="R37" i="109"/>
  <c r="P37" i="87"/>
  <c r="P37" i="92"/>
  <c r="R48" i="104"/>
  <c r="R48" i="87"/>
  <c r="R48" i="101"/>
  <c r="R36" i="87"/>
  <c r="R48" i="112"/>
  <c r="B54" i="14"/>
  <c r="K54" i="14"/>
  <c r="F4" i="24"/>
  <c r="K4" i="24"/>
  <c r="C4" i="24"/>
  <c r="I4" i="24"/>
  <c r="J4" i="24"/>
  <c r="G4" i="24"/>
  <c r="H4" i="24"/>
  <c r="B4" i="24"/>
  <c r="E4" i="24"/>
  <c r="D4" i="24"/>
  <c r="C87" i="24"/>
  <c r="E72" i="24"/>
  <c r="D47" i="92"/>
  <c r="D25" i="96"/>
  <c r="D48" i="109"/>
  <c r="D47" i="109"/>
  <c r="C15" i="24"/>
  <c r="E15" i="24"/>
  <c r="G15" i="24"/>
  <c r="I15" i="24"/>
  <c r="K15" i="24"/>
  <c r="B15" i="24"/>
  <c r="D15" i="24"/>
  <c r="F15" i="24"/>
  <c r="H15" i="24"/>
  <c r="J15" i="24"/>
  <c r="E83" i="24"/>
  <c r="B23" i="92"/>
  <c r="C23" i="92" s="1"/>
  <c r="B24" i="108"/>
  <c r="C24" i="108" s="1"/>
  <c r="B25" i="108" s="1"/>
  <c r="C25" i="108" s="1"/>
  <c r="B26" i="108" s="1"/>
  <c r="C26" i="108" s="1"/>
  <c r="B27" i="108" s="1"/>
  <c r="C27" i="108" s="1"/>
  <c r="B28" i="108" s="1"/>
  <c r="C28" i="108" s="1"/>
  <c r="B29" i="108" s="1"/>
  <c r="C29" i="108" s="1"/>
  <c r="B30" i="108" s="1"/>
  <c r="C30" i="108" s="1"/>
  <c r="D27" i="108"/>
  <c r="D30" i="108"/>
  <c r="D25" i="108"/>
  <c r="D23" i="108"/>
  <c r="D30" i="93"/>
  <c r="B50" i="109"/>
  <c r="C49" i="109"/>
  <c r="O50" i="33"/>
  <c r="K50" i="33"/>
  <c r="M50" i="33"/>
  <c r="H50" i="33"/>
  <c r="J50" i="33"/>
  <c r="P50" i="33"/>
  <c r="N50" i="33"/>
  <c r="G50" i="33"/>
  <c r="I50" i="33"/>
  <c r="L50" i="33"/>
  <c r="D51" i="92"/>
  <c r="D23" i="94"/>
  <c r="D29" i="106"/>
  <c r="B27" i="112"/>
  <c r="C27" i="112" s="1"/>
  <c r="D26" i="112"/>
  <c r="D28" i="88"/>
  <c r="D22" i="88"/>
  <c r="C53" i="94"/>
  <c r="B54" i="94"/>
  <c r="C54" i="94" s="1"/>
  <c r="R49" i="96"/>
  <c r="E54" i="14"/>
  <c r="G118" i="33"/>
  <c r="H118" i="33" s="1"/>
  <c r="G77" i="33"/>
  <c r="J77" i="33"/>
  <c r="F77" i="33"/>
  <c r="I77" i="33"/>
  <c r="K77" i="33"/>
  <c r="E77" i="33"/>
  <c r="M77" i="33"/>
  <c r="D77" i="33"/>
  <c r="L77" i="33"/>
  <c r="H77" i="33"/>
  <c r="D23" i="99"/>
  <c r="D25" i="107"/>
  <c r="D48" i="104"/>
  <c r="B48" i="110"/>
  <c r="B49" i="110" s="1"/>
  <c r="R48" i="108"/>
  <c r="R38" i="80"/>
  <c r="R48" i="91"/>
  <c r="N16" i="12"/>
  <c r="O26" i="12"/>
  <c r="J54" i="14"/>
  <c r="I54" i="14"/>
  <c r="D22" i="91"/>
  <c r="B48" i="99"/>
  <c r="C47" i="99"/>
  <c r="D47" i="99" s="1"/>
  <c r="D24" i="96"/>
  <c r="D50" i="111"/>
  <c r="B24" i="110"/>
  <c r="C24" i="110" s="1"/>
  <c r="B25" i="110" s="1"/>
  <c r="C25" i="110" s="1"/>
  <c r="B26" i="110" s="1"/>
  <c r="C26" i="110" s="1"/>
  <c r="B27" i="110" s="1"/>
  <c r="C27" i="110" s="1"/>
  <c r="B28" i="110" s="1"/>
  <c r="C28" i="110" s="1"/>
  <c r="B29" i="110" s="1"/>
  <c r="C29" i="110" s="1"/>
  <c r="B30" i="110" s="1"/>
  <c r="C30" i="110" s="1"/>
  <c r="D23" i="110"/>
  <c r="B24" i="89"/>
  <c r="C24" i="89" s="1"/>
  <c r="C37" i="100"/>
  <c r="B38" i="100"/>
  <c r="C14" i="24"/>
  <c r="K14" i="24"/>
  <c r="F14" i="24"/>
  <c r="B14" i="24"/>
  <c r="J14" i="24"/>
  <c r="E14" i="24"/>
  <c r="D14" i="24"/>
  <c r="G14" i="24"/>
  <c r="H14" i="24"/>
  <c r="I14" i="24"/>
  <c r="E82" i="24"/>
  <c r="C35" i="94"/>
  <c r="B36" i="94"/>
  <c r="D28" i="93"/>
  <c r="C37" i="99"/>
  <c r="B38" i="99"/>
  <c r="R14" i="33"/>
  <c r="R15" i="33" s="1"/>
  <c r="B48" i="33"/>
  <c r="D50" i="92"/>
  <c r="B37" i="89"/>
  <c r="C36" i="89"/>
  <c r="D23" i="106"/>
  <c r="D28" i="106"/>
  <c r="D24" i="88"/>
  <c r="D23" i="88"/>
  <c r="M15" i="12"/>
  <c r="N25" i="12"/>
  <c r="B23" i="90"/>
  <c r="C23" i="90" s="1"/>
  <c r="B24" i="90" s="1"/>
  <c r="C24" i="90" s="1"/>
  <c r="B25" i="90" s="1"/>
  <c r="C25" i="90" s="1"/>
  <c r="B26" i="90" s="1"/>
  <c r="C26" i="90" s="1"/>
  <c r="B27" i="90" s="1"/>
  <c r="C27" i="90" s="1"/>
  <c r="B28" i="90" s="1"/>
  <c r="C28" i="90" s="1"/>
  <c r="B29" i="90" s="1"/>
  <c r="C29" i="90" s="1"/>
  <c r="B30" i="90" s="1"/>
  <c r="C30" i="90" s="1"/>
  <c r="D22" i="90"/>
  <c r="D47" i="108"/>
  <c r="B49" i="89"/>
  <c r="C48" i="89"/>
  <c r="D46" i="108"/>
  <c r="D49" i="93"/>
  <c r="D50" i="93"/>
  <c r="D28" i="99"/>
  <c r="D26" i="104"/>
  <c r="R37" i="89"/>
  <c r="R36" i="106"/>
  <c r="R48" i="94"/>
  <c r="O19" i="12"/>
  <c r="P29" i="12"/>
  <c r="D24" i="91"/>
  <c r="D27" i="96"/>
  <c r="B52" i="111"/>
  <c r="C51" i="111"/>
  <c r="D51" i="111" s="1"/>
  <c r="D48" i="88"/>
  <c r="C9" i="24"/>
  <c r="E9" i="24"/>
  <c r="G9" i="24"/>
  <c r="I9" i="24"/>
  <c r="K9" i="24"/>
  <c r="B9" i="24"/>
  <c r="D9" i="24"/>
  <c r="F9" i="24"/>
  <c r="H9" i="24"/>
  <c r="J9" i="24"/>
  <c r="E77" i="24"/>
  <c r="D46" i="96"/>
  <c r="D47" i="112"/>
  <c r="D46" i="112"/>
  <c r="B38" i="111"/>
  <c r="C37" i="111"/>
  <c r="D35" i="94"/>
  <c r="D34" i="94"/>
  <c r="D25" i="93"/>
  <c r="B48" i="100"/>
  <c r="C47" i="100"/>
  <c r="Q52" i="33"/>
  <c r="Q53" i="33" s="1"/>
  <c r="K52" i="33"/>
  <c r="L52" i="33"/>
  <c r="M52" i="33"/>
  <c r="N52" i="33"/>
  <c r="I52" i="33"/>
  <c r="J52" i="33"/>
  <c r="O52" i="33"/>
  <c r="P52" i="33"/>
  <c r="R52" i="33"/>
  <c r="R53" i="33" s="1"/>
  <c r="D22" i="94"/>
  <c r="D27" i="106"/>
  <c r="D30" i="106"/>
  <c r="B25" i="100"/>
  <c r="C25" i="100" s="1"/>
  <c r="D26" i="88"/>
  <c r="B37" i="87"/>
  <c r="C36" i="87"/>
  <c r="J76" i="33"/>
  <c r="G76" i="33"/>
  <c r="C76" i="33"/>
  <c r="C82" i="33" s="1"/>
  <c r="K86" i="33" s="1"/>
  <c r="D76" i="33"/>
  <c r="D82" i="33" s="1"/>
  <c r="L86" i="33" s="1"/>
  <c r="B106" i="33" s="1"/>
  <c r="E76" i="33"/>
  <c r="L76" i="33"/>
  <c r="I76" i="33"/>
  <c r="F76" i="33"/>
  <c r="H76" i="33"/>
  <c r="K76" i="33"/>
  <c r="Q49" i="112"/>
  <c r="P38" i="112"/>
  <c r="Q38" i="112" s="1"/>
  <c r="R38" i="112" s="1"/>
  <c r="Q49" i="109"/>
  <c r="P50" i="109" s="1"/>
  <c r="Q49" i="108"/>
  <c r="Q36" i="108"/>
  <c r="P37" i="107"/>
  <c r="Q49" i="99"/>
  <c r="P50" i="99" s="1"/>
  <c r="Q36" i="99"/>
  <c r="Q49" i="106"/>
  <c r="P37" i="106"/>
  <c r="Q37" i="106" s="1"/>
  <c r="P38" i="106" s="1"/>
  <c r="Q38" i="106" s="1"/>
  <c r="Q49" i="105"/>
  <c r="P37" i="105"/>
  <c r="Q49" i="104"/>
  <c r="Q49" i="102"/>
  <c r="P50" i="102" s="1"/>
  <c r="Q49" i="101"/>
  <c r="Q36" i="101"/>
  <c r="P37" i="100"/>
  <c r="Q49" i="89"/>
  <c r="P50" i="89" s="1"/>
  <c r="Q49" i="96"/>
  <c r="P50" i="96" s="1"/>
  <c r="P38" i="96"/>
  <c r="Q38" i="96" s="1"/>
  <c r="Q49" i="94"/>
  <c r="R49" i="94" s="1"/>
  <c r="Q36" i="94"/>
  <c r="Q49" i="93"/>
  <c r="Q49" i="92"/>
  <c r="Q37" i="92"/>
  <c r="Q49" i="91"/>
  <c r="P37" i="91"/>
  <c r="Q37" i="91" s="1"/>
  <c r="Q49" i="90"/>
  <c r="P50" i="90" s="1"/>
  <c r="Q36" i="90"/>
  <c r="Q49" i="88"/>
  <c r="Q49" i="87"/>
  <c r="Q37" i="87"/>
  <c r="P50" i="110"/>
  <c r="Q50" i="110" s="1"/>
  <c r="R50" i="110" s="1"/>
  <c r="P50" i="103"/>
  <c r="P50" i="100"/>
  <c r="P38" i="110"/>
  <c r="Q38" i="110" s="1"/>
  <c r="P38" i="109"/>
  <c r="Q38" i="109" s="1"/>
  <c r="R38" i="109" s="1"/>
  <c r="P38" i="104"/>
  <c r="Q38" i="104" s="1"/>
  <c r="R38" i="104" s="1"/>
  <c r="P38" i="103"/>
  <c r="Q38" i="103" s="1"/>
  <c r="P38" i="102"/>
  <c r="Q38" i="102" s="1"/>
  <c r="P38" i="89"/>
  <c r="Q38" i="89" s="1"/>
  <c r="R38" i="89" s="1"/>
  <c r="P38" i="93"/>
  <c r="Q38" i="93" s="1"/>
  <c r="P38" i="91"/>
  <c r="Q38" i="91" s="1"/>
  <c r="R38" i="91" s="1"/>
  <c r="P38" i="88"/>
  <c r="Q38" i="88" s="1"/>
  <c r="R38" i="88" s="1"/>
  <c r="P50" i="80"/>
  <c r="Q50" i="80" s="1"/>
  <c r="R50" i="80" s="1"/>
  <c r="P38" i="80"/>
  <c r="Q38" i="80" s="1"/>
  <c r="Q24" i="111"/>
  <c r="Q24" i="110"/>
  <c r="Q25" i="109"/>
  <c r="P26" i="108"/>
  <c r="Q25" i="108"/>
  <c r="B39" i="112"/>
  <c r="C38" i="112"/>
  <c r="B38" i="110"/>
  <c r="C37" i="110"/>
  <c r="D35" i="110"/>
  <c r="D37" i="110"/>
  <c r="D36" i="110"/>
  <c r="B51" i="101"/>
  <c r="C50" i="101"/>
  <c r="D48" i="101"/>
  <c r="B23" i="101"/>
  <c r="C23" i="101" s="1"/>
  <c r="C49" i="102"/>
  <c r="B50" i="102"/>
  <c r="B23" i="102"/>
  <c r="C23" i="102" s="1"/>
  <c r="C36" i="102"/>
  <c r="B37" i="102"/>
  <c r="C36" i="103"/>
  <c r="B37" i="103"/>
  <c r="D35" i="103"/>
  <c r="D36" i="103"/>
  <c r="C36" i="104"/>
  <c r="D36" i="104" s="1"/>
  <c r="B37" i="104"/>
  <c r="D25" i="104"/>
  <c r="D29" i="104"/>
  <c r="D30" i="104"/>
  <c r="D24" i="104"/>
  <c r="D27" i="104"/>
  <c r="D35" i="104"/>
  <c r="D34" i="104"/>
  <c r="D47" i="104"/>
  <c r="C49" i="104"/>
  <c r="D49" i="104" s="1"/>
  <c r="B50" i="104"/>
  <c r="D35" i="105"/>
  <c r="D36" i="105"/>
  <c r="D49" i="105"/>
  <c r="B37" i="105"/>
  <c r="C36" i="105"/>
  <c r="D48" i="105"/>
  <c r="D34" i="105"/>
  <c r="C49" i="105"/>
  <c r="B50" i="105"/>
  <c r="D47" i="106"/>
  <c r="B49" i="106"/>
  <c r="C48" i="106"/>
  <c r="B38" i="109"/>
  <c r="C37" i="109"/>
  <c r="D36" i="109"/>
  <c r="D37" i="109"/>
  <c r="C35" i="107"/>
  <c r="B36" i="107"/>
  <c r="C48" i="107"/>
  <c r="D48" i="107" s="1"/>
  <c r="B49" i="107"/>
  <c r="D46" i="107"/>
  <c r="D28" i="107"/>
  <c r="D30" i="107"/>
  <c r="D26" i="107"/>
  <c r="D47" i="107"/>
  <c r="D29" i="107"/>
  <c r="D25" i="99"/>
  <c r="D26" i="99"/>
  <c r="P25" i="106"/>
  <c r="Q24" i="106"/>
  <c r="R24" i="102"/>
  <c r="P25" i="102"/>
  <c r="Q25" i="102" s="1"/>
  <c r="Q25" i="101"/>
  <c r="P26" i="101" s="1"/>
  <c r="R25" i="101"/>
  <c r="Q25" i="96"/>
  <c r="P26" i="94"/>
  <c r="Q25" i="94"/>
  <c r="R25" i="94" s="1"/>
  <c r="Q24" i="93"/>
  <c r="P25" i="93" s="1"/>
  <c r="Q25" i="93" s="1"/>
  <c r="P26" i="93" s="1"/>
  <c r="P25" i="92"/>
  <c r="R24" i="91"/>
  <c r="P25" i="91"/>
  <c r="R25" i="88"/>
  <c r="R24" i="88"/>
  <c r="P26" i="107"/>
  <c r="Q26" i="107" s="1"/>
  <c r="R25" i="107"/>
  <c r="P26" i="105"/>
  <c r="R25" i="105"/>
  <c r="P26" i="104"/>
  <c r="R25" i="104"/>
  <c r="P26" i="103"/>
  <c r="Q26" i="103" s="1"/>
  <c r="R25" i="103"/>
  <c r="P26" i="89"/>
  <c r="Q26" i="89" s="1"/>
  <c r="R26" i="89"/>
  <c r="R25" i="87"/>
  <c r="P26" i="87"/>
  <c r="D26" i="87"/>
  <c r="D25" i="87"/>
  <c r="D28" i="87"/>
  <c r="D27" i="87"/>
  <c r="D30" i="87"/>
  <c r="D29" i="87"/>
  <c r="D24" i="87"/>
  <c r="R23" i="80"/>
  <c r="P24" i="80"/>
  <c r="Q24" i="80" s="1"/>
  <c r="G91" i="33"/>
  <c r="D91" i="33"/>
  <c r="F91" i="33"/>
  <c r="J91" i="33"/>
  <c r="E91" i="33"/>
  <c r="K91" i="33"/>
  <c r="L91" i="33"/>
  <c r="C91" i="33"/>
  <c r="C102" i="33" s="1"/>
  <c r="C113" i="33" s="1"/>
  <c r="I91" i="33"/>
  <c r="H91" i="33"/>
  <c r="T56" i="33" l="1"/>
  <c r="F119" i="33" s="1"/>
  <c r="O53" i="33"/>
  <c r="D25" i="89"/>
  <c r="R25" i="90"/>
  <c r="P26" i="90"/>
  <c r="P50" i="111"/>
  <c r="R49" i="111"/>
  <c r="R50" i="111"/>
  <c r="R37" i="111"/>
  <c r="P50" i="107"/>
  <c r="R50" i="107"/>
  <c r="R49" i="107"/>
  <c r="D28" i="110"/>
  <c r="D29" i="110"/>
  <c r="R38" i="103"/>
  <c r="P50" i="101"/>
  <c r="P50" i="106"/>
  <c r="Q50" i="106" s="1"/>
  <c r="P50" i="108"/>
  <c r="Q50" i="108" s="1"/>
  <c r="P50" i="112"/>
  <c r="B105" i="33"/>
  <c r="D25" i="90"/>
  <c r="C38" i="99"/>
  <c r="B39" i="99"/>
  <c r="B28" i="112"/>
  <c r="C28" i="112" s="1"/>
  <c r="B29" i="112" s="1"/>
  <c r="C29" i="112" s="1"/>
  <c r="B30" i="112" s="1"/>
  <c r="C30" i="112" s="1"/>
  <c r="D28" i="112"/>
  <c r="D30" i="112"/>
  <c r="D27" i="112"/>
  <c r="B51" i="109"/>
  <c r="C50" i="109"/>
  <c r="D28" i="108"/>
  <c r="D35" i="93"/>
  <c r="D25" i="111"/>
  <c r="N44" i="12"/>
  <c r="O44" i="12" s="1"/>
  <c r="R49" i="99"/>
  <c r="N27" i="12"/>
  <c r="M17" i="12"/>
  <c r="D23" i="80"/>
  <c r="D36" i="80"/>
  <c r="D26" i="91"/>
  <c r="D28" i="96"/>
  <c r="P50" i="105"/>
  <c r="D36" i="87"/>
  <c r="C37" i="96"/>
  <c r="B38" i="96"/>
  <c r="R36" i="90"/>
  <c r="C52" i="111"/>
  <c r="B53" i="111"/>
  <c r="B25" i="89"/>
  <c r="C25" i="89" s="1"/>
  <c r="B26" i="89" s="1"/>
  <c r="C26" i="89" s="1"/>
  <c r="B27" i="89" s="1"/>
  <c r="C27" i="89" s="1"/>
  <c r="B28" i="89" s="1"/>
  <c r="C28" i="89" s="1"/>
  <c r="B29" i="89" s="1"/>
  <c r="C29" i="89" s="1"/>
  <c r="B30" i="89" s="1"/>
  <c r="C30" i="89" s="1"/>
  <c r="D30" i="89"/>
  <c r="D26" i="89"/>
  <c r="B37" i="101"/>
  <c r="C36" i="101"/>
  <c r="B37" i="92"/>
  <c r="C36" i="92"/>
  <c r="R36" i="101"/>
  <c r="C37" i="87"/>
  <c r="B38" i="87"/>
  <c r="R49" i="112"/>
  <c r="C48" i="99"/>
  <c r="D48" i="99" s="1"/>
  <c r="B49" i="99"/>
  <c r="D24" i="111"/>
  <c r="C50" i="88"/>
  <c r="B51" i="88"/>
  <c r="R49" i="109"/>
  <c r="D23" i="109"/>
  <c r="R25" i="93"/>
  <c r="C48" i="110"/>
  <c r="D49" i="110" s="1"/>
  <c r="D47" i="100"/>
  <c r="R39" i="106"/>
  <c r="D30" i="90"/>
  <c r="R38" i="96"/>
  <c r="C38" i="91"/>
  <c r="D38" i="91" s="1"/>
  <c r="B39" i="91"/>
  <c r="P43" i="33"/>
  <c r="P56" i="33" s="1"/>
  <c r="C36" i="93"/>
  <c r="B37" i="93"/>
  <c r="C48" i="103"/>
  <c r="B49" i="103"/>
  <c r="D35" i="90"/>
  <c r="C52" i="80"/>
  <c r="B53" i="80"/>
  <c r="P31" i="12"/>
  <c r="C48" i="96"/>
  <c r="B49" i="96"/>
  <c r="C36" i="90"/>
  <c r="B37" i="90"/>
  <c r="D49" i="88"/>
  <c r="D51" i="80"/>
  <c r="C50" i="91"/>
  <c r="B51" i="91"/>
  <c r="D24" i="90"/>
  <c r="I48" i="33"/>
  <c r="I53" i="33" s="1"/>
  <c r="Q57" i="33" s="1"/>
  <c r="K48" i="33"/>
  <c r="K53" i="33" s="1"/>
  <c r="S57" i="33" s="1"/>
  <c r="H48" i="33"/>
  <c r="H53" i="33" s="1"/>
  <c r="P57" i="33" s="1"/>
  <c r="B81" i="33" s="1"/>
  <c r="F48" i="33"/>
  <c r="F53" i="33" s="1"/>
  <c r="N57" i="33" s="1"/>
  <c r="B79" i="33" s="1"/>
  <c r="L48" i="33"/>
  <c r="L53" i="33" s="1"/>
  <c r="M48" i="33"/>
  <c r="M53" i="33" s="1"/>
  <c r="J48" i="33"/>
  <c r="J53" i="33" s="1"/>
  <c r="R57" i="33" s="1"/>
  <c r="N48" i="33"/>
  <c r="N53" i="33" s="1"/>
  <c r="G48" i="33"/>
  <c r="G53" i="33" s="1"/>
  <c r="O57" i="33" s="1"/>
  <c r="B80" i="33" s="1"/>
  <c r="E48" i="33"/>
  <c r="E53" i="33" s="1"/>
  <c r="M57" i="33" s="1"/>
  <c r="B38" i="88"/>
  <c r="C37" i="88"/>
  <c r="O28" i="12"/>
  <c r="N18" i="12"/>
  <c r="M106" i="33"/>
  <c r="K106" i="33"/>
  <c r="I106" i="33"/>
  <c r="G106" i="33"/>
  <c r="J106" i="33"/>
  <c r="D106" i="33"/>
  <c r="E106" i="33"/>
  <c r="L106" i="33"/>
  <c r="F106" i="33"/>
  <c r="H106" i="33"/>
  <c r="P50" i="91"/>
  <c r="R49" i="91"/>
  <c r="R37" i="106"/>
  <c r="D30" i="110"/>
  <c r="R38" i="93"/>
  <c r="P50" i="87"/>
  <c r="R49" i="87"/>
  <c r="R50" i="87"/>
  <c r="P50" i="104"/>
  <c r="B26" i="100"/>
  <c r="C26" i="100" s="1"/>
  <c r="D25" i="100"/>
  <c r="C48" i="100"/>
  <c r="B49" i="100"/>
  <c r="D28" i="90"/>
  <c r="C37" i="89"/>
  <c r="B38" i="89"/>
  <c r="C36" i="94"/>
  <c r="B37" i="94"/>
  <c r="D29" i="89"/>
  <c r="D52" i="111"/>
  <c r="D29" i="108"/>
  <c r="M40" i="24"/>
  <c r="M41" i="24" s="1"/>
  <c r="D37" i="91"/>
  <c r="D36" i="93"/>
  <c r="D30" i="111"/>
  <c r="B24" i="94"/>
  <c r="C24" i="94" s="1"/>
  <c r="D24" i="94"/>
  <c r="D47" i="103"/>
  <c r="D24" i="103"/>
  <c r="Q43" i="33"/>
  <c r="Q56" i="33" s="1"/>
  <c r="C37" i="108"/>
  <c r="B38" i="108"/>
  <c r="D23" i="96"/>
  <c r="O24" i="12"/>
  <c r="N14" i="12"/>
  <c r="O21" i="12"/>
  <c r="M43" i="12"/>
  <c r="R50" i="99"/>
  <c r="R49" i="101"/>
  <c r="H33" i="33"/>
  <c r="H43" i="33" s="1"/>
  <c r="H56" i="33" s="1"/>
  <c r="B66" i="33" s="1"/>
  <c r="L33" i="33"/>
  <c r="L43" i="33" s="1"/>
  <c r="K33" i="33"/>
  <c r="K43" i="33" s="1"/>
  <c r="K56" i="33" s="1"/>
  <c r="B69" i="33" s="1"/>
  <c r="M33" i="33"/>
  <c r="M43" i="33" s="1"/>
  <c r="M56" i="33" s="1"/>
  <c r="B71" i="33" s="1"/>
  <c r="O33" i="33"/>
  <c r="O43" i="33" s="1"/>
  <c r="O56" i="33" s="1"/>
  <c r="F33" i="33"/>
  <c r="F43" i="33" s="1"/>
  <c r="F56" i="33" s="1"/>
  <c r="B64" i="33" s="1"/>
  <c r="J33" i="33"/>
  <c r="J43" i="33" s="1"/>
  <c r="J56" i="33" s="1"/>
  <c r="B68" i="33" s="1"/>
  <c r="G33" i="33"/>
  <c r="G43" i="33" s="1"/>
  <c r="G56" i="33" s="1"/>
  <c r="B65" i="33" s="1"/>
  <c r="N33" i="33"/>
  <c r="N43" i="33" s="1"/>
  <c r="I33" i="33"/>
  <c r="I43" i="33" s="1"/>
  <c r="I56" i="33" s="1"/>
  <c r="B67" i="33" s="1"/>
  <c r="D28" i="91"/>
  <c r="D37" i="111"/>
  <c r="D38" i="111"/>
  <c r="D36" i="96"/>
  <c r="D25" i="110"/>
  <c r="D29" i="90"/>
  <c r="R50" i="112"/>
  <c r="B24" i="92"/>
  <c r="C24" i="92" s="1"/>
  <c r="D23" i="92"/>
  <c r="D24" i="92"/>
  <c r="C48" i="108"/>
  <c r="B49" i="108"/>
  <c r="B52" i="93"/>
  <c r="C51" i="93"/>
  <c r="D48" i="89"/>
  <c r="C48" i="112"/>
  <c r="B49" i="112"/>
  <c r="D27" i="110"/>
  <c r="D26" i="110"/>
  <c r="P50" i="92"/>
  <c r="R49" i="92"/>
  <c r="R38" i="106"/>
  <c r="D27" i="90"/>
  <c r="B39" i="100"/>
  <c r="C38" i="100"/>
  <c r="D24" i="110"/>
  <c r="D53" i="94"/>
  <c r="D54" i="94"/>
  <c r="D36" i="89"/>
  <c r="D26" i="108"/>
  <c r="M17" i="24"/>
  <c r="D49" i="109"/>
  <c r="D28" i="111"/>
  <c r="B51" i="87"/>
  <c r="C50" i="87"/>
  <c r="D27" i="103"/>
  <c r="R37" i="87"/>
  <c r="D23" i="90"/>
  <c r="R38" i="102"/>
  <c r="C38" i="106"/>
  <c r="B39" i="106"/>
  <c r="D50" i="88"/>
  <c r="R49" i="108"/>
  <c r="D25" i="91"/>
  <c r="R49" i="89"/>
  <c r="D23" i="111"/>
  <c r="R50" i="102"/>
  <c r="R36" i="94"/>
  <c r="R36" i="108"/>
  <c r="R24" i="93"/>
  <c r="P50" i="94"/>
  <c r="P37" i="108"/>
  <c r="C38" i="111"/>
  <c r="B39" i="111"/>
  <c r="B50" i="89"/>
  <c r="C49" i="89"/>
  <c r="D36" i="88"/>
  <c r="D37" i="88"/>
  <c r="B24" i="109"/>
  <c r="C24" i="109" s="1"/>
  <c r="B63" i="33"/>
  <c r="R36" i="99"/>
  <c r="D38" i="99"/>
  <c r="D37" i="99"/>
  <c r="D24" i="89"/>
  <c r="P53" i="33"/>
  <c r="P50" i="88"/>
  <c r="R49" i="88"/>
  <c r="P50" i="93"/>
  <c r="Q50" i="93" s="1"/>
  <c r="R49" i="93"/>
  <c r="O29" i="12"/>
  <c r="N19" i="12"/>
  <c r="D26" i="90"/>
  <c r="M25" i="12"/>
  <c r="K15" i="12"/>
  <c r="L15" i="12"/>
  <c r="K4" i="12"/>
  <c r="D38" i="100"/>
  <c r="L32" i="95" s="1"/>
  <c r="D37" i="100"/>
  <c r="L31" i="95" s="1"/>
  <c r="N26" i="12"/>
  <c r="M16" i="12"/>
  <c r="R38" i="110"/>
  <c r="R49" i="104"/>
  <c r="D24" i="108"/>
  <c r="R49" i="105"/>
  <c r="N20" i="12"/>
  <c r="O30" i="12"/>
  <c r="D27" i="111"/>
  <c r="D30" i="96"/>
  <c r="R49" i="90"/>
  <c r="D35" i="92"/>
  <c r="D36" i="92"/>
  <c r="D37" i="106"/>
  <c r="D38" i="106"/>
  <c r="B37" i="80"/>
  <c r="C36" i="80"/>
  <c r="R49" i="102"/>
  <c r="D48" i="100"/>
  <c r="Q50" i="112"/>
  <c r="P39" i="112"/>
  <c r="Q39" i="112" s="1"/>
  <c r="R39" i="112" s="1"/>
  <c r="Q50" i="111"/>
  <c r="P51" i="111" s="1"/>
  <c r="P38" i="111"/>
  <c r="Q50" i="109"/>
  <c r="Q37" i="108"/>
  <c r="Q50" i="107"/>
  <c r="P51" i="107" s="1"/>
  <c r="Q37" i="107"/>
  <c r="Q50" i="99"/>
  <c r="P37" i="99"/>
  <c r="Q50" i="105"/>
  <c r="Q37" i="105"/>
  <c r="Q50" i="104"/>
  <c r="Q50" i="103"/>
  <c r="P51" i="102"/>
  <c r="Q50" i="102"/>
  <c r="Q50" i="101"/>
  <c r="R50" i="101" s="1"/>
  <c r="P37" i="101"/>
  <c r="Q50" i="100"/>
  <c r="Q37" i="100"/>
  <c r="Q50" i="89"/>
  <c r="Q50" i="96"/>
  <c r="P39" i="96"/>
  <c r="Q39" i="96" s="1"/>
  <c r="R39" i="96" s="1"/>
  <c r="Q50" i="94"/>
  <c r="P51" i="94" s="1"/>
  <c r="P37" i="94"/>
  <c r="Q50" i="92"/>
  <c r="P38" i="92"/>
  <c r="Q50" i="91"/>
  <c r="Q50" i="90"/>
  <c r="P51" i="90" s="1"/>
  <c r="P37" i="90"/>
  <c r="Q50" i="88"/>
  <c r="P51" i="88" s="1"/>
  <c r="P51" i="87"/>
  <c r="Q50" i="87"/>
  <c r="P38" i="87"/>
  <c r="P51" i="110"/>
  <c r="P39" i="110"/>
  <c r="P39" i="109"/>
  <c r="Q39" i="109" s="1"/>
  <c r="R39" i="109" s="1"/>
  <c r="P39" i="106"/>
  <c r="Q39" i="106" s="1"/>
  <c r="P39" i="104"/>
  <c r="Q39" i="104" s="1"/>
  <c r="R39" i="104" s="1"/>
  <c r="P39" i="103"/>
  <c r="Q39" i="103" s="1"/>
  <c r="R39" i="103" s="1"/>
  <c r="P39" i="102"/>
  <c r="Q39" i="102" s="1"/>
  <c r="R39" i="102" s="1"/>
  <c r="P39" i="89"/>
  <c r="P39" i="93"/>
  <c r="Q39" i="93" s="1"/>
  <c r="R39" i="93" s="1"/>
  <c r="P39" i="91"/>
  <c r="Q39" i="91" s="1"/>
  <c r="P39" i="88"/>
  <c r="P51" i="80"/>
  <c r="Q51" i="80" s="1"/>
  <c r="R51" i="80" s="1"/>
  <c r="P39" i="80"/>
  <c r="Q39" i="80" s="1"/>
  <c r="R39" i="80" s="1"/>
  <c r="R24" i="112"/>
  <c r="P25" i="112"/>
  <c r="Q25" i="112" s="1"/>
  <c r="R24" i="111"/>
  <c r="P25" i="111"/>
  <c r="R24" i="110"/>
  <c r="P25" i="110"/>
  <c r="R25" i="109"/>
  <c r="P26" i="109"/>
  <c r="R26" i="108"/>
  <c r="R25" i="108"/>
  <c r="P27" i="108"/>
  <c r="Q26" i="108"/>
  <c r="D38" i="112"/>
  <c r="B40" i="112"/>
  <c r="C39" i="112"/>
  <c r="B50" i="110"/>
  <c r="C49" i="110"/>
  <c r="C38" i="110"/>
  <c r="B39" i="110"/>
  <c r="B24" i="101"/>
  <c r="C24" i="101" s="1"/>
  <c r="D24" i="101" s="1"/>
  <c r="D50" i="101"/>
  <c r="D23" i="101"/>
  <c r="C51" i="101"/>
  <c r="D51" i="101" s="1"/>
  <c r="B52" i="101"/>
  <c r="C50" i="102"/>
  <c r="D50" i="102" s="1"/>
  <c r="B51" i="102"/>
  <c r="B38" i="102"/>
  <c r="C37" i="102"/>
  <c r="D37" i="102"/>
  <c r="B24" i="102"/>
  <c r="C24" i="102" s="1"/>
  <c r="B25" i="102" s="1"/>
  <c r="C25" i="102" s="1"/>
  <c r="B26" i="102" s="1"/>
  <c r="C26" i="102" s="1"/>
  <c r="B27" i="102" s="1"/>
  <c r="C27" i="102" s="1"/>
  <c r="B28" i="102" s="1"/>
  <c r="C28" i="102" s="1"/>
  <c r="B29" i="102" s="1"/>
  <c r="C29" i="102" s="1"/>
  <c r="B30" i="102" s="1"/>
  <c r="C30" i="102" s="1"/>
  <c r="D24" i="102"/>
  <c r="D23" i="102"/>
  <c r="D36" i="102"/>
  <c r="D49" i="102"/>
  <c r="C37" i="103"/>
  <c r="B38" i="103"/>
  <c r="B51" i="104"/>
  <c r="C50" i="104"/>
  <c r="C37" i="104"/>
  <c r="B38" i="104"/>
  <c r="D50" i="104"/>
  <c r="C50" i="105"/>
  <c r="B51" i="105"/>
  <c r="B38" i="105"/>
  <c r="C37" i="105"/>
  <c r="D37" i="105" s="1"/>
  <c r="D48" i="106"/>
  <c r="B50" i="106"/>
  <c r="C49" i="106"/>
  <c r="D49" i="106" s="1"/>
  <c r="C38" i="109"/>
  <c r="B39" i="109"/>
  <c r="B37" i="107"/>
  <c r="C36" i="107"/>
  <c r="D36" i="107" s="1"/>
  <c r="D35" i="107"/>
  <c r="B50" i="107"/>
  <c r="C49" i="107"/>
  <c r="R24" i="106"/>
  <c r="Q25" i="106"/>
  <c r="Q26" i="105"/>
  <c r="R26" i="105" s="1"/>
  <c r="Q26" i="104"/>
  <c r="P27" i="104" s="1"/>
  <c r="P26" i="102"/>
  <c r="Q26" i="102" s="1"/>
  <c r="Q26" i="101"/>
  <c r="R25" i="100"/>
  <c r="P26" i="100"/>
  <c r="Q26" i="100" s="1"/>
  <c r="R25" i="96"/>
  <c r="P26" i="96"/>
  <c r="Q26" i="94"/>
  <c r="P27" i="94" s="1"/>
  <c r="Q26" i="93"/>
  <c r="R26" i="93"/>
  <c r="Q25" i="92"/>
  <c r="Q25" i="91"/>
  <c r="Q26" i="90"/>
  <c r="P26" i="88"/>
  <c r="Q26" i="88" s="1"/>
  <c r="P27" i="107"/>
  <c r="Q27" i="107" s="1"/>
  <c r="R26" i="107"/>
  <c r="P27" i="103"/>
  <c r="R26" i="103"/>
  <c r="P27" i="89"/>
  <c r="Q27" i="89" s="1"/>
  <c r="Q26" i="87"/>
  <c r="P27" i="87" s="1"/>
  <c r="I92" i="33"/>
  <c r="J92" i="33"/>
  <c r="M92" i="33"/>
  <c r="L92" i="33"/>
  <c r="F92" i="33"/>
  <c r="K92" i="33"/>
  <c r="E92" i="33"/>
  <c r="G92" i="33"/>
  <c r="D92" i="33"/>
  <c r="D102" i="33" s="1"/>
  <c r="D113" i="33" s="1"/>
  <c r="H92" i="33"/>
  <c r="L56" i="33" l="1"/>
  <c r="B70" i="33" s="1"/>
  <c r="O70" i="33" s="1"/>
  <c r="V56" i="33"/>
  <c r="E119" i="33" s="1"/>
  <c r="G119" i="33" s="1"/>
  <c r="H119" i="33" s="1"/>
  <c r="P51" i="106"/>
  <c r="R50" i="106"/>
  <c r="D50" i="89"/>
  <c r="P51" i="93"/>
  <c r="Q51" i="93" s="1"/>
  <c r="R50" i="93"/>
  <c r="P51" i="108"/>
  <c r="R50" i="108"/>
  <c r="B25" i="109"/>
  <c r="C25" i="109" s="1"/>
  <c r="D24" i="109"/>
  <c r="D50" i="91"/>
  <c r="P51" i="105"/>
  <c r="R50" i="105"/>
  <c r="P51" i="101"/>
  <c r="M20" i="12"/>
  <c r="N30" i="12"/>
  <c r="R50" i="88"/>
  <c r="C39" i="111"/>
  <c r="D39" i="111" s="1"/>
  <c r="B40" i="111"/>
  <c r="R37" i="108"/>
  <c r="C39" i="106"/>
  <c r="B40" i="106"/>
  <c r="D50" i="87"/>
  <c r="C39" i="100"/>
  <c r="D39" i="100" s="1"/>
  <c r="L33" i="95" s="1"/>
  <c r="B40" i="100"/>
  <c r="D51" i="93"/>
  <c r="B25" i="92"/>
  <c r="C25" i="92" s="1"/>
  <c r="N43" i="12"/>
  <c r="O43" i="12" s="1"/>
  <c r="M18" i="12"/>
  <c r="N28" i="12"/>
  <c r="C49" i="96"/>
  <c r="D49" i="96" s="1"/>
  <c r="B50" i="96"/>
  <c r="D52" i="80"/>
  <c r="B40" i="91"/>
  <c r="C39" i="91"/>
  <c r="D39" i="91" s="1"/>
  <c r="C49" i="99"/>
  <c r="D49" i="99" s="1"/>
  <c r="B50" i="99"/>
  <c r="C53" i="111"/>
  <c r="D54" i="111" s="1"/>
  <c r="B54" i="111"/>
  <c r="C54" i="111" s="1"/>
  <c r="R37" i="107"/>
  <c r="L81" i="33"/>
  <c r="Q81" i="33"/>
  <c r="Q82" i="33" s="1"/>
  <c r="I81" i="33"/>
  <c r="K81" i="33"/>
  <c r="H81" i="33"/>
  <c r="M81" i="33"/>
  <c r="J81" i="33"/>
  <c r="P81" i="33"/>
  <c r="N81" i="33"/>
  <c r="O81" i="33"/>
  <c r="C49" i="103"/>
  <c r="B50" i="103"/>
  <c r="M19" i="12"/>
  <c r="N29" i="12"/>
  <c r="C50" i="89"/>
  <c r="B51" i="89"/>
  <c r="D49" i="89"/>
  <c r="J15" i="12"/>
  <c r="B15" i="12"/>
  <c r="B25" i="12"/>
  <c r="D37" i="96"/>
  <c r="D48" i="96"/>
  <c r="D36" i="101"/>
  <c r="D50" i="109"/>
  <c r="C37" i="80"/>
  <c r="B38" i="80"/>
  <c r="P38" i="107"/>
  <c r="S68" i="33"/>
  <c r="Q68" i="33"/>
  <c r="O68" i="33"/>
  <c r="J68" i="33"/>
  <c r="L68" i="33"/>
  <c r="K68" i="33"/>
  <c r="N68" i="33"/>
  <c r="R68" i="33"/>
  <c r="P68" i="33"/>
  <c r="M68" i="33"/>
  <c r="D37" i="108"/>
  <c r="M64" i="33"/>
  <c r="J64" i="33"/>
  <c r="G64" i="33"/>
  <c r="F64" i="33"/>
  <c r="N64" i="33"/>
  <c r="L64" i="33"/>
  <c r="O64" i="33"/>
  <c r="K64" i="33"/>
  <c r="H64" i="33"/>
  <c r="I64" i="33"/>
  <c r="K80" i="33"/>
  <c r="N80" i="33"/>
  <c r="P80" i="33"/>
  <c r="P82" i="33" s="1"/>
  <c r="H80" i="33"/>
  <c r="I80" i="33"/>
  <c r="J80" i="33"/>
  <c r="M80" i="33"/>
  <c r="O80" i="33"/>
  <c r="G80" i="33"/>
  <c r="L80" i="33"/>
  <c r="C37" i="92"/>
  <c r="B38" i="92"/>
  <c r="B40" i="99"/>
  <c r="C39" i="99"/>
  <c r="P51" i="96"/>
  <c r="R51" i="96"/>
  <c r="R50" i="96"/>
  <c r="P71" i="33"/>
  <c r="T71" i="33"/>
  <c r="V71" i="33"/>
  <c r="S71" i="33"/>
  <c r="N71" i="33"/>
  <c r="Q71" i="33"/>
  <c r="U71" i="33"/>
  <c r="M71" i="33"/>
  <c r="R71" i="33"/>
  <c r="O71" i="33"/>
  <c r="C37" i="94"/>
  <c r="B38" i="94"/>
  <c r="P51" i="92"/>
  <c r="R50" i="92"/>
  <c r="P51" i="89"/>
  <c r="Q51" i="89" s="1"/>
  <c r="R50" i="89"/>
  <c r="P38" i="108"/>
  <c r="D49" i="103"/>
  <c r="Q69" i="33"/>
  <c r="T69" i="33"/>
  <c r="K69" i="33"/>
  <c r="N69" i="33"/>
  <c r="L69" i="33"/>
  <c r="P69" i="33"/>
  <c r="S69" i="33"/>
  <c r="O69" i="33"/>
  <c r="M69" i="33"/>
  <c r="R69" i="33"/>
  <c r="B25" i="94"/>
  <c r="C25" i="94" s="1"/>
  <c r="D25" i="94"/>
  <c r="D36" i="94"/>
  <c r="D37" i="94"/>
  <c r="B27" i="100"/>
  <c r="C27" i="100" s="1"/>
  <c r="D26" i="100"/>
  <c r="D48" i="103"/>
  <c r="D28" i="89"/>
  <c r="C37" i="101"/>
  <c r="D37" i="101" s="1"/>
  <c r="B38" i="101"/>
  <c r="M27" i="12"/>
  <c r="K17" i="12"/>
  <c r="I17" i="12" s="1"/>
  <c r="L17" i="12"/>
  <c r="K6" i="12"/>
  <c r="C51" i="109"/>
  <c r="B52" i="109"/>
  <c r="P51" i="109"/>
  <c r="R50" i="109"/>
  <c r="D36" i="90"/>
  <c r="B78" i="33"/>
  <c r="U57" i="33"/>
  <c r="D48" i="110"/>
  <c r="R37" i="100"/>
  <c r="D37" i="87"/>
  <c r="I15" i="12"/>
  <c r="H63" i="33"/>
  <c r="K63" i="33"/>
  <c r="G63" i="33"/>
  <c r="M63" i="33"/>
  <c r="E63" i="33"/>
  <c r="E73" i="33" s="1"/>
  <c r="E85" i="33" s="1"/>
  <c r="B93" i="33" s="1"/>
  <c r="N63" i="33"/>
  <c r="J63" i="33"/>
  <c r="I63" i="33"/>
  <c r="L63" i="33"/>
  <c r="F63" i="33"/>
  <c r="C49" i="112"/>
  <c r="B50" i="112"/>
  <c r="B50" i="108"/>
  <c r="C49" i="108"/>
  <c r="P67" i="33"/>
  <c r="M67" i="33"/>
  <c r="K67" i="33"/>
  <c r="I67" i="33"/>
  <c r="J67" i="33"/>
  <c r="O67" i="33"/>
  <c r="Q67" i="33"/>
  <c r="L67" i="33"/>
  <c r="R67" i="33"/>
  <c r="N67" i="33"/>
  <c r="N24" i="12"/>
  <c r="N21" i="12"/>
  <c r="M42" i="12"/>
  <c r="M14" i="12"/>
  <c r="D25" i="109"/>
  <c r="C38" i="89"/>
  <c r="B39" i="89"/>
  <c r="C38" i="88"/>
  <c r="B39" i="88"/>
  <c r="C37" i="93"/>
  <c r="B38" i="93"/>
  <c r="C51" i="88"/>
  <c r="B52" i="88"/>
  <c r="R39" i="91"/>
  <c r="R50" i="90"/>
  <c r="P51" i="104"/>
  <c r="R50" i="104"/>
  <c r="N65" i="33"/>
  <c r="O65" i="33"/>
  <c r="L65" i="33"/>
  <c r="J65" i="33"/>
  <c r="K65" i="33"/>
  <c r="G65" i="33"/>
  <c r="I65" i="33"/>
  <c r="H65" i="33"/>
  <c r="M65" i="33"/>
  <c r="P65" i="33"/>
  <c r="C38" i="108"/>
  <c r="B39" i="108"/>
  <c r="B52" i="91"/>
  <c r="C51" i="91"/>
  <c r="D51" i="91" s="1"/>
  <c r="R37" i="105"/>
  <c r="B39" i="96"/>
  <c r="C38" i="96"/>
  <c r="P51" i="91"/>
  <c r="Q51" i="91" s="1"/>
  <c r="R50" i="91"/>
  <c r="C49" i="100"/>
  <c r="B50" i="100"/>
  <c r="B54" i="80"/>
  <c r="C54" i="80" s="1"/>
  <c r="C53" i="80"/>
  <c r="D53" i="80" s="1"/>
  <c r="L105" i="33"/>
  <c r="I105" i="33"/>
  <c r="K105" i="33"/>
  <c r="E105" i="33"/>
  <c r="G105" i="33"/>
  <c r="C105" i="33"/>
  <c r="C110" i="33" s="1"/>
  <c r="K114" i="33" s="1"/>
  <c r="D105" i="33"/>
  <c r="D110" i="33" s="1"/>
  <c r="L114" i="33" s="1"/>
  <c r="J105" i="33"/>
  <c r="F105" i="33"/>
  <c r="H105" i="33"/>
  <c r="C51" i="87"/>
  <c r="D51" i="87" s="1"/>
  <c r="B52" i="87"/>
  <c r="B53" i="93"/>
  <c r="C52" i="93"/>
  <c r="D52" i="93" s="1"/>
  <c r="R50" i="94"/>
  <c r="P51" i="100"/>
  <c r="R50" i="100"/>
  <c r="P51" i="103"/>
  <c r="Q51" i="103" s="1"/>
  <c r="R50" i="103"/>
  <c r="P51" i="99"/>
  <c r="Q51" i="99" s="1"/>
  <c r="P51" i="112"/>
  <c r="M26" i="12"/>
  <c r="L16" i="12"/>
  <c r="K16" i="12"/>
  <c r="K5" i="12"/>
  <c r="G25" i="12"/>
  <c r="D37" i="80"/>
  <c r="D48" i="112"/>
  <c r="D48" i="108"/>
  <c r="D27" i="89"/>
  <c r="N56" i="33"/>
  <c r="B72" i="33" s="1"/>
  <c r="O66" i="33"/>
  <c r="H66" i="33"/>
  <c r="P66" i="33"/>
  <c r="M66" i="33"/>
  <c r="N66" i="33"/>
  <c r="K66" i="33"/>
  <c r="J66" i="33"/>
  <c r="L66" i="33"/>
  <c r="I66" i="33"/>
  <c r="Q66" i="33"/>
  <c r="O31" i="12"/>
  <c r="D37" i="89"/>
  <c r="F79" i="33"/>
  <c r="O79" i="33"/>
  <c r="G79" i="33"/>
  <c r="N79" i="33"/>
  <c r="L79" i="33"/>
  <c r="H79" i="33"/>
  <c r="I79" i="33"/>
  <c r="J79" i="33"/>
  <c r="M79" i="33"/>
  <c r="K79" i="33"/>
  <c r="B38" i="90"/>
  <c r="C37" i="90"/>
  <c r="D37" i="93"/>
  <c r="C38" i="87"/>
  <c r="B39" i="87"/>
  <c r="D29" i="112"/>
  <c r="D49" i="108"/>
  <c r="Q51" i="112"/>
  <c r="P40" i="112"/>
  <c r="Q40" i="112" s="1"/>
  <c r="R40" i="112" s="1"/>
  <c r="Q51" i="111"/>
  <c r="Q38" i="111"/>
  <c r="R38" i="111" s="1"/>
  <c r="Q51" i="110"/>
  <c r="Q39" i="110"/>
  <c r="Q51" i="109"/>
  <c r="Q51" i="108"/>
  <c r="Q38" i="108"/>
  <c r="Q51" i="107"/>
  <c r="P39" i="107"/>
  <c r="Q38" i="107"/>
  <c r="R38" i="107" s="1"/>
  <c r="Q37" i="99"/>
  <c r="Q51" i="106"/>
  <c r="Q51" i="105"/>
  <c r="P38" i="105"/>
  <c r="Q51" i="104"/>
  <c r="P52" i="104" s="1"/>
  <c r="Q51" i="102"/>
  <c r="R51" i="102" s="1"/>
  <c r="Q51" i="101"/>
  <c r="Q37" i="101"/>
  <c r="Q51" i="100"/>
  <c r="P52" i="100" s="1"/>
  <c r="Q52" i="100" s="1"/>
  <c r="P38" i="100"/>
  <c r="Q39" i="89"/>
  <c r="Q51" i="96"/>
  <c r="P52" i="96" s="1"/>
  <c r="P40" i="96"/>
  <c r="Q40" i="96" s="1"/>
  <c r="R40" i="96" s="1"/>
  <c r="Q51" i="94"/>
  <c r="P52" i="94" s="1"/>
  <c r="Q37" i="94"/>
  <c r="P40" i="93"/>
  <c r="Q40" i="93" s="1"/>
  <c r="R40" i="93" s="1"/>
  <c r="Q51" i="92"/>
  <c r="Q38" i="92"/>
  <c r="P40" i="91"/>
  <c r="Q51" i="90"/>
  <c r="Q37" i="90"/>
  <c r="P52" i="88"/>
  <c r="Q51" i="88"/>
  <c r="Q39" i="88"/>
  <c r="Q51" i="87"/>
  <c r="Q38" i="87"/>
  <c r="P40" i="109"/>
  <c r="Q40" i="109" s="1"/>
  <c r="R40" i="109" s="1"/>
  <c r="P40" i="106"/>
  <c r="Q40" i="106" s="1"/>
  <c r="R40" i="106" s="1"/>
  <c r="P40" i="104"/>
  <c r="P40" i="103"/>
  <c r="Q40" i="103" s="1"/>
  <c r="R40" i="103" s="1"/>
  <c r="P40" i="102"/>
  <c r="Q40" i="102" s="1"/>
  <c r="R40" i="102" s="1"/>
  <c r="P52" i="80"/>
  <c r="Q52" i="80" s="1"/>
  <c r="R52" i="80" s="1"/>
  <c r="P40" i="80"/>
  <c r="Q40" i="80"/>
  <c r="R40" i="80" s="1"/>
  <c r="Q25" i="111"/>
  <c r="Q25" i="110"/>
  <c r="Q26" i="109"/>
  <c r="Q27" i="108"/>
  <c r="B41" i="112"/>
  <c r="C40" i="112"/>
  <c r="D39" i="112"/>
  <c r="C39" i="110"/>
  <c r="D39" i="110" s="1"/>
  <c r="B40" i="110"/>
  <c r="D38" i="110"/>
  <c r="B51" i="110"/>
  <c r="C50" i="110"/>
  <c r="B25" i="101"/>
  <c r="C25" i="101" s="1"/>
  <c r="C52" i="101"/>
  <c r="D52" i="101" s="1"/>
  <c r="B53" i="101"/>
  <c r="D26" i="102"/>
  <c r="B52" i="102"/>
  <c r="C51" i="102"/>
  <c r="D30" i="102"/>
  <c r="D51" i="102"/>
  <c r="D29" i="102"/>
  <c r="D28" i="102"/>
  <c r="D25" i="102"/>
  <c r="C38" i="102"/>
  <c r="B39" i="102"/>
  <c r="D27" i="102"/>
  <c r="B39" i="103"/>
  <c r="C38" i="103"/>
  <c r="D38" i="103" s="1"/>
  <c r="D37" i="103"/>
  <c r="C38" i="104"/>
  <c r="D38" i="104" s="1"/>
  <c r="B39" i="104"/>
  <c r="D37" i="104"/>
  <c r="B52" i="104"/>
  <c r="C51" i="104"/>
  <c r="D51" i="104" s="1"/>
  <c r="C38" i="105"/>
  <c r="D38" i="105" s="1"/>
  <c r="B39" i="105"/>
  <c r="B52" i="105"/>
  <c r="C51" i="105"/>
  <c r="D50" i="105"/>
  <c r="B51" i="106"/>
  <c r="C50" i="106"/>
  <c r="B40" i="109"/>
  <c r="C39" i="109"/>
  <c r="D39" i="109" s="1"/>
  <c r="D38" i="109"/>
  <c r="B51" i="107"/>
  <c r="C50" i="107"/>
  <c r="D50" i="107" s="1"/>
  <c r="C37" i="107"/>
  <c r="B38" i="107"/>
  <c r="D37" i="107"/>
  <c r="D49" i="107"/>
  <c r="P26" i="106"/>
  <c r="R25" i="106"/>
  <c r="P27" i="105"/>
  <c r="Q27" i="105" s="1"/>
  <c r="Q27" i="104"/>
  <c r="R27" i="104" s="1"/>
  <c r="R26" i="104"/>
  <c r="Q27" i="103"/>
  <c r="R27" i="103" s="1"/>
  <c r="R25" i="102"/>
  <c r="P27" i="101"/>
  <c r="R26" i="101"/>
  <c r="P27" i="100"/>
  <c r="Q27" i="100" s="1"/>
  <c r="P27" i="96"/>
  <c r="Q26" i="96"/>
  <c r="R26" i="94"/>
  <c r="Q27" i="94"/>
  <c r="R27" i="94" s="1"/>
  <c r="P27" i="93"/>
  <c r="R25" i="92"/>
  <c r="P26" i="92"/>
  <c r="R25" i="91"/>
  <c r="P26" i="91"/>
  <c r="R26" i="90"/>
  <c r="P27" i="90"/>
  <c r="P27" i="88"/>
  <c r="Q27" i="88" s="1"/>
  <c r="P28" i="107"/>
  <c r="Q28" i="107" s="1"/>
  <c r="R27" i="107"/>
  <c r="P28" i="105"/>
  <c r="Q28" i="105" s="1"/>
  <c r="R27" i="105"/>
  <c r="P28" i="89"/>
  <c r="Q28" i="89" s="1"/>
  <c r="R27" i="89"/>
  <c r="R26" i="87"/>
  <c r="Q27" i="87"/>
  <c r="R24" i="80"/>
  <c r="P25" i="80"/>
  <c r="Q25" i="80" s="1"/>
  <c r="N70" i="33" l="1"/>
  <c r="Q70" i="33"/>
  <c r="L70" i="33"/>
  <c r="T70" i="33"/>
  <c r="P70" i="33"/>
  <c r="M70" i="33"/>
  <c r="U70" i="33"/>
  <c r="S70" i="33"/>
  <c r="R70" i="33"/>
  <c r="F73" i="33"/>
  <c r="F85" i="33" s="1"/>
  <c r="B94" i="33" s="1"/>
  <c r="J94" i="33" s="1"/>
  <c r="W85" i="33"/>
  <c r="V113" i="33" s="1"/>
  <c r="P52" i="99"/>
  <c r="R51" i="99"/>
  <c r="R51" i="91"/>
  <c r="P52" i="91"/>
  <c r="D50" i="103"/>
  <c r="P52" i="93"/>
  <c r="R51" i="93"/>
  <c r="R51" i="103"/>
  <c r="P52" i="103"/>
  <c r="Q52" i="103" s="1"/>
  <c r="P52" i="89"/>
  <c r="R51" i="89"/>
  <c r="P52" i="87"/>
  <c r="R51" i="87"/>
  <c r="J16" i="12"/>
  <c r="B26" i="12"/>
  <c r="B16" i="12"/>
  <c r="C52" i="88"/>
  <c r="B53" i="88"/>
  <c r="M93" i="33"/>
  <c r="N93" i="33"/>
  <c r="F93" i="33"/>
  <c r="J93" i="33"/>
  <c r="G93" i="33"/>
  <c r="H93" i="33"/>
  <c r="K93" i="33"/>
  <c r="I93" i="33"/>
  <c r="L93" i="33"/>
  <c r="E93" i="33"/>
  <c r="E102" i="33" s="1"/>
  <c r="E113" i="33" s="1"/>
  <c r="D51" i="109"/>
  <c r="B39" i="94"/>
  <c r="C38" i="94"/>
  <c r="H15" i="12"/>
  <c r="J4" i="12"/>
  <c r="B51" i="96"/>
  <c r="C50" i="96"/>
  <c r="R39" i="110"/>
  <c r="P40" i="88"/>
  <c r="R39" i="88"/>
  <c r="R38" i="92"/>
  <c r="R39" i="92"/>
  <c r="R37" i="101"/>
  <c r="P40" i="110"/>
  <c r="Q40" i="110" s="1"/>
  <c r="C38" i="90"/>
  <c r="B39" i="90"/>
  <c r="G26" i="12"/>
  <c r="C53" i="93"/>
  <c r="B54" i="93"/>
  <c r="C54" i="93" s="1"/>
  <c r="R51" i="104"/>
  <c r="D51" i="88"/>
  <c r="D52" i="88"/>
  <c r="M73" i="33"/>
  <c r="D53" i="111"/>
  <c r="D38" i="90"/>
  <c r="D54" i="93"/>
  <c r="D52" i="91"/>
  <c r="P53" i="100"/>
  <c r="Q53" i="100" s="1"/>
  <c r="R52" i="100"/>
  <c r="P52" i="112"/>
  <c r="R51" i="112"/>
  <c r="R51" i="88"/>
  <c r="P39" i="92"/>
  <c r="P38" i="101"/>
  <c r="Q38" i="101" s="1"/>
  <c r="P52" i="110"/>
  <c r="Q52" i="110" s="1"/>
  <c r="P53" i="110" s="1"/>
  <c r="Q53" i="110" s="1"/>
  <c r="R53" i="110" s="1"/>
  <c r="R51" i="110"/>
  <c r="D37" i="90"/>
  <c r="O82" i="33"/>
  <c r="C52" i="87"/>
  <c r="B53" i="87"/>
  <c r="B53" i="91"/>
  <c r="C52" i="91"/>
  <c r="B39" i="93"/>
  <c r="C38" i="93"/>
  <c r="L14" i="12"/>
  <c r="M24" i="12"/>
  <c r="K14" i="12"/>
  <c r="K3" i="12"/>
  <c r="M41" i="12"/>
  <c r="M21" i="12"/>
  <c r="R51" i="94"/>
  <c r="G73" i="33"/>
  <c r="G85" i="33" s="1"/>
  <c r="J17" i="12"/>
  <c r="B17" i="12"/>
  <c r="B27" i="12"/>
  <c r="D38" i="94"/>
  <c r="U56" i="33"/>
  <c r="U58" i="33" s="1"/>
  <c r="D50" i="96"/>
  <c r="B51" i="99"/>
  <c r="C50" i="99"/>
  <c r="D50" i="99" s="1"/>
  <c r="D53" i="93"/>
  <c r="D37" i="92"/>
  <c r="P52" i="92"/>
  <c r="Q52" i="92" s="1"/>
  <c r="R51" i="92"/>
  <c r="P52" i="101"/>
  <c r="R51" i="101"/>
  <c r="P52" i="105"/>
  <c r="R51" i="105"/>
  <c r="P52" i="107"/>
  <c r="R51" i="107"/>
  <c r="C39" i="87"/>
  <c r="D39" i="87" s="1"/>
  <c r="B40" i="87"/>
  <c r="U72" i="33"/>
  <c r="N72" i="33"/>
  <c r="R72" i="33"/>
  <c r="O72" i="33"/>
  <c r="O73" i="33" s="1"/>
  <c r="O85" i="33" s="1"/>
  <c r="S72" i="33"/>
  <c r="S73" i="33" s="1"/>
  <c r="T72" i="33"/>
  <c r="Q72" i="33"/>
  <c r="Q73" i="33" s="1"/>
  <c r="Q85" i="33" s="1"/>
  <c r="V72" i="33"/>
  <c r="V73" i="33" s="1"/>
  <c r="P72" i="33"/>
  <c r="W72" i="33"/>
  <c r="W73" i="33" s="1"/>
  <c r="F15" i="12"/>
  <c r="F25" i="12"/>
  <c r="B40" i="96"/>
  <c r="C39" i="96"/>
  <c r="N42" i="12"/>
  <c r="O42" i="12" s="1"/>
  <c r="K73" i="33"/>
  <c r="B26" i="94"/>
  <c r="C26" i="94" s="1"/>
  <c r="D39" i="99"/>
  <c r="C38" i="80"/>
  <c r="B39" i="80"/>
  <c r="B52" i="89"/>
  <c r="C51" i="89"/>
  <c r="C50" i="103"/>
  <c r="B51" i="103"/>
  <c r="C40" i="106"/>
  <c r="B41" i="106"/>
  <c r="R37" i="90"/>
  <c r="P40" i="89"/>
  <c r="R39" i="89"/>
  <c r="P52" i="106"/>
  <c r="Q52" i="106" s="1"/>
  <c r="R51" i="106"/>
  <c r="P52" i="111"/>
  <c r="Q52" i="111" s="1"/>
  <c r="R51" i="111"/>
  <c r="D38" i="87"/>
  <c r="D49" i="112"/>
  <c r="R51" i="100"/>
  <c r="R38" i="108"/>
  <c r="B51" i="100"/>
  <c r="C50" i="100"/>
  <c r="C39" i="108"/>
  <c r="B40" i="108"/>
  <c r="C39" i="88"/>
  <c r="B40" i="88"/>
  <c r="L73" i="33"/>
  <c r="H73" i="33"/>
  <c r="H85" i="33" s="1"/>
  <c r="B96" i="33" s="1"/>
  <c r="G17" i="12"/>
  <c r="G6" i="12" s="1"/>
  <c r="I6" i="12"/>
  <c r="C40" i="99"/>
  <c r="B41" i="99"/>
  <c r="D54" i="80"/>
  <c r="L18" i="12"/>
  <c r="M28" i="12"/>
  <c r="K18" i="12"/>
  <c r="I18" i="12" s="1"/>
  <c r="K7" i="12"/>
  <c r="C40" i="100"/>
  <c r="B41" i="100"/>
  <c r="D40" i="106"/>
  <c r="L20" i="12"/>
  <c r="M30" i="12"/>
  <c r="K9" i="12"/>
  <c r="K20" i="12"/>
  <c r="P52" i="90"/>
  <c r="R51" i="90"/>
  <c r="P52" i="102"/>
  <c r="Q52" i="102" s="1"/>
  <c r="R37" i="99"/>
  <c r="D38" i="93"/>
  <c r="D38" i="88"/>
  <c r="I73" i="33"/>
  <c r="G27" i="12"/>
  <c r="C38" i="92"/>
  <c r="B39" i="92"/>
  <c r="D38" i="108"/>
  <c r="B41" i="91"/>
  <c r="C40" i="91"/>
  <c r="R37" i="94"/>
  <c r="P52" i="108"/>
  <c r="Q52" i="108" s="1"/>
  <c r="R51" i="108"/>
  <c r="B40" i="89"/>
  <c r="C39" i="89"/>
  <c r="N31" i="12"/>
  <c r="C50" i="108"/>
  <c r="B51" i="108"/>
  <c r="J73" i="33"/>
  <c r="G15" i="12"/>
  <c r="I4" i="12"/>
  <c r="M78" i="33"/>
  <c r="M82" i="33" s="1"/>
  <c r="N78" i="33"/>
  <c r="N82" i="33" s="1"/>
  <c r="I78" i="33"/>
  <c r="I82" i="33" s="1"/>
  <c r="Q86" i="33" s="1"/>
  <c r="J78" i="33"/>
  <c r="J82" i="33" s="1"/>
  <c r="R86" i="33" s="1"/>
  <c r="K78" i="33"/>
  <c r="K82" i="33" s="1"/>
  <c r="E78" i="33"/>
  <c r="E82" i="33" s="1"/>
  <c r="M86" i="33" s="1"/>
  <c r="H78" i="33"/>
  <c r="H82" i="33" s="1"/>
  <c r="P86" i="33" s="1"/>
  <c r="L78" i="33"/>
  <c r="L82" i="33" s="1"/>
  <c r="F78" i="33"/>
  <c r="F82" i="33" s="1"/>
  <c r="N86" i="33" s="1"/>
  <c r="B108" i="33" s="1"/>
  <c r="G78" i="33"/>
  <c r="G82" i="33" s="1"/>
  <c r="O86" i="33" s="1"/>
  <c r="B109" i="33" s="1"/>
  <c r="B39" i="101"/>
  <c r="C38" i="101"/>
  <c r="D38" i="101" s="1"/>
  <c r="B28" i="100"/>
  <c r="C28" i="100" s="1"/>
  <c r="D28" i="100"/>
  <c r="D27" i="100"/>
  <c r="D39" i="108"/>
  <c r="D50" i="100"/>
  <c r="D52" i="87"/>
  <c r="B41" i="111"/>
  <c r="C40" i="111"/>
  <c r="D39" i="106"/>
  <c r="B26" i="109"/>
  <c r="C26" i="109" s="1"/>
  <c r="D26" i="109" s="1"/>
  <c r="R38" i="87"/>
  <c r="P52" i="109"/>
  <c r="Q52" i="109" s="1"/>
  <c r="R51" i="109"/>
  <c r="I16" i="12"/>
  <c r="D38" i="89"/>
  <c r="C50" i="112"/>
  <c r="D50" i="112" s="1"/>
  <c r="B51" i="112"/>
  <c r="C52" i="109"/>
  <c r="B53" i="109"/>
  <c r="D26" i="94"/>
  <c r="D38" i="96"/>
  <c r="L19" i="12"/>
  <c r="M29" i="12"/>
  <c r="K19" i="12"/>
  <c r="I19" i="12" s="1"/>
  <c r="K8" i="12"/>
  <c r="D49" i="100"/>
  <c r="B26" i="92"/>
  <c r="C26" i="92" s="1"/>
  <c r="D26" i="92" s="1"/>
  <c r="D25" i="92"/>
  <c r="D39" i="96"/>
  <c r="Q52" i="112"/>
  <c r="P41" i="112"/>
  <c r="Q41" i="112" s="1"/>
  <c r="R41" i="112" s="1"/>
  <c r="P39" i="111"/>
  <c r="P39" i="108"/>
  <c r="Q52" i="107"/>
  <c r="P40" i="107"/>
  <c r="Q39" i="107"/>
  <c r="Q52" i="99"/>
  <c r="P38" i="99"/>
  <c r="Q52" i="105"/>
  <c r="P53" i="105" s="1"/>
  <c r="Q38" i="105"/>
  <c r="Q52" i="104"/>
  <c r="Q40" i="104"/>
  <c r="R40" i="104" s="1"/>
  <c r="Q52" i="101"/>
  <c r="Q38" i="100"/>
  <c r="R38" i="100" s="1"/>
  <c r="Q52" i="89"/>
  <c r="Q40" i="89"/>
  <c r="R40" i="89" s="1"/>
  <c r="Q52" i="96"/>
  <c r="P41" i="96"/>
  <c r="Q52" i="94"/>
  <c r="P38" i="94"/>
  <c r="Q52" i="93"/>
  <c r="P41" i="93"/>
  <c r="Q41" i="93" s="1"/>
  <c r="R41" i="93" s="1"/>
  <c r="Q39" i="92"/>
  <c r="P40" i="92" s="1"/>
  <c r="Q52" i="91"/>
  <c r="R52" i="91" s="1"/>
  <c r="Q40" i="91"/>
  <c r="R40" i="91" s="1"/>
  <c r="Q52" i="90"/>
  <c r="P38" i="90"/>
  <c r="Q52" i="88"/>
  <c r="Q40" i="88"/>
  <c r="R40" i="88" s="1"/>
  <c r="P53" i="87"/>
  <c r="Q52" i="87"/>
  <c r="R52" i="87" s="1"/>
  <c r="P39" i="87"/>
  <c r="P54" i="110"/>
  <c r="Q54" i="110" s="1"/>
  <c r="R54" i="110" s="1"/>
  <c r="P41" i="109"/>
  <c r="Q41" i="109" s="1"/>
  <c r="R41" i="109" s="1"/>
  <c r="P41" i="106"/>
  <c r="Q41" i="106" s="1"/>
  <c r="R41" i="106" s="1"/>
  <c r="P41" i="103"/>
  <c r="P41" i="102"/>
  <c r="Q41" i="102" s="1"/>
  <c r="R41" i="102" s="1"/>
  <c r="P42" i="93"/>
  <c r="Q42" i="93" s="1"/>
  <c r="R42" i="93" s="1"/>
  <c r="Q53" i="80"/>
  <c r="R53" i="80" s="1"/>
  <c r="P53" i="80"/>
  <c r="P41" i="80"/>
  <c r="Q41" i="80" s="1"/>
  <c r="R41" i="80" s="1"/>
  <c r="R25" i="112"/>
  <c r="P26" i="112"/>
  <c r="Q26" i="112" s="1"/>
  <c r="R25" i="111"/>
  <c r="P26" i="111"/>
  <c r="R25" i="110"/>
  <c r="P26" i="110"/>
  <c r="R26" i="109"/>
  <c r="P27" i="109"/>
  <c r="P28" i="108"/>
  <c r="R27" i="108"/>
  <c r="B42" i="112"/>
  <c r="C42" i="112" s="1"/>
  <c r="C41" i="112"/>
  <c r="D40" i="112"/>
  <c r="B52" i="110"/>
  <c r="C51" i="110"/>
  <c r="D51" i="110" s="1"/>
  <c r="C40" i="110"/>
  <c r="B41" i="110"/>
  <c r="D50" i="110"/>
  <c r="B26" i="101"/>
  <c r="C26" i="101" s="1"/>
  <c r="B27" i="101" s="1"/>
  <c r="C27" i="101" s="1"/>
  <c r="B28" i="101" s="1"/>
  <c r="C28" i="101" s="1"/>
  <c r="B29" i="101" s="1"/>
  <c r="C29" i="101" s="1"/>
  <c r="B30" i="101" s="1"/>
  <c r="C30" i="101" s="1"/>
  <c r="D30" i="101" s="1"/>
  <c r="D26" i="101"/>
  <c r="D25" i="101"/>
  <c r="B54" i="101"/>
  <c r="C54" i="101" s="1"/>
  <c r="C53" i="101"/>
  <c r="D53" i="101" s="1"/>
  <c r="D28" i="101"/>
  <c r="D29" i="101"/>
  <c r="D38" i="102"/>
  <c r="B53" i="102"/>
  <c r="C52" i="102"/>
  <c r="D52" i="102" s="1"/>
  <c r="C39" i="102"/>
  <c r="D39" i="102" s="1"/>
  <c r="B40" i="102"/>
  <c r="B40" i="103"/>
  <c r="C39" i="103"/>
  <c r="B53" i="104"/>
  <c r="C52" i="104"/>
  <c r="D52" i="104" s="1"/>
  <c r="C39" i="104"/>
  <c r="B40" i="104"/>
  <c r="C52" i="105"/>
  <c r="B53" i="105"/>
  <c r="B40" i="105"/>
  <c r="C39" i="105"/>
  <c r="D51" i="105"/>
  <c r="D52" i="105"/>
  <c r="D50" i="106"/>
  <c r="D51" i="106"/>
  <c r="C51" i="106"/>
  <c r="B52" i="106"/>
  <c r="C40" i="109"/>
  <c r="B41" i="109"/>
  <c r="B52" i="107"/>
  <c r="C51" i="107"/>
  <c r="D51" i="107" s="1"/>
  <c r="C38" i="107"/>
  <c r="D38" i="107" s="1"/>
  <c r="B39" i="107"/>
  <c r="Q26" i="106"/>
  <c r="P28" i="104"/>
  <c r="P28" i="103"/>
  <c r="Q28" i="103" s="1"/>
  <c r="P29" i="103" s="1"/>
  <c r="Q29" i="103" s="1"/>
  <c r="P27" i="102"/>
  <c r="Q27" i="102" s="1"/>
  <c r="R26" i="102"/>
  <c r="Q27" i="101"/>
  <c r="P28" i="101" s="1"/>
  <c r="R26" i="100"/>
  <c r="R27" i="100"/>
  <c r="R26" i="96"/>
  <c r="R27" i="96"/>
  <c r="P28" i="96"/>
  <c r="Q27" i="96"/>
  <c r="P28" i="94"/>
  <c r="Q27" i="93"/>
  <c r="Q26" i="92"/>
  <c r="Q26" i="91"/>
  <c r="Q27" i="90"/>
  <c r="R26" i="88"/>
  <c r="P28" i="88"/>
  <c r="Q28" i="88" s="1"/>
  <c r="P29" i="107"/>
  <c r="Q29" i="107" s="1"/>
  <c r="R28" i="107"/>
  <c r="P29" i="105"/>
  <c r="R28" i="105"/>
  <c r="R28" i="103"/>
  <c r="P29" i="89"/>
  <c r="Q29" i="89" s="1"/>
  <c r="R28" i="89"/>
  <c r="P28" i="87"/>
  <c r="R27" i="87"/>
  <c r="N73" i="33" l="1"/>
  <c r="N85" i="33" s="1"/>
  <c r="T73" i="33"/>
  <c r="P73" i="33"/>
  <c r="P85" i="33" s="1"/>
  <c r="R73" i="33"/>
  <c r="R85" i="33" s="1"/>
  <c r="U73" i="33"/>
  <c r="I85" i="33"/>
  <c r="B97" i="33" s="1"/>
  <c r="O97" i="33" s="1"/>
  <c r="K85" i="33"/>
  <c r="B99" i="33" s="1"/>
  <c r="K99" i="33" s="1"/>
  <c r="D41" i="12"/>
  <c r="M85" i="33"/>
  <c r="B101" i="33" s="1"/>
  <c r="V101" i="33" s="1"/>
  <c r="V102" i="33" s="1"/>
  <c r="F94" i="33"/>
  <c r="F102" i="33" s="1"/>
  <c r="F113" i="33" s="1"/>
  <c r="O94" i="33"/>
  <c r="I94" i="33"/>
  <c r="G94" i="33"/>
  <c r="L94" i="33"/>
  <c r="M94" i="33"/>
  <c r="H94" i="33"/>
  <c r="K94" i="33"/>
  <c r="N94" i="33"/>
  <c r="P53" i="109"/>
  <c r="R52" i="109"/>
  <c r="P53" i="106"/>
  <c r="R52" i="106"/>
  <c r="R38" i="101"/>
  <c r="P39" i="101"/>
  <c r="P53" i="108"/>
  <c r="R52" i="108"/>
  <c r="P53" i="92"/>
  <c r="R52" i="92"/>
  <c r="P53" i="102"/>
  <c r="R52" i="102"/>
  <c r="D41" i="99"/>
  <c r="P53" i="111"/>
  <c r="R52" i="111"/>
  <c r="R52" i="103"/>
  <c r="P53" i="103"/>
  <c r="R39" i="107"/>
  <c r="I8" i="12"/>
  <c r="C39" i="101"/>
  <c r="B40" i="101"/>
  <c r="D50" i="108"/>
  <c r="D41" i="91"/>
  <c r="D40" i="91"/>
  <c r="B42" i="99"/>
  <c r="C42" i="99" s="1"/>
  <c r="C41" i="99"/>
  <c r="L85" i="33"/>
  <c r="B100" i="33" s="1"/>
  <c r="B52" i="99"/>
  <c r="C51" i="99"/>
  <c r="I14" i="12"/>
  <c r="M39" i="12"/>
  <c r="K21" i="12"/>
  <c r="C43" i="12"/>
  <c r="D54" i="101"/>
  <c r="R38" i="105"/>
  <c r="P53" i="107"/>
  <c r="R52" i="107"/>
  <c r="J19" i="12"/>
  <c r="G19" i="12" s="1"/>
  <c r="G8" i="12" s="1"/>
  <c r="B19" i="12"/>
  <c r="B29" i="12"/>
  <c r="C51" i="112"/>
  <c r="B52" i="112"/>
  <c r="L108" i="33"/>
  <c r="G108" i="33"/>
  <c r="O108" i="33"/>
  <c r="I108" i="33"/>
  <c r="M108" i="33"/>
  <c r="N108" i="33"/>
  <c r="H108" i="33"/>
  <c r="K108" i="33"/>
  <c r="J108" i="33"/>
  <c r="F108" i="33"/>
  <c r="B20" i="12"/>
  <c r="J20" i="12"/>
  <c r="B30" i="12"/>
  <c r="G28" i="12"/>
  <c r="C40" i="88"/>
  <c r="D40" i="88" s="1"/>
  <c r="B41" i="88"/>
  <c r="E15" i="12"/>
  <c r="E25" i="12"/>
  <c r="J14" i="12"/>
  <c r="B24" i="12"/>
  <c r="M40" i="12"/>
  <c r="L21" i="12"/>
  <c r="B14" i="12"/>
  <c r="C53" i="87"/>
  <c r="B54" i="87"/>
  <c r="C54" i="87" s="1"/>
  <c r="D54" i="87" s="1"/>
  <c r="H16" i="12"/>
  <c r="H5" i="12" s="1"/>
  <c r="J5" i="12"/>
  <c r="D43" i="12"/>
  <c r="P53" i="90"/>
  <c r="R52" i="90"/>
  <c r="M109" i="33"/>
  <c r="N109" i="33"/>
  <c r="I109" i="33"/>
  <c r="H109" i="33"/>
  <c r="G109" i="33"/>
  <c r="K109" i="33"/>
  <c r="P109" i="33"/>
  <c r="P110" i="33" s="1"/>
  <c r="J109" i="33"/>
  <c r="L109" i="33"/>
  <c r="O109" i="33"/>
  <c r="B42" i="91"/>
  <c r="C42" i="91" s="1"/>
  <c r="C41" i="91"/>
  <c r="D42" i="91" s="1"/>
  <c r="M31" i="12"/>
  <c r="G24" i="12"/>
  <c r="B40" i="90"/>
  <c r="C39" i="90"/>
  <c r="B52" i="96"/>
  <c r="C51" i="96"/>
  <c r="P53" i="93"/>
  <c r="R52" i="93"/>
  <c r="P53" i="101"/>
  <c r="R52" i="101"/>
  <c r="J18" i="12"/>
  <c r="B18" i="12"/>
  <c r="B28" i="12"/>
  <c r="D52" i="89"/>
  <c r="D51" i="89"/>
  <c r="D40" i="99"/>
  <c r="F4" i="12"/>
  <c r="R52" i="105"/>
  <c r="P41" i="110"/>
  <c r="Q41" i="110" s="1"/>
  <c r="R40" i="110"/>
  <c r="P53" i="91"/>
  <c r="P53" i="89"/>
  <c r="Q53" i="89" s="1"/>
  <c r="R52" i="89"/>
  <c r="P53" i="112"/>
  <c r="R52" i="112"/>
  <c r="B27" i="92"/>
  <c r="C27" i="92" s="1"/>
  <c r="D41" i="111"/>
  <c r="D40" i="111"/>
  <c r="B41" i="89"/>
  <c r="C40" i="89"/>
  <c r="D39" i="88"/>
  <c r="B42" i="100"/>
  <c r="C42" i="100" s="1"/>
  <c r="C41" i="100"/>
  <c r="D42" i="100" s="1"/>
  <c r="L36" i="95" s="1"/>
  <c r="C40" i="108"/>
  <c r="B41" i="108"/>
  <c r="B53" i="89"/>
  <c r="C52" i="89"/>
  <c r="D42" i="99"/>
  <c r="B40" i="93"/>
  <c r="C39" i="93"/>
  <c r="H4" i="12"/>
  <c r="B54" i="88"/>
  <c r="C54" i="88" s="1"/>
  <c r="C53" i="88"/>
  <c r="P53" i="96"/>
  <c r="Q53" i="96" s="1"/>
  <c r="R52" i="96"/>
  <c r="P53" i="104"/>
  <c r="R52" i="104"/>
  <c r="G29" i="12"/>
  <c r="B27" i="109"/>
  <c r="C27" i="109" s="1"/>
  <c r="B28" i="109" s="1"/>
  <c r="C28" i="109" s="1"/>
  <c r="B29" i="109" s="1"/>
  <c r="C29" i="109" s="1"/>
  <c r="B30" i="109" s="1"/>
  <c r="C30" i="109" s="1"/>
  <c r="D30" i="109" s="1"/>
  <c r="D27" i="109"/>
  <c r="B95" i="33"/>
  <c r="P41" i="88"/>
  <c r="D40" i="89"/>
  <c r="B42" i="111"/>
  <c r="C42" i="111" s="1"/>
  <c r="C41" i="111"/>
  <c r="D42" i="111" s="1"/>
  <c r="B107" i="33"/>
  <c r="T86" i="33"/>
  <c r="G4" i="12"/>
  <c r="C39" i="92"/>
  <c r="D39" i="92" s="1"/>
  <c r="B40" i="92"/>
  <c r="D40" i="100"/>
  <c r="L34" i="95" s="1"/>
  <c r="D40" i="108"/>
  <c r="D53" i="87"/>
  <c r="N41" i="12"/>
  <c r="O41" i="12" s="1"/>
  <c r="D53" i="91"/>
  <c r="P54" i="100"/>
  <c r="Q54" i="100" s="1"/>
  <c r="R54" i="100" s="1"/>
  <c r="R53" i="100"/>
  <c r="I7" i="12"/>
  <c r="G18" i="12"/>
  <c r="G7" i="12" s="1"/>
  <c r="P41" i="104"/>
  <c r="P53" i="88"/>
  <c r="R52" i="88"/>
  <c r="P53" i="94"/>
  <c r="R52" i="94"/>
  <c r="P39" i="100"/>
  <c r="B29" i="100"/>
  <c r="C29" i="100" s="1"/>
  <c r="B30" i="100" s="1"/>
  <c r="C30" i="100" s="1"/>
  <c r="D30" i="100" s="1"/>
  <c r="D29" i="100"/>
  <c r="J85" i="33"/>
  <c r="B98" i="33" s="1"/>
  <c r="D38" i="92"/>
  <c r="D52" i="109"/>
  <c r="B42" i="106"/>
  <c r="C42" i="106" s="1"/>
  <c r="C41" i="106"/>
  <c r="D42" i="106" s="1"/>
  <c r="C39" i="80"/>
  <c r="D39" i="80" s="1"/>
  <c r="B40" i="80"/>
  <c r="D39" i="93"/>
  <c r="K21" i="13"/>
  <c r="K17" i="13"/>
  <c r="K20" i="13"/>
  <c r="K2" i="13"/>
  <c r="K3" i="13" s="1"/>
  <c r="K4" i="13" s="1"/>
  <c r="K19" i="13"/>
  <c r="K18" i="13"/>
  <c r="K10" i="12"/>
  <c r="C53" i="91"/>
  <c r="D54" i="91" s="1"/>
  <c r="B54" i="91"/>
  <c r="C54" i="91" s="1"/>
  <c r="F16" i="12"/>
  <c r="F5" i="12" s="1"/>
  <c r="F26" i="12"/>
  <c r="C39" i="94"/>
  <c r="D39" i="94" s="1"/>
  <c r="B40" i="94"/>
  <c r="G30" i="12"/>
  <c r="C51" i="103"/>
  <c r="D51" i="103" s="1"/>
  <c r="B52" i="103"/>
  <c r="B41" i="96"/>
  <c r="C40" i="96"/>
  <c r="P53" i="99"/>
  <c r="R52" i="99"/>
  <c r="B54" i="109"/>
  <c r="C54" i="109" s="1"/>
  <c r="D54" i="109" s="1"/>
  <c r="C53" i="109"/>
  <c r="D53" i="109" s="1"/>
  <c r="G16" i="12"/>
  <c r="G5" i="12" s="1"/>
  <c r="I5" i="12"/>
  <c r="D28" i="109"/>
  <c r="D39" i="101"/>
  <c r="C51" i="108"/>
  <c r="B52" i="108"/>
  <c r="D51" i="112"/>
  <c r="F27" i="12"/>
  <c r="I20" i="12"/>
  <c r="Q96" i="33"/>
  <c r="K96" i="33"/>
  <c r="M96" i="33"/>
  <c r="L96" i="33"/>
  <c r="I96" i="33"/>
  <c r="N96" i="33"/>
  <c r="O96" i="33"/>
  <c r="H96" i="33"/>
  <c r="J96" i="33"/>
  <c r="P96" i="33"/>
  <c r="C51" i="100"/>
  <c r="B52" i="100"/>
  <c r="D41" i="106"/>
  <c r="D38" i="80"/>
  <c r="B27" i="94"/>
  <c r="C27" i="94" s="1"/>
  <c r="B28" i="94" s="1"/>
  <c r="C28" i="94" s="1"/>
  <c r="B29" i="94" s="1"/>
  <c r="C29" i="94" s="1"/>
  <c r="B41" i="87"/>
  <c r="C40" i="87"/>
  <c r="D40" i="87" s="1"/>
  <c r="H17" i="12"/>
  <c r="H6" i="12" s="1"/>
  <c r="J6" i="12"/>
  <c r="R52" i="110"/>
  <c r="D39" i="89"/>
  <c r="Q53" i="112"/>
  <c r="P42" i="112"/>
  <c r="Q53" i="111"/>
  <c r="Q39" i="111"/>
  <c r="R39" i="111" s="1"/>
  <c r="Q53" i="109"/>
  <c r="R53" i="109" s="1"/>
  <c r="P54" i="108"/>
  <c r="Q54" i="108" s="1"/>
  <c r="R54" i="108" s="1"/>
  <c r="Q53" i="108"/>
  <c r="R53" i="108" s="1"/>
  <c r="P40" i="108"/>
  <c r="Q39" i="108"/>
  <c r="R39" i="108" s="1"/>
  <c r="Q53" i="107"/>
  <c r="Q40" i="107"/>
  <c r="R40" i="107" s="1"/>
  <c r="Q53" i="99"/>
  <c r="P39" i="99"/>
  <c r="Q38" i="99"/>
  <c r="R38" i="99" s="1"/>
  <c r="Q53" i="106"/>
  <c r="P54" i="105"/>
  <c r="Q54" i="105" s="1"/>
  <c r="R54" i="105" s="1"/>
  <c r="Q53" i="105"/>
  <c r="R53" i="105" s="1"/>
  <c r="P39" i="105"/>
  <c r="Q53" i="104"/>
  <c r="Q41" i="104"/>
  <c r="P54" i="103"/>
  <c r="Q54" i="103" s="1"/>
  <c r="R54" i="103" s="1"/>
  <c r="Q53" i="103"/>
  <c r="R53" i="103" s="1"/>
  <c r="Q41" i="103"/>
  <c r="Q53" i="102"/>
  <c r="Q53" i="101"/>
  <c r="P40" i="101"/>
  <c r="Q39" i="101"/>
  <c r="R39" i="101" s="1"/>
  <c r="Q39" i="100"/>
  <c r="R39" i="100" s="1"/>
  <c r="P41" i="89"/>
  <c r="Q41" i="96"/>
  <c r="R41" i="96" s="1"/>
  <c r="Q53" i="94"/>
  <c r="R53" i="94" s="1"/>
  <c r="Q38" i="94"/>
  <c r="R38" i="94" s="1"/>
  <c r="Q53" i="93"/>
  <c r="Q53" i="92"/>
  <c r="Q40" i="92"/>
  <c r="R40" i="92" s="1"/>
  <c r="Q53" i="91"/>
  <c r="P41" i="91"/>
  <c r="Q53" i="90"/>
  <c r="R53" i="90" s="1"/>
  <c r="Q38" i="90"/>
  <c r="R38" i="90" s="1"/>
  <c r="P54" i="88"/>
  <c r="Q54" i="88" s="1"/>
  <c r="R54" i="88" s="1"/>
  <c r="Q53" i="88"/>
  <c r="R53" i="88" s="1"/>
  <c r="Q41" i="88"/>
  <c r="R41" i="88" s="1"/>
  <c r="P54" i="87"/>
  <c r="Q54" i="87" s="1"/>
  <c r="R54" i="87" s="1"/>
  <c r="Q53" i="87"/>
  <c r="R53" i="87" s="1"/>
  <c r="Q39" i="87"/>
  <c r="R39" i="87" s="1"/>
  <c r="P42" i="109"/>
  <c r="Q42" i="109" s="1"/>
  <c r="P42" i="106"/>
  <c r="P42" i="102"/>
  <c r="Q42" i="102" s="1"/>
  <c r="P54" i="80"/>
  <c r="Q54" i="80" s="1"/>
  <c r="R54" i="80" s="1"/>
  <c r="P42" i="80"/>
  <c r="Q42" i="80" s="1"/>
  <c r="R42" i="80" s="1"/>
  <c r="P27" i="111"/>
  <c r="Q26" i="111"/>
  <c r="Q26" i="110"/>
  <c r="P28" i="109"/>
  <c r="Q27" i="109"/>
  <c r="Q28" i="108"/>
  <c r="D42" i="112"/>
  <c r="D41" i="112"/>
  <c r="D40" i="110"/>
  <c r="B53" i="110"/>
  <c r="C52" i="110"/>
  <c r="C41" i="110"/>
  <c r="D41" i="110" s="1"/>
  <c r="B42" i="110"/>
  <c r="C42" i="110" s="1"/>
  <c r="D27" i="101"/>
  <c r="C53" i="102"/>
  <c r="D53" i="102" s="1"/>
  <c r="B54" i="102"/>
  <c r="C54" i="102" s="1"/>
  <c r="D54" i="102" s="1"/>
  <c r="C40" i="102"/>
  <c r="D40" i="102" s="1"/>
  <c r="B41" i="102"/>
  <c r="D40" i="103"/>
  <c r="D39" i="103"/>
  <c r="C40" i="103"/>
  <c r="B41" i="103"/>
  <c r="B41" i="104"/>
  <c r="C40" i="104"/>
  <c r="D39" i="104"/>
  <c r="B54" i="104"/>
  <c r="C54" i="104" s="1"/>
  <c r="C53" i="104"/>
  <c r="C40" i="105"/>
  <c r="B41" i="105"/>
  <c r="B54" i="105"/>
  <c r="C54" i="105" s="1"/>
  <c r="C53" i="105"/>
  <c r="D53" i="105" s="1"/>
  <c r="D40" i="105"/>
  <c r="D39" i="105"/>
  <c r="C52" i="106"/>
  <c r="B53" i="106"/>
  <c r="C41" i="109"/>
  <c r="D41" i="109" s="1"/>
  <c r="B42" i="109"/>
  <c r="C42" i="109" s="1"/>
  <c r="D40" i="109"/>
  <c r="C39" i="107"/>
  <c r="B40" i="107"/>
  <c r="B53" i="107"/>
  <c r="C52" i="107"/>
  <c r="D52" i="107" s="1"/>
  <c r="R26" i="106"/>
  <c r="P27" i="106"/>
  <c r="P30" i="105"/>
  <c r="Q29" i="105"/>
  <c r="Q28" i="104"/>
  <c r="R27" i="101"/>
  <c r="P29" i="101"/>
  <c r="Q28" i="101"/>
  <c r="R28" i="101" s="1"/>
  <c r="P28" i="100"/>
  <c r="Q28" i="100" s="1"/>
  <c r="Q28" i="96"/>
  <c r="Q28" i="94"/>
  <c r="R27" i="93"/>
  <c r="P28" i="93"/>
  <c r="R26" i="92"/>
  <c r="P27" i="92"/>
  <c r="R26" i="91"/>
  <c r="P27" i="91"/>
  <c r="R27" i="90"/>
  <c r="P28" i="90"/>
  <c r="R28" i="88"/>
  <c r="R27" i="88"/>
  <c r="P30" i="107"/>
  <c r="R29" i="107"/>
  <c r="R29" i="105"/>
  <c r="P30" i="103"/>
  <c r="Q30" i="103" s="1"/>
  <c r="R29" i="103"/>
  <c r="P30" i="89"/>
  <c r="Q30" i="89" s="1"/>
  <c r="R30" i="89" s="1"/>
  <c r="R29" i="89"/>
  <c r="Q28" i="87"/>
  <c r="P26" i="80"/>
  <c r="R25" i="80"/>
  <c r="S85" i="33" l="1"/>
  <c r="T85" i="33" s="1"/>
  <c r="T87" i="33" s="1"/>
  <c r="W87" i="33" s="1"/>
  <c r="Q97" i="33"/>
  <c r="J97" i="33"/>
  <c r="R97" i="33"/>
  <c r="N97" i="33"/>
  <c r="I97" i="33"/>
  <c r="M97" i="33"/>
  <c r="L97" i="33"/>
  <c r="P97" i="33"/>
  <c r="K97" i="33"/>
  <c r="L99" i="33"/>
  <c r="P99" i="33"/>
  <c r="M99" i="33"/>
  <c r="R99" i="33"/>
  <c r="S99" i="33"/>
  <c r="N99" i="33"/>
  <c r="Q99" i="33"/>
  <c r="O99" i="33"/>
  <c r="T99" i="33"/>
  <c r="P101" i="33"/>
  <c r="S101" i="33"/>
  <c r="T101" i="33"/>
  <c r="Q101" i="33"/>
  <c r="O101" i="33"/>
  <c r="M101" i="33"/>
  <c r="U101" i="33"/>
  <c r="R101" i="33"/>
  <c r="N101" i="33"/>
  <c r="B31" i="12"/>
  <c r="P54" i="89"/>
  <c r="Q54" i="89" s="1"/>
  <c r="R54" i="89" s="1"/>
  <c r="R53" i="89"/>
  <c r="R53" i="96"/>
  <c r="P54" i="96"/>
  <c r="Q54" i="96" s="1"/>
  <c r="R54" i="96" s="1"/>
  <c r="R42" i="102"/>
  <c r="B30" i="94"/>
  <c r="C30" i="94" s="1"/>
  <c r="D30" i="94" s="1"/>
  <c r="D29" i="94"/>
  <c r="E16" i="12"/>
  <c r="E5" i="12" s="1"/>
  <c r="E26" i="12"/>
  <c r="K53" i="13"/>
  <c r="K19" i="17" s="1"/>
  <c r="K52" i="17" s="1"/>
  <c r="K43" i="13"/>
  <c r="N98" i="33"/>
  <c r="S98" i="33"/>
  <c r="L98" i="33"/>
  <c r="O98" i="33"/>
  <c r="R98" i="33"/>
  <c r="Q98" i="33"/>
  <c r="M98" i="33"/>
  <c r="J98" i="33"/>
  <c r="P98" i="33"/>
  <c r="K98" i="33"/>
  <c r="D29" i="109"/>
  <c r="B41" i="93"/>
  <c r="C40" i="93"/>
  <c r="N40" i="12"/>
  <c r="O40" i="12" s="1"/>
  <c r="B42" i="88"/>
  <c r="C42" i="88" s="1"/>
  <c r="C41" i="88"/>
  <c r="D51" i="99"/>
  <c r="G20" i="12"/>
  <c r="G9" i="12" s="1"/>
  <c r="I9" i="12"/>
  <c r="C52" i="112"/>
  <c r="B53" i="112"/>
  <c r="B53" i="99"/>
  <c r="C52" i="99"/>
  <c r="P54" i="91"/>
  <c r="Q54" i="91" s="1"/>
  <c r="R54" i="91" s="1"/>
  <c r="R53" i="91"/>
  <c r="P54" i="94"/>
  <c r="Q54" i="94" s="1"/>
  <c r="R54" i="94" s="1"/>
  <c r="P54" i="104"/>
  <c r="Q54" i="104" s="1"/>
  <c r="R54" i="104" s="1"/>
  <c r="R53" i="104"/>
  <c r="P54" i="99"/>
  <c r="Q54" i="99" s="1"/>
  <c r="R54" i="99" s="1"/>
  <c r="R53" i="99"/>
  <c r="P54" i="109"/>
  <c r="Q54" i="109" s="1"/>
  <c r="R54" i="109" s="1"/>
  <c r="P54" i="111"/>
  <c r="Q54" i="111" s="1"/>
  <c r="R54" i="111" s="1"/>
  <c r="R53" i="111"/>
  <c r="E17" i="12"/>
  <c r="E6" i="12" s="1"/>
  <c r="E27" i="12"/>
  <c r="K54" i="13"/>
  <c r="K44" i="13"/>
  <c r="K21" i="15"/>
  <c r="K21" i="20"/>
  <c r="K21" i="18"/>
  <c r="D40" i="96"/>
  <c r="E107" i="33"/>
  <c r="E110" i="33" s="1"/>
  <c r="M114" i="33" s="1"/>
  <c r="F107" i="33"/>
  <c r="F110" i="33" s="1"/>
  <c r="N114" i="33" s="1"/>
  <c r="H107" i="33"/>
  <c r="H110" i="33" s="1"/>
  <c r="P114" i="33" s="1"/>
  <c r="K107" i="33"/>
  <c r="K110" i="33" s="1"/>
  <c r="G107" i="33"/>
  <c r="G110" i="33" s="1"/>
  <c r="O114" i="33" s="1"/>
  <c r="L107" i="33"/>
  <c r="L110" i="33" s="1"/>
  <c r="I107" i="33"/>
  <c r="I110" i="33" s="1"/>
  <c r="Q114" i="33" s="1"/>
  <c r="J107" i="33"/>
  <c r="J110" i="33" s="1"/>
  <c r="M107" i="33"/>
  <c r="M110" i="33" s="1"/>
  <c r="N107" i="33"/>
  <c r="N110" i="33" s="1"/>
  <c r="D54" i="88"/>
  <c r="D53" i="88"/>
  <c r="R41" i="110"/>
  <c r="P42" i="110"/>
  <c r="Q42" i="110" s="1"/>
  <c r="D51" i="96"/>
  <c r="H14" i="12"/>
  <c r="J3" i="12"/>
  <c r="J21" i="12"/>
  <c r="M38" i="12"/>
  <c r="C42" i="12"/>
  <c r="F28" i="12"/>
  <c r="K40" i="13"/>
  <c r="K50" i="13"/>
  <c r="F17" i="12"/>
  <c r="F6" i="12" s="1"/>
  <c r="B53" i="96"/>
  <c r="C52" i="96"/>
  <c r="D51" i="108"/>
  <c r="P54" i="101"/>
  <c r="Q54" i="101" s="1"/>
  <c r="R54" i="101" s="1"/>
  <c r="R53" i="101"/>
  <c r="P54" i="107"/>
  <c r="Q54" i="107" s="1"/>
  <c r="R54" i="107" s="1"/>
  <c r="R53" i="107"/>
  <c r="C41" i="96"/>
  <c r="D41" i="96" s="1"/>
  <c r="B42" i="96"/>
  <c r="C42" i="96" s="1"/>
  <c r="D42" i="96" s="1"/>
  <c r="C40" i="80"/>
  <c r="B41" i="80"/>
  <c r="D41" i="100"/>
  <c r="F29" i="12"/>
  <c r="B54" i="89"/>
  <c r="C54" i="89" s="1"/>
  <c r="D54" i="89" s="1"/>
  <c r="C53" i="89"/>
  <c r="D53" i="89" s="1"/>
  <c r="D15" i="12"/>
  <c r="D25" i="12"/>
  <c r="G43" i="12"/>
  <c r="E43" i="12"/>
  <c r="O100" i="33"/>
  <c r="L100" i="33"/>
  <c r="T100" i="33"/>
  <c r="M100" i="33"/>
  <c r="S100" i="33"/>
  <c r="N100" i="33"/>
  <c r="P100" i="33"/>
  <c r="U100" i="33"/>
  <c r="R100" i="33"/>
  <c r="Q100" i="33"/>
  <c r="P54" i="92"/>
  <c r="Q54" i="92" s="1"/>
  <c r="R54" i="92" s="1"/>
  <c r="R53" i="92"/>
  <c r="P54" i="102"/>
  <c r="Q54" i="102" s="1"/>
  <c r="R54" i="102" s="1"/>
  <c r="R53" i="102"/>
  <c r="P54" i="112"/>
  <c r="Q54" i="112" s="1"/>
  <c r="R54" i="112" s="1"/>
  <c r="R53" i="112"/>
  <c r="C52" i="100"/>
  <c r="D52" i="100" s="1"/>
  <c r="B53" i="100"/>
  <c r="C52" i="108"/>
  <c r="B53" i="108"/>
  <c r="B53" i="103"/>
  <c r="C52" i="103"/>
  <c r="D52" i="103" s="1"/>
  <c r="K51" i="13"/>
  <c r="K17" i="17" s="1"/>
  <c r="K50" i="17" s="1"/>
  <c r="K16" i="17"/>
  <c r="K49" i="17" s="1"/>
  <c r="K41" i="13"/>
  <c r="B41" i="92"/>
  <c r="C40" i="92"/>
  <c r="B28" i="92"/>
  <c r="C28" i="92" s="1"/>
  <c r="D27" i="92"/>
  <c r="B41" i="90"/>
  <c r="C40" i="90"/>
  <c r="D40" i="90" s="1"/>
  <c r="E4" i="12"/>
  <c r="J9" i="12"/>
  <c r="H20" i="12"/>
  <c r="H9" i="12" s="1"/>
  <c r="H19" i="12"/>
  <c r="H8" i="12" s="1"/>
  <c r="J8" i="12"/>
  <c r="D28" i="94"/>
  <c r="D41" i="88"/>
  <c r="R42" i="109"/>
  <c r="P42" i="103"/>
  <c r="Q42" i="103" s="1"/>
  <c r="R42" i="103" s="1"/>
  <c r="R41" i="103"/>
  <c r="C41" i="87"/>
  <c r="D41" i="87" s="1"/>
  <c r="B42" i="87"/>
  <c r="C42" i="87" s="1"/>
  <c r="D42" i="87" s="1"/>
  <c r="D51" i="100"/>
  <c r="C40" i="94"/>
  <c r="D40" i="94" s="1"/>
  <c r="B41" i="94"/>
  <c r="K42" i="13"/>
  <c r="K52" i="13"/>
  <c r="C41" i="89"/>
  <c r="B42" i="89"/>
  <c r="C42" i="89" s="1"/>
  <c r="D34" i="12"/>
  <c r="G31" i="12"/>
  <c r="F24" i="12"/>
  <c r="B21" i="12"/>
  <c r="C34" i="12"/>
  <c r="O110" i="33"/>
  <c r="N39" i="12"/>
  <c r="O39" i="12" s="1"/>
  <c r="D39" i="90"/>
  <c r="P42" i="104"/>
  <c r="Q42" i="104" s="1"/>
  <c r="R42" i="104" s="1"/>
  <c r="R41" i="104"/>
  <c r="P54" i="90"/>
  <c r="Q54" i="90" s="1"/>
  <c r="R54" i="90" s="1"/>
  <c r="P54" i="93"/>
  <c r="Q54" i="93" s="1"/>
  <c r="R53" i="93"/>
  <c r="P42" i="96"/>
  <c r="Q42" i="96" s="1"/>
  <c r="R42" i="96" s="1"/>
  <c r="P54" i="106"/>
  <c r="Q54" i="106" s="1"/>
  <c r="R54" i="106" s="1"/>
  <c r="R53" i="106"/>
  <c r="D27" i="94"/>
  <c r="F30" i="12"/>
  <c r="K5" i="13"/>
  <c r="D39" i="12"/>
  <c r="L95" i="33"/>
  <c r="I95" i="33"/>
  <c r="H95" i="33"/>
  <c r="H102" i="33" s="1"/>
  <c r="H113" i="33" s="1"/>
  <c r="N95" i="33"/>
  <c r="K95" i="33"/>
  <c r="G95" i="33"/>
  <c r="G102" i="33" s="1"/>
  <c r="G113" i="33" s="1"/>
  <c r="P95" i="33"/>
  <c r="M95" i="33"/>
  <c r="J95" i="33"/>
  <c r="O95" i="33"/>
  <c r="D40" i="93"/>
  <c r="C41" i="108"/>
  <c r="D41" i="108" s="1"/>
  <c r="B42" i="108"/>
  <c r="C42" i="108" s="1"/>
  <c r="D42" i="108" s="1"/>
  <c r="H18" i="12"/>
  <c r="H7" i="12" s="1"/>
  <c r="J7" i="12"/>
  <c r="D42" i="12"/>
  <c r="I3" i="12"/>
  <c r="G14" i="12"/>
  <c r="M37" i="12"/>
  <c r="C41" i="12"/>
  <c r="I21" i="12"/>
  <c r="C40" i="101"/>
  <c r="D40" i="101" s="1"/>
  <c r="B41" i="101"/>
  <c r="Q42" i="112"/>
  <c r="R42" i="112" s="1"/>
  <c r="P40" i="111"/>
  <c r="Q40" i="108"/>
  <c r="P41" i="107"/>
  <c r="Q39" i="99"/>
  <c r="R39" i="99" s="1"/>
  <c r="Q42" i="106"/>
  <c r="R42" i="106" s="1"/>
  <c r="Q39" i="105"/>
  <c r="R39" i="105" s="1"/>
  <c r="Q40" i="101"/>
  <c r="R40" i="101" s="1"/>
  <c r="P40" i="100"/>
  <c r="Q41" i="89"/>
  <c r="R41" i="89" s="1"/>
  <c r="P39" i="94"/>
  <c r="P41" i="92"/>
  <c r="Q41" i="91"/>
  <c r="R41" i="91" s="1"/>
  <c r="P39" i="90"/>
  <c r="P42" i="88"/>
  <c r="Q42" i="88" s="1"/>
  <c r="P40" i="87"/>
  <c r="R26" i="112"/>
  <c r="P27" i="112"/>
  <c r="Q27" i="112" s="1"/>
  <c r="R26" i="111"/>
  <c r="Q27" i="111"/>
  <c r="R26" i="110"/>
  <c r="P27" i="110"/>
  <c r="R27" i="109"/>
  <c r="Q28" i="109"/>
  <c r="P29" i="109" s="1"/>
  <c r="R28" i="108"/>
  <c r="P29" i="108"/>
  <c r="Q30" i="107"/>
  <c r="R30" i="107" s="1"/>
  <c r="D42" i="110"/>
  <c r="B54" i="110"/>
  <c r="C54" i="110" s="1"/>
  <c r="D54" i="110" s="1"/>
  <c r="C53" i="110"/>
  <c r="D53" i="110"/>
  <c r="D52" i="110"/>
  <c r="B42" i="102"/>
  <c r="C42" i="102" s="1"/>
  <c r="C41" i="102"/>
  <c r="D41" i="102" s="1"/>
  <c r="C41" i="103"/>
  <c r="B42" i="103"/>
  <c r="C42" i="103" s="1"/>
  <c r="D40" i="104"/>
  <c r="C41" i="104"/>
  <c r="D42" i="104" s="1"/>
  <c r="B42" i="104"/>
  <c r="C42" i="104" s="1"/>
  <c r="D54" i="104"/>
  <c r="D53" i="104"/>
  <c r="D54" i="105"/>
  <c r="B42" i="105"/>
  <c r="C42" i="105" s="1"/>
  <c r="C41" i="105"/>
  <c r="D41" i="105" s="1"/>
  <c r="C53" i="106"/>
  <c r="D53" i="106" s="1"/>
  <c r="B54" i="106"/>
  <c r="C54" i="106" s="1"/>
  <c r="D54" i="106" s="1"/>
  <c r="D52" i="106"/>
  <c r="D42" i="109"/>
  <c r="B41" i="107"/>
  <c r="C40" i="107"/>
  <c r="D40" i="107" s="1"/>
  <c r="B54" i="107"/>
  <c r="C54" i="107" s="1"/>
  <c r="C53" i="107"/>
  <c r="D53" i="107" s="1"/>
  <c r="D39" i="107"/>
  <c r="Q27" i="106"/>
  <c r="R30" i="105"/>
  <c r="Q30" i="105"/>
  <c r="R28" i="104"/>
  <c r="P29" i="104"/>
  <c r="R30" i="103"/>
  <c r="R27" i="102"/>
  <c r="P28" i="102"/>
  <c r="Q28" i="102" s="1"/>
  <c r="P30" i="101"/>
  <c r="Q30" i="101" s="1"/>
  <c r="R30" i="101" s="1"/>
  <c r="Q29" i="101"/>
  <c r="R29" i="101" s="1"/>
  <c r="R28" i="96"/>
  <c r="P29" i="96"/>
  <c r="R28" i="94"/>
  <c r="P29" i="94"/>
  <c r="Q28" i="93"/>
  <c r="Q27" i="92"/>
  <c r="P28" i="92" s="1"/>
  <c r="Q27" i="91"/>
  <c r="Q28" i="90"/>
  <c r="P29" i="88"/>
  <c r="Q29" i="88" s="1"/>
  <c r="R28" i="87"/>
  <c r="P29" i="87"/>
  <c r="R26" i="80"/>
  <c r="Q26" i="80"/>
  <c r="P27" i="80" s="1"/>
  <c r="Q27" i="80" s="1"/>
  <c r="U102" i="33" l="1"/>
  <c r="F120" i="33"/>
  <c r="U85" i="33"/>
  <c r="E120" i="33" s="1"/>
  <c r="I102" i="33"/>
  <c r="I113" i="33" s="1"/>
  <c r="T102" i="33"/>
  <c r="S114" i="33"/>
  <c r="F19" i="12"/>
  <c r="F8" i="12" s="1"/>
  <c r="D40" i="12"/>
  <c r="J102" i="33"/>
  <c r="J113" i="33" s="1"/>
  <c r="P102" i="33"/>
  <c r="P113" i="33" s="1"/>
  <c r="O102" i="33"/>
  <c r="O113" i="33" s="1"/>
  <c r="R102" i="33"/>
  <c r="K102" i="33"/>
  <c r="K113" i="33" s="1"/>
  <c r="Q102" i="33"/>
  <c r="Q113" i="33" s="1"/>
  <c r="C41" i="94"/>
  <c r="B42" i="94"/>
  <c r="C42" i="94" s="1"/>
  <c r="B29" i="92"/>
  <c r="C29" i="92" s="1"/>
  <c r="B30" i="92" s="1"/>
  <c r="C30" i="92" s="1"/>
  <c r="D28" i="92"/>
  <c r="D53" i="96"/>
  <c r="D52" i="96"/>
  <c r="H3" i="12"/>
  <c r="M36" i="12"/>
  <c r="C40" i="12"/>
  <c r="H21" i="12"/>
  <c r="D54" i="107"/>
  <c r="D42" i="105"/>
  <c r="E41" i="12"/>
  <c r="G41" i="12"/>
  <c r="K6" i="13"/>
  <c r="D53" i="103"/>
  <c r="D42" i="89"/>
  <c r="B54" i="103"/>
  <c r="C54" i="103" s="1"/>
  <c r="D54" i="103" s="1"/>
  <c r="C53" i="103"/>
  <c r="C53" i="96"/>
  <c r="B54" i="96"/>
  <c r="C54" i="96" s="1"/>
  <c r="R40" i="108"/>
  <c r="N37" i="12"/>
  <c r="O37" i="12"/>
  <c r="D41" i="92"/>
  <c r="D40" i="92"/>
  <c r="B54" i="108"/>
  <c r="C54" i="108" s="1"/>
  <c r="D54" i="108" s="1"/>
  <c r="C53" i="108"/>
  <c r="D53" i="108" s="1"/>
  <c r="E18" i="12"/>
  <c r="E28" i="12"/>
  <c r="D54" i="96"/>
  <c r="B54" i="99"/>
  <c r="C54" i="99" s="1"/>
  <c r="C53" i="99"/>
  <c r="D53" i="99" s="1"/>
  <c r="B42" i="93"/>
  <c r="C42" i="93" s="1"/>
  <c r="C41" i="93"/>
  <c r="D41" i="93" s="1"/>
  <c r="D16" i="12"/>
  <c r="D5" i="12" s="1"/>
  <c r="D26" i="12"/>
  <c r="P42" i="91"/>
  <c r="Q42" i="91" s="1"/>
  <c r="R42" i="91" s="1"/>
  <c r="G3" i="12"/>
  <c r="C39" i="12"/>
  <c r="M35" i="12"/>
  <c r="G21" i="12"/>
  <c r="N102" i="33"/>
  <c r="N113" i="33" s="1"/>
  <c r="R54" i="93"/>
  <c r="C41" i="92"/>
  <c r="D42" i="92" s="1"/>
  <c r="B42" i="92"/>
  <c r="C42" i="92" s="1"/>
  <c r="E19" i="12"/>
  <c r="E8" i="12" s="1"/>
  <c r="E29" i="12"/>
  <c r="F18" i="12"/>
  <c r="K20" i="17"/>
  <c r="K53" i="17" s="1"/>
  <c r="K54" i="15"/>
  <c r="K54" i="18"/>
  <c r="K54" i="20"/>
  <c r="B54" i="112"/>
  <c r="C54" i="112" s="1"/>
  <c r="C53" i="112"/>
  <c r="D53" i="112" s="1"/>
  <c r="G34" i="12"/>
  <c r="E34" i="12"/>
  <c r="I17" i="13"/>
  <c r="I20" i="13"/>
  <c r="I2" i="13"/>
  <c r="I3" i="13" s="1"/>
  <c r="I4" i="13" s="1"/>
  <c r="I18" i="13"/>
  <c r="I19" i="13"/>
  <c r="I21" i="13"/>
  <c r="I10" i="12"/>
  <c r="E20" i="12"/>
  <c r="E9" i="12" s="1"/>
  <c r="E30" i="12"/>
  <c r="F31" i="12"/>
  <c r="E14" i="12"/>
  <c r="E24" i="12"/>
  <c r="B54" i="100"/>
  <c r="C54" i="100" s="1"/>
  <c r="C53" i="100"/>
  <c r="E42" i="12"/>
  <c r="G42" i="12"/>
  <c r="R42" i="110"/>
  <c r="D17" i="12"/>
  <c r="D6" i="12" s="1"/>
  <c r="D27" i="12"/>
  <c r="D52" i="112"/>
  <c r="D54" i="112"/>
  <c r="D52" i="99"/>
  <c r="S102" i="33"/>
  <c r="F20" i="12"/>
  <c r="F9" i="12" s="1"/>
  <c r="F14" i="12"/>
  <c r="C41" i="90"/>
  <c r="D41" i="90" s="1"/>
  <c r="B42" i="90"/>
  <c r="C42" i="90" s="1"/>
  <c r="D42" i="90" s="1"/>
  <c r="L35" i="95"/>
  <c r="N38" i="12"/>
  <c r="O38" i="12" s="1"/>
  <c r="B42" i="101"/>
  <c r="C42" i="101" s="1"/>
  <c r="C41" i="101"/>
  <c r="L102" i="33"/>
  <c r="L113" i="33" s="1"/>
  <c r="D30" i="92"/>
  <c r="C15" i="12"/>
  <c r="C25" i="12"/>
  <c r="L4" i="12" s="1"/>
  <c r="B4" i="12" s="1"/>
  <c r="C41" i="80"/>
  <c r="D41" i="80" s="1"/>
  <c r="B42" i="80"/>
  <c r="C42" i="80" s="1"/>
  <c r="D42" i="88"/>
  <c r="D52" i="108"/>
  <c r="R42" i="88"/>
  <c r="P40" i="105"/>
  <c r="M102" i="33"/>
  <c r="M113" i="33" s="1"/>
  <c r="D4" i="12"/>
  <c r="D40" i="80"/>
  <c r="D42" i="80"/>
  <c r="J20" i="13"/>
  <c r="J17" i="13"/>
  <c r="J21" i="13"/>
  <c r="J2" i="13"/>
  <c r="J3" i="13" s="1"/>
  <c r="J4" i="13" s="1"/>
  <c r="J19" i="13"/>
  <c r="J18" i="13"/>
  <c r="J10" i="12"/>
  <c r="X21" i="15"/>
  <c r="X21" i="18" s="1"/>
  <c r="X21" i="20" s="1"/>
  <c r="K20" i="14"/>
  <c r="K18" i="17"/>
  <c r="K51" i="17" s="1"/>
  <c r="D41" i="89"/>
  <c r="Q40" i="111"/>
  <c r="R40" i="111" s="1"/>
  <c r="P41" i="108"/>
  <c r="P42" i="107"/>
  <c r="Q42" i="107" s="1"/>
  <c r="R42" i="107" s="1"/>
  <c r="Q41" i="107"/>
  <c r="R41" i="107" s="1"/>
  <c r="P40" i="99"/>
  <c r="Q40" i="105"/>
  <c r="R40" i="105" s="1"/>
  <c r="P41" i="101"/>
  <c r="Q40" i="100"/>
  <c r="R40" i="100" s="1"/>
  <c r="P42" i="89"/>
  <c r="Q39" i="94"/>
  <c r="R39" i="94" s="1"/>
  <c r="Q41" i="92"/>
  <c r="R41" i="92" s="1"/>
  <c r="Q39" i="90"/>
  <c r="R39" i="90" s="1"/>
  <c r="Q40" i="87"/>
  <c r="R40" i="87" s="1"/>
  <c r="P28" i="112"/>
  <c r="Q28" i="112" s="1"/>
  <c r="R27" i="111"/>
  <c r="P28" i="111"/>
  <c r="Q27" i="110"/>
  <c r="R28" i="109"/>
  <c r="Q29" i="109"/>
  <c r="R29" i="109" s="1"/>
  <c r="Q29" i="108"/>
  <c r="D42" i="102"/>
  <c r="D42" i="103"/>
  <c r="D41" i="103"/>
  <c r="D41" i="104"/>
  <c r="B42" i="107"/>
  <c r="C42" i="107" s="1"/>
  <c r="C41" i="107"/>
  <c r="D41" i="107" s="1"/>
  <c r="R27" i="106"/>
  <c r="P28" i="106"/>
  <c r="Q29" i="104"/>
  <c r="P29" i="102"/>
  <c r="Q29" i="102" s="1"/>
  <c r="R28" i="100"/>
  <c r="P29" i="100"/>
  <c r="Q29" i="100" s="1"/>
  <c r="Q29" i="96"/>
  <c r="R29" i="96" s="1"/>
  <c r="Q29" i="94"/>
  <c r="R28" i="93"/>
  <c r="P29" i="93"/>
  <c r="P29" i="92"/>
  <c r="Q28" i="92"/>
  <c r="R27" i="92"/>
  <c r="R28" i="92"/>
  <c r="R27" i="91"/>
  <c r="P28" i="91"/>
  <c r="R28" i="90"/>
  <c r="P29" i="90"/>
  <c r="R29" i="88"/>
  <c r="Q29" i="87"/>
  <c r="R29" i="87" s="1"/>
  <c r="R27" i="80"/>
  <c r="P28" i="80"/>
  <c r="Q28" i="80"/>
  <c r="P29" i="80" s="1"/>
  <c r="G120" i="33" l="1"/>
  <c r="W113" i="33"/>
  <c r="R113" i="33"/>
  <c r="T113" i="33" s="1"/>
  <c r="E122" i="33"/>
  <c r="H120" i="33"/>
  <c r="P41" i="111"/>
  <c r="D41" i="101"/>
  <c r="D42" i="101"/>
  <c r="I40" i="13"/>
  <c r="I50" i="13"/>
  <c r="I16" i="17" s="1"/>
  <c r="I49" i="17" s="1"/>
  <c r="J52" i="13"/>
  <c r="J42" i="13"/>
  <c r="D53" i="100"/>
  <c r="D54" i="100"/>
  <c r="F7" i="12"/>
  <c r="D38" i="12"/>
  <c r="H2" i="13"/>
  <c r="H3" i="13" s="1"/>
  <c r="H4" i="13" s="1"/>
  <c r="H17" i="13"/>
  <c r="H20" i="13"/>
  <c r="H21" i="13"/>
  <c r="H18" i="13"/>
  <c r="H19" i="13"/>
  <c r="H10" i="12"/>
  <c r="J5" i="13"/>
  <c r="F3" i="12"/>
  <c r="C38" i="12"/>
  <c r="M34" i="12"/>
  <c r="F21" i="12"/>
  <c r="C17" i="12"/>
  <c r="C6" i="12" s="1"/>
  <c r="C27" i="12"/>
  <c r="L6" i="12" s="1"/>
  <c r="B6" i="12" s="1"/>
  <c r="D19" i="12"/>
  <c r="D8" i="12" s="1"/>
  <c r="D29" i="12"/>
  <c r="D18" i="12"/>
  <c r="D7" i="12" s="1"/>
  <c r="D28" i="12"/>
  <c r="D41" i="94"/>
  <c r="D42" i="94"/>
  <c r="J41" i="13"/>
  <c r="J51" i="13"/>
  <c r="J17" i="17" s="1"/>
  <c r="J50" i="17" s="1"/>
  <c r="K20" i="15"/>
  <c r="K53" i="14"/>
  <c r="K20" i="18"/>
  <c r="K20" i="20"/>
  <c r="J54" i="13"/>
  <c r="J44" i="13"/>
  <c r="J21" i="15"/>
  <c r="J21" i="18"/>
  <c r="J21" i="20"/>
  <c r="C4" i="12"/>
  <c r="I54" i="13"/>
  <c r="I44" i="13"/>
  <c r="I21" i="18"/>
  <c r="I21" i="20"/>
  <c r="I21" i="15"/>
  <c r="N35" i="12"/>
  <c r="O35" i="12" s="1"/>
  <c r="C16" i="12"/>
  <c r="C5" i="12" s="1"/>
  <c r="C26" i="12"/>
  <c r="L5" i="12" s="1"/>
  <c r="B5" i="12" s="1"/>
  <c r="E7" i="12"/>
  <c r="D37" i="12"/>
  <c r="J40" i="13"/>
  <c r="J50" i="13"/>
  <c r="J16" i="17" s="1"/>
  <c r="J49" i="17" s="1"/>
  <c r="E31" i="12"/>
  <c r="D14" i="12"/>
  <c r="D24" i="12"/>
  <c r="I52" i="13"/>
  <c r="I42" i="13"/>
  <c r="G39" i="12"/>
  <c r="E39" i="12"/>
  <c r="K7" i="13"/>
  <c r="P41" i="105"/>
  <c r="J43" i="13"/>
  <c r="J53" i="13"/>
  <c r="J19" i="17" s="1"/>
  <c r="J52" i="17" s="1"/>
  <c r="E3" i="12"/>
  <c r="C37" i="12"/>
  <c r="E21" i="12"/>
  <c r="I51" i="13"/>
  <c r="I17" i="17" s="1"/>
  <c r="I50" i="17" s="1"/>
  <c r="I41" i="13"/>
  <c r="G21" i="13"/>
  <c r="G17" i="13"/>
  <c r="G2" i="13"/>
  <c r="G3" i="13" s="1"/>
  <c r="G4" i="13" s="1"/>
  <c r="G20" i="13"/>
  <c r="G19" i="13"/>
  <c r="G18" i="13"/>
  <c r="G10" i="12"/>
  <c r="P30" i="109"/>
  <c r="Q30" i="109" s="1"/>
  <c r="P42" i="92"/>
  <c r="Q42" i="92" s="1"/>
  <c r="R42" i="92" s="1"/>
  <c r="I5" i="13"/>
  <c r="X54" i="15"/>
  <c r="X54" i="18" s="1"/>
  <c r="X54" i="20" s="1"/>
  <c r="D42" i="93"/>
  <c r="G40" i="12"/>
  <c r="E40" i="12"/>
  <c r="D29" i="92"/>
  <c r="D20" i="12"/>
  <c r="D9" i="12" s="1"/>
  <c r="D30" i="12"/>
  <c r="I43" i="13"/>
  <c r="I53" i="13"/>
  <c r="I19" i="17" s="1"/>
  <c r="I52" i="17" s="1"/>
  <c r="I18" i="17"/>
  <c r="I51" i="17" s="1"/>
  <c r="D54" i="99"/>
  <c r="N36" i="12"/>
  <c r="O36" i="12" s="1"/>
  <c r="Q41" i="111"/>
  <c r="R41" i="111" s="1"/>
  <c r="Q41" i="108"/>
  <c r="R41" i="108" s="1"/>
  <c r="Q40" i="99"/>
  <c r="R40" i="99" s="1"/>
  <c r="Q41" i="105"/>
  <c r="R41" i="105" s="1"/>
  <c r="Q41" i="101"/>
  <c r="R41" i="101" s="1"/>
  <c r="P41" i="100"/>
  <c r="Q42" i="89"/>
  <c r="R42" i="89" s="1"/>
  <c r="P40" i="94"/>
  <c r="P40" i="90"/>
  <c r="P41" i="87"/>
  <c r="R28" i="112"/>
  <c r="R27" i="112"/>
  <c r="P29" i="112"/>
  <c r="Q29" i="112" s="1"/>
  <c r="Q28" i="111"/>
  <c r="R28" i="111" s="1"/>
  <c r="R27" i="110"/>
  <c r="P28" i="110"/>
  <c r="R30" i="109"/>
  <c r="R29" i="108"/>
  <c r="P30" i="108"/>
  <c r="Q30" i="108" s="1"/>
  <c r="R30" i="108" s="1"/>
  <c r="D42" i="107"/>
  <c r="Q28" i="106"/>
  <c r="R29" i="104"/>
  <c r="P30" i="104"/>
  <c r="Q30" i="104" s="1"/>
  <c r="R30" i="104" s="1"/>
  <c r="R28" i="102"/>
  <c r="R29" i="102"/>
  <c r="P30" i="102"/>
  <c r="Q30" i="102" s="1"/>
  <c r="P30" i="100"/>
  <c r="Q30" i="100" s="1"/>
  <c r="P30" i="96"/>
  <c r="Q30" i="96" s="1"/>
  <c r="R30" i="96" s="1"/>
  <c r="R29" i="94"/>
  <c r="P30" i="94"/>
  <c r="Q30" i="94" s="1"/>
  <c r="R30" i="94" s="1"/>
  <c r="Q29" i="93"/>
  <c r="P30" i="92"/>
  <c r="Q30" i="92" s="1"/>
  <c r="Q29" i="92"/>
  <c r="Q28" i="91"/>
  <c r="Q29" i="90"/>
  <c r="P30" i="88"/>
  <c r="P30" i="87"/>
  <c r="Q30" i="87" s="1"/>
  <c r="R30" i="87" s="1"/>
  <c r="R28" i="80"/>
  <c r="Q29" i="80"/>
  <c r="P30" i="80" s="1"/>
  <c r="Q30" i="80" s="1"/>
  <c r="F121" i="33" l="1"/>
  <c r="F122" i="33" s="1"/>
  <c r="S113" i="33"/>
  <c r="S115" i="33" s="1"/>
  <c r="X115" i="33" s="1"/>
  <c r="K53" i="15"/>
  <c r="K53" i="20"/>
  <c r="K53" i="18"/>
  <c r="G5" i="13"/>
  <c r="E37" i="12"/>
  <c r="G37" i="12"/>
  <c r="D3" i="12"/>
  <c r="D21" i="12"/>
  <c r="C36" i="12"/>
  <c r="J20" i="14"/>
  <c r="W21" i="15"/>
  <c r="W21" i="18" s="1"/>
  <c r="W21" i="20" s="1"/>
  <c r="K19" i="14"/>
  <c r="X20" i="15"/>
  <c r="X20" i="18" s="1"/>
  <c r="X20" i="20" s="1"/>
  <c r="C18" i="12"/>
  <c r="C7" i="12" s="1"/>
  <c r="C28" i="12"/>
  <c r="L7" i="12" s="1"/>
  <c r="B7" i="12" s="1"/>
  <c r="N34" i="12"/>
  <c r="N46" i="12" s="1"/>
  <c r="O34" i="12"/>
  <c r="G40" i="13"/>
  <c r="G50" i="13"/>
  <c r="E21" i="13"/>
  <c r="E17" i="13"/>
  <c r="E19" i="13"/>
  <c r="E18" i="13"/>
  <c r="E2" i="13"/>
  <c r="E3" i="13" s="1"/>
  <c r="E4" i="13" s="1"/>
  <c r="E20" i="13"/>
  <c r="E10" i="12"/>
  <c r="E38" i="12"/>
  <c r="G38" i="12"/>
  <c r="H42" i="13"/>
  <c r="H52" i="13"/>
  <c r="H18" i="17" s="1"/>
  <c r="H51" i="17" s="1"/>
  <c r="D31" i="12"/>
  <c r="C14" i="12"/>
  <c r="C24" i="12"/>
  <c r="G54" i="13"/>
  <c r="G44" i="13"/>
  <c r="G21" i="20"/>
  <c r="G21" i="18"/>
  <c r="G21" i="15"/>
  <c r="I20" i="17"/>
  <c r="I53" i="17" s="1"/>
  <c r="I54" i="18"/>
  <c r="I54" i="15"/>
  <c r="I54" i="20"/>
  <c r="C19" i="12"/>
  <c r="C8" i="12" s="1"/>
  <c r="C29" i="12"/>
  <c r="L8" i="12" s="1"/>
  <c r="B8" i="12" s="1"/>
  <c r="F2" i="13"/>
  <c r="F3" i="13" s="1"/>
  <c r="F4" i="13" s="1"/>
  <c r="F18" i="13"/>
  <c r="F21" i="13"/>
  <c r="F17" i="13"/>
  <c r="F19" i="13"/>
  <c r="F20" i="13"/>
  <c r="F10" i="12"/>
  <c r="H41" i="13"/>
  <c r="H51" i="13"/>
  <c r="H17" i="17" s="1"/>
  <c r="H50" i="17" s="1"/>
  <c r="H54" i="13"/>
  <c r="H44" i="13"/>
  <c r="H21" i="18"/>
  <c r="H21" i="20"/>
  <c r="H21" i="15"/>
  <c r="G53" i="13"/>
  <c r="G43" i="13"/>
  <c r="J18" i="17"/>
  <c r="J51" i="17" s="1"/>
  <c r="I20" i="14"/>
  <c r="V21" i="15"/>
  <c r="V21" i="18" s="1"/>
  <c r="V21" i="20" s="1"/>
  <c r="J20" i="17"/>
  <c r="J53" i="17" s="1"/>
  <c r="J54" i="15"/>
  <c r="J54" i="18"/>
  <c r="J54" i="20"/>
  <c r="D36" i="12"/>
  <c r="H43" i="13"/>
  <c r="H53" i="13"/>
  <c r="C20" i="12"/>
  <c r="C9" i="12" s="1"/>
  <c r="C30" i="12"/>
  <c r="L9" i="12" s="1"/>
  <c r="B9" i="12" s="1"/>
  <c r="G51" i="13"/>
  <c r="G17" i="17" s="1"/>
  <c r="G50" i="17" s="1"/>
  <c r="G41" i="13"/>
  <c r="G16" i="17"/>
  <c r="G49" i="17" s="1"/>
  <c r="H50" i="13"/>
  <c r="H16" i="17" s="1"/>
  <c r="H49" i="17" s="1"/>
  <c r="H40" i="13"/>
  <c r="I6" i="13"/>
  <c r="G42" i="13"/>
  <c r="G52" i="13"/>
  <c r="G18" i="17" s="1"/>
  <c r="G51" i="17" s="1"/>
  <c r="K8" i="13"/>
  <c r="J6" i="13"/>
  <c r="H5" i="13"/>
  <c r="P42" i="111"/>
  <c r="Q42" i="111" s="1"/>
  <c r="R42" i="111" s="1"/>
  <c r="P42" i="108"/>
  <c r="Q42" i="108" s="1"/>
  <c r="P41" i="99"/>
  <c r="P42" i="105"/>
  <c r="Q42" i="105" s="1"/>
  <c r="R42" i="105" s="1"/>
  <c r="P42" i="101"/>
  <c r="Q42" i="101" s="1"/>
  <c r="Q41" i="100"/>
  <c r="R41" i="100" s="1"/>
  <c r="Q40" i="94"/>
  <c r="R40" i="94" s="1"/>
  <c r="P41" i="90"/>
  <c r="Q40" i="90"/>
  <c r="R40" i="90" s="1"/>
  <c r="Q41" i="87"/>
  <c r="R29" i="112"/>
  <c r="P29" i="111"/>
  <c r="Q28" i="110"/>
  <c r="R28" i="106"/>
  <c r="P29" i="106"/>
  <c r="R30" i="102"/>
  <c r="R30" i="100"/>
  <c r="R29" i="100"/>
  <c r="R29" i="93"/>
  <c r="R30" i="93"/>
  <c r="P30" i="93"/>
  <c r="Q30" i="93" s="1"/>
  <c r="R29" i="92"/>
  <c r="R30" i="92"/>
  <c r="R28" i="91"/>
  <c r="P29" i="91"/>
  <c r="R29" i="90"/>
  <c r="P30" i="90"/>
  <c r="Q30" i="90" s="1"/>
  <c r="R30" i="90" s="1"/>
  <c r="R30" i="88"/>
  <c r="Q30" i="88"/>
  <c r="R29" i="80"/>
  <c r="R30" i="80"/>
  <c r="M46" i="12" l="1"/>
  <c r="G121" i="33"/>
  <c r="G122" i="33" s="1"/>
  <c r="H122" i="33" s="1"/>
  <c r="F52" i="13"/>
  <c r="F18" i="17" s="1"/>
  <c r="F51" i="17" s="1"/>
  <c r="F42" i="13"/>
  <c r="K52" i="14"/>
  <c r="K19" i="18"/>
  <c r="K19" i="15"/>
  <c r="K19" i="20"/>
  <c r="I7" i="13"/>
  <c r="F50" i="13"/>
  <c r="F16" i="17" s="1"/>
  <c r="F49" i="17" s="1"/>
  <c r="F40" i="13"/>
  <c r="L3" i="12"/>
  <c r="C31" i="12"/>
  <c r="E50" i="13"/>
  <c r="E16" i="17" s="1"/>
  <c r="E49" i="17" s="1"/>
  <c r="E40" i="13"/>
  <c r="W54" i="15"/>
  <c r="W54" i="18" s="1"/>
  <c r="W54" i="20" s="1"/>
  <c r="V54" i="15"/>
  <c r="V54" i="18" s="1"/>
  <c r="V54" i="20" s="1"/>
  <c r="X53" i="15"/>
  <c r="X53" i="18" s="1"/>
  <c r="X53" i="20" s="1"/>
  <c r="R42" i="101"/>
  <c r="H6" i="13"/>
  <c r="K9" i="13"/>
  <c r="I20" i="15"/>
  <c r="I53" i="14"/>
  <c r="I20" i="18"/>
  <c r="I20" i="20"/>
  <c r="H20" i="17"/>
  <c r="H53" i="17" s="1"/>
  <c r="H54" i="15"/>
  <c r="H54" i="18"/>
  <c r="H54" i="20"/>
  <c r="F44" i="13"/>
  <c r="F54" i="13"/>
  <c r="F21" i="18"/>
  <c r="F21" i="15"/>
  <c r="F21" i="20"/>
  <c r="G19" i="17"/>
  <c r="G52" i="17" s="1"/>
  <c r="C3" i="12"/>
  <c r="C21" i="12"/>
  <c r="C35" i="12"/>
  <c r="E44" i="13"/>
  <c r="E54" i="13"/>
  <c r="E21" i="18"/>
  <c r="E21" i="15"/>
  <c r="E21" i="20"/>
  <c r="J53" i="14"/>
  <c r="J20" i="15"/>
  <c r="J20" i="18"/>
  <c r="J20" i="20"/>
  <c r="G6" i="13"/>
  <c r="R41" i="87"/>
  <c r="F41" i="13"/>
  <c r="F51" i="13"/>
  <c r="F17" i="17" s="1"/>
  <c r="F50" i="17" s="1"/>
  <c r="J7" i="13"/>
  <c r="H20" i="14"/>
  <c r="U21" i="15"/>
  <c r="U21" i="18" s="1"/>
  <c r="U21" i="20" s="1"/>
  <c r="D35" i="12"/>
  <c r="F5" i="13"/>
  <c r="G36" i="12"/>
  <c r="E36" i="12"/>
  <c r="R42" i="108"/>
  <c r="E42" i="13"/>
  <c r="E52" i="13"/>
  <c r="G20" i="17"/>
  <c r="G53" i="17" s="1"/>
  <c r="G54" i="20"/>
  <c r="G54" i="15"/>
  <c r="G54" i="18"/>
  <c r="E43" i="13"/>
  <c r="E53" i="13"/>
  <c r="E19" i="17" s="1"/>
  <c r="E52" i="17" s="1"/>
  <c r="E5" i="13"/>
  <c r="D2" i="13"/>
  <c r="D3" i="13" s="1"/>
  <c r="D4" i="13" s="1"/>
  <c r="D18" i="13"/>
  <c r="D21" i="13"/>
  <c r="D20" i="13"/>
  <c r="D19" i="13"/>
  <c r="D17" i="13"/>
  <c r="D10" i="12"/>
  <c r="H19" i="17"/>
  <c r="H52" i="17" s="1"/>
  <c r="F43" i="13"/>
  <c r="F53" i="13"/>
  <c r="F19" i="17" s="1"/>
  <c r="F52" i="17" s="1"/>
  <c r="T21" i="15"/>
  <c r="T21" i="18" s="1"/>
  <c r="T21" i="20" s="1"/>
  <c r="G20" i="14"/>
  <c r="E51" i="13"/>
  <c r="E17" i="17" s="1"/>
  <c r="E50" i="17" s="1"/>
  <c r="E41" i="13"/>
  <c r="P42" i="99"/>
  <c r="Q42" i="99" s="1"/>
  <c r="R42" i="99" s="1"/>
  <c r="Q41" i="99"/>
  <c r="R41" i="99" s="1"/>
  <c r="P42" i="100"/>
  <c r="Q42" i="100" s="1"/>
  <c r="P41" i="94"/>
  <c r="Q41" i="90"/>
  <c r="P42" i="87"/>
  <c r="Q42" i="87" s="1"/>
  <c r="R42" i="87" s="1"/>
  <c r="P30" i="112"/>
  <c r="Q30" i="112" s="1"/>
  <c r="P30" i="111"/>
  <c r="Q30" i="111" s="1"/>
  <c r="R30" i="111" s="1"/>
  <c r="Q29" i="111"/>
  <c r="R29" i="111" s="1"/>
  <c r="R28" i="110"/>
  <c r="P29" i="110"/>
  <c r="Q29" i="106"/>
  <c r="R29" i="106" s="1"/>
  <c r="Q29" i="91"/>
  <c r="R29" i="91" s="1"/>
  <c r="D44" i="12" l="1"/>
  <c r="H121" i="33"/>
  <c r="D42" i="13"/>
  <c r="D52" i="13"/>
  <c r="D18" i="17" s="1"/>
  <c r="D51" i="17" s="1"/>
  <c r="R21" i="15"/>
  <c r="R21" i="18" s="1"/>
  <c r="R21" i="20" s="1"/>
  <c r="E20" i="14"/>
  <c r="C21" i="13"/>
  <c r="C20" i="13"/>
  <c r="C17" i="13"/>
  <c r="C19" i="13"/>
  <c r="C2" i="13"/>
  <c r="C3" i="13" s="1"/>
  <c r="C4" i="13" s="1"/>
  <c r="C18" i="13"/>
  <c r="C10" i="12"/>
  <c r="I53" i="15"/>
  <c r="I53" i="20"/>
  <c r="I53" i="18"/>
  <c r="K52" i="15"/>
  <c r="K52" i="20"/>
  <c r="K52" i="18"/>
  <c r="H53" i="14"/>
  <c r="H20" i="15"/>
  <c r="H20" i="18"/>
  <c r="H20" i="20"/>
  <c r="G20" i="15"/>
  <c r="G53" i="14"/>
  <c r="G20" i="18"/>
  <c r="G20" i="20"/>
  <c r="D53" i="13"/>
  <c r="D19" i="17" s="1"/>
  <c r="D52" i="17" s="1"/>
  <c r="D43" i="13"/>
  <c r="T54" i="15"/>
  <c r="T54" i="18" s="1"/>
  <c r="T54" i="20" s="1"/>
  <c r="V20" i="15"/>
  <c r="V20" i="18" s="1"/>
  <c r="V20" i="20" s="1"/>
  <c r="I19" i="14"/>
  <c r="D50" i="13"/>
  <c r="D16" i="17" s="1"/>
  <c r="D49" i="17" s="1"/>
  <c r="D40" i="13"/>
  <c r="D44" i="13"/>
  <c r="D54" i="13"/>
  <c r="D21" i="18"/>
  <c r="D21" i="20"/>
  <c r="D21" i="15"/>
  <c r="G7" i="13"/>
  <c r="I8" i="13"/>
  <c r="D41" i="13"/>
  <c r="D51" i="13"/>
  <c r="D17" i="17" s="1"/>
  <c r="D50" i="17" s="1"/>
  <c r="J8" i="13"/>
  <c r="E20" i="17"/>
  <c r="E53" i="17" s="1"/>
  <c r="E54" i="15"/>
  <c r="E54" i="18"/>
  <c r="E54" i="20"/>
  <c r="S21" i="15"/>
  <c r="F20" i="14"/>
  <c r="U54" i="15"/>
  <c r="U54" i="18" s="1"/>
  <c r="U54" i="20" s="1"/>
  <c r="K10" i="13"/>
  <c r="B3" i="12"/>
  <c r="L10" i="12"/>
  <c r="R41" i="90"/>
  <c r="R42" i="100"/>
  <c r="D5" i="13"/>
  <c r="F6" i="13"/>
  <c r="S21" i="18"/>
  <c r="S21" i="20" s="1"/>
  <c r="P30" i="91"/>
  <c r="Q30" i="91" s="1"/>
  <c r="R30" i="91" s="1"/>
  <c r="W20" i="15"/>
  <c r="W20" i="18" s="1"/>
  <c r="W20" i="20" s="1"/>
  <c r="J19" i="14"/>
  <c r="K17" i="25"/>
  <c r="E6" i="13"/>
  <c r="E18" i="17"/>
  <c r="E51" i="17" s="1"/>
  <c r="J53" i="15"/>
  <c r="J53" i="20"/>
  <c r="J53" i="18"/>
  <c r="E35" i="12"/>
  <c r="G35" i="12"/>
  <c r="C44" i="12"/>
  <c r="F20" i="17"/>
  <c r="F53" i="17" s="1"/>
  <c r="F54" i="20"/>
  <c r="F54" i="15"/>
  <c r="F54" i="18"/>
  <c r="H7" i="13"/>
  <c r="K18" i="14"/>
  <c r="X19" i="15"/>
  <c r="X19" i="18" s="1"/>
  <c r="X19" i="20" s="1"/>
  <c r="Q41" i="94"/>
  <c r="P42" i="90"/>
  <c r="Q42" i="90" s="1"/>
  <c r="R42" i="90" s="1"/>
  <c r="R30" i="112"/>
  <c r="Q29" i="110"/>
  <c r="R29" i="110" s="1"/>
  <c r="P30" i="106"/>
  <c r="Q30" i="106" s="1"/>
  <c r="R30" i="106" s="1"/>
  <c r="K18" i="15" l="1"/>
  <c r="K51" i="14"/>
  <c r="K18" i="18"/>
  <c r="K18" i="20"/>
  <c r="W53" i="15"/>
  <c r="C40" i="13"/>
  <c r="C50" i="13"/>
  <c r="C16" i="17" s="1"/>
  <c r="C49" i="17" s="1"/>
  <c r="R54" i="15"/>
  <c r="R54" i="18" s="1"/>
  <c r="R54" i="20" s="1"/>
  <c r="AH22" i="97"/>
  <c r="K17" i="26"/>
  <c r="K16" i="29" s="1"/>
  <c r="D6" i="13"/>
  <c r="I19" i="15"/>
  <c r="I52" i="14"/>
  <c r="I19" i="18"/>
  <c r="I19" i="20"/>
  <c r="C53" i="13"/>
  <c r="C43" i="13"/>
  <c r="G19" i="14"/>
  <c r="T20" i="15"/>
  <c r="J19" i="15"/>
  <c r="J19" i="18"/>
  <c r="J52" i="14"/>
  <c r="J19" i="20"/>
  <c r="F53" i="14"/>
  <c r="F20" i="15"/>
  <c r="F20" i="18"/>
  <c r="F20" i="20"/>
  <c r="D20" i="17"/>
  <c r="D53" i="17" s="1"/>
  <c r="D54" i="18"/>
  <c r="D54" i="15"/>
  <c r="D54" i="20"/>
  <c r="C54" i="13"/>
  <c r="C44" i="13"/>
  <c r="C21" i="20"/>
  <c r="C21" i="18"/>
  <c r="C21" i="15"/>
  <c r="H8" i="13"/>
  <c r="E7" i="13"/>
  <c r="B19" i="13"/>
  <c r="B18" i="13"/>
  <c r="B21" i="13"/>
  <c r="B20" i="13"/>
  <c r="B17" i="13"/>
  <c r="B2" i="13"/>
  <c r="B3" i="13" s="1"/>
  <c r="B4" i="13" s="1"/>
  <c r="B10" i="12"/>
  <c r="G8" i="13"/>
  <c r="U20" i="15"/>
  <c r="U20" i="18" s="1"/>
  <c r="U20" i="20" s="1"/>
  <c r="H19" i="14"/>
  <c r="V53" i="15"/>
  <c r="V53" i="18" s="1"/>
  <c r="V53" i="20" s="1"/>
  <c r="E20" i="15"/>
  <c r="E53" i="14"/>
  <c r="E20" i="18"/>
  <c r="E20" i="20"/>
  <c r="S54" i="15"/>
  <c r="S54" i="18" s="1"/>
  <c r="S54" i="20" s="1"/>
  <c r="C42" i="13"/>
  <c r="C52" i="13"/>
  <c r="R41" i="94"/>
  <c r="J9" i="13"/>
  <c r="H53" i="15"/>
  <c r="H53" i="18"/>
  <c r="H53" i="20"/>
  <c r="I9" i="13"/>
  <c r="T20" i="18"/>
  <c r="T20" i="20" s="1"/>
  <c r="C51" i="13"/>
  <c r="C17" i="17" s="1"/>
  <c r="C50" i="17" s="1"/>
  <c r="C41" i="13"/>
  <c r="X52" i="15"/>
  <c r="X52" i="18" s="1"/>
  <c r="X52" i="20" s="1"/>
  <c r="W53" i="18"/>
  <c r="W53" i="20" s="1"/>
  <c r="F7" i="13"/>
  <c r="K11" i="13"/>
  <c r="Q21" i="15"/>
  <c r="Q21" i="18" s="1"/>
  <c r="Q21" i="20" s="1"/>
  <c r="D20" i="14"/>
  <c r="G53" i="15"/>
  <c r="G53" i="20"/>
  <c r="G53" i="18"/>
  <c r="C5" i="13"/>
  <c r="P42" i="94"/>
  <c r="Q42" i="94" s="1"/>
  <c r="R42" i="94" s="1"/>
  <c r="P30" i="110"/>
  <c r="Q30" i="110" s="1"/>
  <c r="R30" i="110" s="1"/>
  <c r="C6" i="13" l="1"/>
  <c r="B53" i="13"/>
  <c r="B19" i="17" s="1"/>
  <c r="B52" i="17" s="1"/>
  <c r="B43" i="13"/>
  <c r="H9" i="13"/>
  <c r="B44" i="13"/>
  <c r="B54" i="13"/>
  <c r="B21" i="20"/>
  <c r="B21" i="15"/>
  <c r="B21" i="18"/>
  <c r="W19" i="15"/>
  <c r="W19" i="18" s="1"/>
  <c r="W19" i="20" s="1"/>
  <c r="J18" i="14"/>
  <c r="B51" i="13"/>
  <c r="B17" i="17" s="1"/>
  <c r="B50" i="17" s="1"/>
  <c r="B41" i="13"/>
  <c r="C20" i="17"/>
  <c r="C53" i="17" s="1"/>
  <c r="C54" i="20"/>
  <c r="C54" i="15"/>
  <c r="C54" i="18"/>
  <c r="K17" i="14"/>
  <c r="X18" i="15"/>
  <c r="X18" i="18" s="1"/>
  <c r="X18" i="20" s="1"/>
  <c r="U53" i="15"/>
  <c r="U53" i="18" s="1"/>
  <c r="U53" i="20" s="1"/>
  <c r="E53" i="15"/>
  <c r="E53" i="20"/>
  <c r="E53" i="18"/>
  <c r="G9" i="13"/>
  <c r="B42" i="13"/>
  <c r="B52" i="13"/>
  <c r="G52" i="14"/>
  <c r="G19" i="15"/>
  <c r="G19" i="18"/>
  <c r="G19" i="20"/>
  <c r="K51" i="15"/>
  <c r="K51" i="20"/>
  <c r="K51" i="18"/>
  <c r="T53" i="15"/>
  <c r="T53" i="18" s="1"/>
  <c r="T53" i="20" s="1"/>
  <c r="K12" i="13"/>
  <c r="K34" i="13"/>
  <c r="E19" i="14"/>
  <c r="R20" i="15"/>
  <c r="R20" i="18" s="1"/>
  <c r="R20" i="20" s="1"/>
  <c r="C20" i="14"/>
  <c r="P21" i="15"/>
  <c r="P21" i="18" s="1"/>
  <c r="P21" i="20" s="1"/>
  <c r="F19" i="14"/>
  <c r="S20" i="15"/>
  <c r="S20" i="18" s="1"/>
  <c r="S20" i="20" s="1"/>
  <c r="I17" i="25"/>
  <c r="D53" i="14"/>
  <c r="D20" i="15"/>
  <c r="D20" i="18"/>
  <c r="D20" i="20"/>
  <c r="F53" i="15"/>
  <c r="F53" i="20"/>
  <c r="F53" i="18"/>
  <c r="I10" i="13"/>
  <c r="B5" i="13"/>
  <c r="E8" i="13"/>
  <c r="Q54" i="15"/>
  <c r="Q54" i="18" s="1"/>
  <c r="Q54" i="20" s="1"/>
  <c r="J17" i="25"/>
  <c r="C18" i="17"/>
  <c r="C51" i="17" s="1"/>
  <c r="I52" i="15"/>
  <c r="I52" i="18"/>
  <c r="I52" i="20"/>
  <c r="D7" i="13"/>
  <c r="F8" i="13"/>
  <c r="J10" i="13"/>
  <c r="H19" i="15"/>
  <c r="H52" i="14"/>
  <c r="H19" i="18"/>
  <c r="H19" i="20"/>
  <c r="B40" i="13"/>
  <c r="B50" i="13"/>
  <c r="B16" i="17" s="1"/>
  <c r="B49" i="17" s="1"/>
  <c r="C19" i="17"/>
  <c r="C52" i="17" s="1"/>
  <c r="J52" i="15"/>
  <c r="J52" i="20"/>
  <c r="J52" i="18"/>
  <c r="V19" i="15"/>
  <c r="V19" i="18" s="1"/>
  <c r="V19" i="20" s="1"/>
  <c r="I18" i="14"/>
  <c r="K16" i="25"/>
  <c r="D53" i="15" l="1"/>
  <c r="D53" i="18"/>
  <c r="D53" i="20"/>
  <c r="C20" i="15"/>
  <c r="C53" i="14"/>
  <c r="C20" i="18"/>
  <c r="C20" i="20"/>
  <c r="K50" i="14"/>
  <c r="K17" i="15"/>
  <c r="K17" i="18"/>
  <c r="K17" i="20"/>
  <c r="S53" i="15"/>
  <c r="S53" i="18" s="1"/>
  <c r="S53" i="20" s="1"/>
  <c r="X51" i="15"/>
  <c r="X51" i="18" s="1"/>
  <c r="X51" i="20" s="1"/>
  <c r="R53" i="15"/>
  <c r="R53" i="18" s="1"/>
  <c r="R53" i="20" s="1"/>
  <c r="B20" i="14"/>
  <c r="O21" i="15"/>
  <c r="O21" i="18" s="1"/>
  <c r="O21" i="20" s="1"/>
  <c r="G17" i="25"/>
  <c r="AF22" i="97"/>
  <c r="I17" i="26"/>
  <c r="I16" i="29" s="1"/>
  <c r="K13" i="13"/>
  <c r="K45" i="13"/>
  <c r="K35" i="13"/>
  <c r="H10" i="13"/>
  <c r="C7" i="13"/>
  <c r="J11" i="13"/>
  <c r="W52" i="15"/>
  <c r="W52" i="18" s="1"/>
  <c r="W52" i="20" s="1"/>
  <c r="H52" i="15"/>
  <c r="H52" i="18"/>
  <c r="H52" i="20"/>
  <c r="F9" i="13"/>
  <c r="V52" i="15"/>
  <c r="V52" i="18" s="1"/>
  <c r="V52" i="20" s="1"/>
  <c r="E9" i="13"/>
  <c r="I11" i="13"/>
  <c r="E52" i="14"/>
  <c r="E19" i="15"/>
  <c r="E19" i="18"/>
  <c r="E19" i="20"/>
  <c r="T19" i="15"/>
  <c r="T19" i="18" s="1"/>
  <c r="T19" i="20" s="1"/>
  <c r="G18" i="14"/>
  <c r="P54" i="15"/>
  <c r="P54" i="18" s="1"/>
  <c r="P54" i="20" s="1"/>
  <c r="B20" i="17"/>
  <c r="B53" i="17" s="1"/>
  <c r="B54" i="15"/>
  <c r="B54" i="18"/>
  <c r="B54" i="20"/>
  <c r="H17" i="25"/>
  <c r="AH21" i="97"/>
  <c r="K16" i="26"/>
  <c r="K15" i="29" s="1"/>
  <c r="U19" i="15"/>
  <c r="U19" i="18" s="1"/>
  <c r="U19" i="20" s="1"/>
  <c r="H18" i="14"/>
  <c r="F19" i="15"/>
  <c r="F52" i="14"/>
  <c r="F19" i="18"/>
  <c r="F19" i="20"/>
  <c r="G52" i="15"/>
  <c r="G52" i="18"/>
  <c r="G52" i="20"/>
  <c r="G10" i="13"/>
  <c r="J51" i="14"/>
  <c r="J18" i="20"/>
  <c r="J18" i="15"/>
  <c r="J18" i="18"/>
  <c r="B18" i="17"/>
  <c r="B51" i="17" s="1"/>
  <c r="I18" i="15"/>
  <c r="I51" i="14"/>
  <c r="I18" i="20"/>
  <c r="I18" i="18"/>
  <c r="D8" i="13"/>
  <c r="AG22" i="97"/>
  <c r="J17" i="26"/>
  <c r="J16" i="29" s="1"/>
  <c r="B6" i="13"/>
  <c r="D19" i="14"/>
  <c r="Q20" i="15"/>
  <c r="Q20" i="18" s="1"/>
  <c r="Q20" i="20" s="1"/>
  <c r="D19" i="15" l="1"/>
  <c r="D52" i="14"/>
  <c r="D19" i="18"/>
  <c r="D19" i="20"/>
  <c r="I17" i="14"/>
  <c r="V18" i="15"/>
  <c r="I12" i="13"/>
  <c r="I34" i="13"/>
  <c r="F10" i="13"/>
  <c r="J12" i="13"/>
  <c r="J34" i="13"/>
  <c r="K15" i="25"/>
  <c r="C53" i="15"/>
  <c r="C53" i="20"/>
  <c r="C53" i="18"/>
  <c r="O54" i="15"/>
  <c r="O54" i="18" s="1"/>
  <c r="O54" i="20" s="1"/>
  <c r="E17" i="25"/>
  <c r="K36" i="13"/>
  <c r="K14" i="13"/>
  <c r="K46" i="13"/>
  <c r="AD22" i="97"/>
  <c r="G17" i="26"/>
  <c r="G16" i="29" s="1"/>
  <c r="C19" i="14"/>
  <c r="P20" i="15"/>
  <c r="P20" i="18" s="1"/>
  <c r="P20" i="20" s="1"/>
  <c r="X17" i="15"/>
  <c r="X17" i="18" s="1"/>
  <c r="X17" i="20" s="1"/>
  <c r="L12" i="27" s="1"/>
  <c r="S13" i="32" s="1"/>
  <c r="K17" i="97" s="1"/>
  <c r="K16" i="14"/>
  <c r="G11" i="13"/>
  <c r="E18" i="14"/>
  <c r="R19" i="15"/>
  <c r="R19" i="18" s="1"/>
  <c r="R19" i="20" s="1"/>
  <c r="E10" i="13"/>
  <c r="C8" i="13"/>
  <c r="K50" i="15"/>
  <c r="K50" i="20"/>
  <c r="K50" i="18"/>
  <c r="F18" i="14"/>
  <c r="S19" i="15"/>
  <c r="S19" i="18" s="1"/>
  <c r="S19" i="20" s="1"/>
  <c r="B7" i="13"/>
  <c r="W18" i="15"/>
  <c r="W18" i="18" s="1"/>
  <c r="W18" i="20" s="1"/>
  <c r="J17" i="14"/>
  <c r="E52" i="15"/>
  <c r="E52" i="20"/>
  <c r="E52" i="18"/>
  <c r="U52" i="15"/>
  <c r="U52" i="18" s="1"/>
  <c r="U52" i="20" s="1"/>
  <c r="B20" i="15"/>
  <c r="B53" i="14"/>
  <c r="B20" i="18"/>
  <c r="B20" i="20"/>
  <c r="Q53" i="15"/>
  <c r="Q53" i="18" s="1"/>
  <c r="Q53" i="20" s="1"/>
  <c r="V18" i="18"/>
  <c r="V18" i="20" s="1"/>
  <c r="J16" i="25"/>
  <c r="AE22" i="97"/>
  <c r="H17" i="26"/>
  <c r="H16" i="29" s="1"/>
  <c r="I16" i="25"/>
  <c r="J51" i="15"/>
  <c r="J51" i="18"/>
  <c r="J51" i="20"/>
  <c r="T52" i="15"/>
  <c r="T52" i="18" s="1"/>
  <c r="T52" i="20" s="1"/>
  <c r="H18" i="15"/>
  <c r="H51" i="14"/>
  <c r="H18" i="18"/>
  <c r="H18" i="20"/>
  <c r="G18" i="15"/>
  <c r="G51" i="14"/>
  <c r="G18" i="18"/>
  <c r="G18" i="20"/>
  <c r="F52" i="15"/>
  <c r="F52" i="20"/>
  <c r="F52" i="18"/>
  <c r="D9" i="13"/>
  <c r="I51" i="15"/>
  <c r="I51" i="20"/>
  <c r="I51" i="18"/>
  <c r="F17" i="25"/>
  <c r="H11" i="13"/>
  <c r="G16" i="25" l="1"/>
  <c r="H17" i="14"/>
  <c r="U18" i="15"/>
  <c r="I17" i="15"/>
  <c r="I50" i="14"/>
  <c r="I17" i="18"/>
  <c r="I17" i="20"/>
  <c r="X50" i="15"/>
  <c r="X50" i="18" s="1"/>
  <c r="X50" i="20" s="1"/>
  <c r="G12" i="13"/>
  <c r="G34" i="13"/>
  <c r="J13" i="13"/>
  <c r="J45" i="13"/>
  <c r="J35" i="13"/>
  <c r="D17" i="25"/>
  <c r="B53" i="15"/>
  <c r="B53" i="18"/>
  <c r="B53" i="20"/>
  <c r="R52" i="15"/>
  <c r="R52" i="18" s="1"/>
  <c r="R52" i="20" s="1"/>
  <c r="K15" i="13"/>
  <c r="K47" i="13"/>
  <c r="K37" i="13"/>
  <c r="P53" i="15"/>
  <c r="B8" i="13"/>
  <c r="E11" i="13"/>
  <c r="D10" i="13"/>
  <c r="G51" i="15"/>
  <c r="G51" i="20"/>
  <c r="G51" i="18"/>
  <c r="AC22" i="97"/>
  <c r="F17" i="26"/>
  <c r="F16" i="29" s="1"/>
  <c r="G17" i="14"/>
  <c r="T18" i="15"/>
  <c r="T18" i="18" s="1"/>
  <c r="T18" i="20" s="1"/>
  <c r="B19" i="14"/>
  <c r="O20" i="15"/>
  <c r="O20" i="18" s="1"/>
  <c r="O20" i="20" s="1"/>
  <c r="F51" i="14"/>
  <c r="F18" i="15"/>
  <c r="F18" i="18"/>
  <c r="F18" i="20"/>
  <c r="E51" i="14"/>
  <c r="E18" i="15"/>
  <c r="E18" i="20"/>
  <c r="E18" i="18"/>
  <c r="C52" i="14"/>
  <c r="C19" i="15"/>
  <c r="C19" i="18"/>
  <c r="C19" i="20"/>
  <c r="K2" i="17"/>
  <c r="I13" i="13"/>
  <c r="I45" i="13"/>
  <c r="I35" i="13"/>
  <c r="D52" i="15"/>
  <c r="D52" i="18"/>
  <c r="D52" i="20"/>
  <c r="P53" i="18"/>
  <c r="P53" i="20" s="1"/>
  <c r="H16" i="25"/>
  <c r="W51" i="15"/>
  <c r="W51" i="18" s="1"/>
  <c r="W51" i="20" s="1"/>
  <c r="AG21" i="97"/>
  <c r="J16" i="26"/>
  <c r="J15" i="29" s="1"/>
  <c r="J17" i="15"/>
  <c r="J50" i="14"/>
  <c r="J17" i="18"/>
  <c r="J17" i="20"/>
  <c r="C9" i="13"/>
  <c r="K49" i="14"/>
  <c r="AH20" i="97"/>
  <c r="K15" i="26"/>
  <c r="K14" i="29" s="1"/>
  <c r="F11" i="13"/>
  <c r="Q19" i="15"/>
  <c r="Q19" i="18" s="1"/>
  <c r="Q19" i="20" s="1"/>
  <c r="D18" i="14"/>
  <c r="H12" i="13"/>
  <c r="H34" i="13"/>
  <c r="U18" i="18"/>
  <c r="U18" i="20" s="1"/>
  <c r="AB22" i="97"/>
  <c r="E17" i="26"/>
  <c r="E16" i="29" s="1"/>
  <c r="S52" i="15"/>
  <c r="S52" i="18" s="1"/>
  <c r="S52" i="20" s="1"/>
  <c r="V51" i="15"/>
  <c r="V51" i="18" s="1"/>
  <c r="V51" i="20" s="1"/>
  <c r="H51" i="15"/>
  <c r="H51" i="18"/>
  <c r="H51" i="20"/>
  <c r="AF21" i="97"/>
  <c r="I16" i="26"/>
  <c r="I15" i="29" s="1"/>
  <c r="U51" i="15" l="1"/>
  <c r="E12" i="13"/>
  <c r="E34" i="13"/>
  <c r="F16" i="25"/>
  <c r="H13" i="13"/>
  <c r="H45" i="13"/>
  <c r="H35" i="13"/>
  <c r="C10" i="13"/>
  <c r="G17" i="15"/>
  <c r="G50" i="14"/>
  <c r="G17" i="18"/>
  <c r="G17" i="20"/>
  <c r="D51" i="14"/>
  <c r="D18" i="15"/>
  <c r="D18" i="20"/>
  <c r="D18" i="18"/>
  <c r="P19" i="15"/>
  <c r="C18" i="14"/>
  <c r="S18" i="15"/>
  <c r="S18" i="18" s="1"/>
  <c r="S18" i="20" s="1"/>
  <c r="F17" i="14"/>
  <c r="D11" i="13"/>
  <c r="O53" i="15"/>
  <c r="O53" i="18" s="1"/>
  <c r="O53" i="20" s="1"/>
  <c r="I15" i="25"/>
  <c r="J15" i="25"/>
  <c r="Q52" i="15"/>
  <c r="Q52" i="18" s="1"/>
  <c r="Q52" i="20" s="1"/>
  <c r="C52" i="15"/>
  <c r="C52" i="18"/>
  <c r="C52" i="20"/>
  <c r="F51" i="15"/>
  <c r="F51" i="18"/>
  <c r="F51" i="20"/>
  <c r="B9" i="13"/>
  <c r="K3" i="17"/>
  <c r="AE21" i="97"/>
  <c r="H16" i="26"/>
  <c r="H15" i="29" s="1"/>
  <c r="G13" i="13"/>
  <c r="G45" i="13"/>
  <c r="G35" i="13"/>
  <c r="I50" i="15"/>
  <c r="I50" i="20"/>
  <c r="I50" i="18"/>
  <c r="H17" i="15"/>
  <c r="H50" i="14"/>
  <c r="H17" i="18"/>
  <c r="H17" i="20"/>
  <c r="F12" i="13"/>
  <c r="F34" i="13"/>
  <c r="J50" i="15"/>
  <c r="J50" i="20"/>
  <c r="J50" i="18"/>
  <c r="E16" i="25"/>
  <c r="B52" i="14"/>
  <c r="B19" i="15"/>
  <c r="B19" i="18"/>
  <c r="B19" i="20"/>
  <c r="K38" i="13"/>
  <c r="K16" i="13"/>
  <c r="K13" i="17" s="1"/>
  <c r="K46" i="17" s="1"/>
  <c r="K48" i="13"/>
  <c r="J46" i="13"/>
  <c r="J14" i="13"/>
  <c r="J36" i="13"/>
  <c r="I16" i="14"/>
  <c r="V17" i="15"/>
  <c r="V17" i="18" s="1"/>
  <c r="V17" i="20" s="1"/>
  <c r="J12" i="27" s="1"/>
  <c r="Q13" i="32" s="1"/>
  <c r="I17" i="97" s="1"/>
  <c r="I46" i="13"/>
  <c r="I36" i="13"/>
  <c r="I14" i="13"/>
  <c r="W17" i="15"/>
  <c r="W17" i="18" s="1"/>
  <c r="W17" i="20" s="1"/>
  <c r="K12" i="27" s="1"/>
  <c r="R13" i="32" s="1"/>
  <c r="J17" i="97" s="1"/>
  <c r="J16" i="14"/>
  <c r="R18" i="15"/>
  <c r="R18" i="18" s="1"/>
  <c r="R18" i="20" s="1"/>
  <c r="E17" i="14"/>
  <c r="AA22" i="97"/>
  <c r="D17" i="26"/>
  <c r="D16" i="29" s="1"/>
  <c r="C17" i="25"/>
  <c r="P19" i="18"/>
  <c r="P19" i="20" s="1"/>
  <c r="T51" i="15"/>
  <c r="T51" i="18" s="1"/>
  <c r="T51" i="20" s="1"/>
  <c r="U51" i="18"/>
  <c r="U51" i="20" s="1"/>
  <c r="E51" i="15"/>
  <c r="E51" i="20"/>
  <c r="E51" i="18"/>
  <c r="AD21" i="97"/>
  <c r="G16" i="26"/>
  <c r="G15" i="29" s="1"/>
  <c r="O19" i="15" l="1"/>
  <c r="O19" i="18" s="1"/>
  <c r="O19" i="20" s="1"/>
  <c r="B18" i="14"/>
  <c r="S51" i="15"/>
  <c r="G15" i="25"/>
  <c r="H15" i="25"/>
  <c r="Z22" i="97"/>
  <c r="C17" i="26"/>
  <c r="C16" i="29" s="1"/>
  <c r="E50" i="14"/>
  <c r="E17" i="18"/>
  <c r="E17" i="20"/>
  <c r="E17" i="15"/>
  <c r="I47" i="13"/>
  <c r="I37" i="13"/>
  <c r="I15" i="13"/>
  <c r="J2" i="17"/>
  <c r="G50" i="15"/>
  <c r="G50" i="20"/>
  <c r="G50" i="18"/>
  <c r="I2" i="17"/>
  <c r="J37" i="13"/>
  <c r="J47" i="13"/>
  <c r="J15" i="13"/>
  <c r="K4" i="17"/>
  <c r="AB21" i="97"/>
  <c r="E16" i="26"/>
  <c r="E15" i="29" s="1"/>
  <c r="H50" i="15"/>
  <c r="H50" i="20"/>
  <c r="H50" i="18"/>
  <c r="P52" i="15"/>
  <c r="P52" i="18" s="1"/>
  <c r="P52" i="20" s="1"/>
  <c r="D12" i="13"/>
  <c r="D34" i="13"/>
  <c r="G16" i="14"/>
  <c r="T17" i="15"/>
  <c r="T17" i="18" s="1"/>
  <c r="T17" i="20" s="1"/>
  <c r="H12" i="27" s="1"/>
  <c r="O13" i="32" s="1"/>
  <c r="G17" i="97" s="1"/>
  <c r="H36" i="13"/>
  <c r="H14" i="13"/>
  <c r="H46" i="13"/>
  <c r="B52" i="15"/>
  <c r="B52" i="20"/>
  <c r="B52" i="18"/>
  <c r="E45" i="13"/>
  <c r="E13" i="13"/>
  <c r="E35" i="13"/>
  <c r="R51" i="15"/>
  <c r="R51" i="18" s="1"/>
  <c r="R51" i="20" s="1"/>
  <c r="U17" i="15"/>
  <c r="U17" i="18" s="1"/>
  <c r="U17" i="20" s="1"/>
  <c r="I12" i="27" s="1"/>
  <c r="P13" i="32" s="1"/>
  <c r="H17" i="97" s="1"/>
  <c r="H16" i="14"/>
  <c r="B10" i="13"/>
  <c r="AF20" i="97"/>
  <c r="I15" i="26"/>
  <c r="I14" i="29" s="1"/>
  <c r="F50" i="14"/>
  <c r="F17" i="15"/>
  <c r="F17" i="18"/>
  <c r="F17" i="20"/>
  <c r="D16" i="25"/>
  <c r="AC21" i="97"/>
  <c r="F16" i="26"/>
  <c r="F15" i="29" s="1"/>
  <c r="K49" i="13"/>
  <c r="K43" i="17" s="1"/>
  <c r="K14" i="17"/>
  <c r="K47" i="17" s="1"/>
  <c r="K39" i="13"/>
  <c r="K10" i="17"/>
  <c r="K16" i="15"/>
  <c r="K16" i="18"/>
  <c r="K16" i="20"/>
  <c r="K6" i="17"/>
  <c r="K12" i="17"/>
  <c r="K45" i="17" s="1"/>
  <c r="K11" i="17"/>
  <c r="K7" i="17"/>
  <c r="J49" i="14"/>
  <c r="I49" i="14"/>
  <c r="K8" i="17"/>
  <c r="B17" i="25"/>
  <c r="W50" i="15"/>
  <c r="W50" i="18" s="1"/>
  <c r="W50" i="20" s="1"/>
  <c r="D17" i="14"/>
  <c r="Q18" i="15"/>
  <c r="Q18" i="18" s="1"/>
  <c r="Q18" i="20" s="1"/>
  <c r="C11" i="13"/>
  <c r="K9" i="17"/>
  <c r="F45" i="13"/>
  <c r="F13" i="13"/>
  <c r="F35" i="13"/>
  <c r="V50" i="15"/>
  <c r="V50" i="18" s="1"/>
  <c r="V50" i="20" s="1"/>
  <c r="G14" i="13"/>
  <c r="G36" i="13"/>
  <c r="G46" i="13"/>
  <c r="S51" i="18"/>
  <c r="S51" i="20" s="1"/>
  <c r="AG20" i="97"/>
  <c r="J15" i="26"/>
  <c r="J14" i="29" s="1"/>
  <c r="C18" i="15"/>
  <c r="C51" i="14"/>
  <c r="C18" i="18"/>
  <c r="C18" i="20"/>
  <c r="D51" i="15"/>
  <c r="D51" i="20"/>
  <c r="D51" i="18"/>
  <c r="K44" i="17" l="1"/>
  <c r="K39" i="17"/>
  <c r="X16" i="15"/>
  <c r="K15" i="14"/>
  <c r="AA21" i="97"/>
  <c r="D16" i="26"/>
  <c r="D15" i="29" s="1"/>
  <c r="E36" i="13"/>
  <c r="E14" i="13"/>
  <c r="E46" i="13"/>
  <c r="H2" i="17"/>
  <c r="D50" i="14"/>
  <c r="D17" i="15"/>
  <c r="D17" i="20"/>
  <c r="D17" i="18"/>
  <c r="D45" i="13"/>
  <c r="D13" i="13"/>
  <c r="D35" i="13"/>
  <c r="T50" i="15"/>
  <c r="F15" i="25"/>
  <c r="E50" i="15"/>
  <c r="E50" i="20"/>
  <c r="E50" i="18"/>
  <c r="AD20" i="97"/>
  <c r="G15" i="26"/>
  <c r="G14" i="29" s="1"/>
  <c r="Y22" i="97"/>
  <c r="B17" i="26"/>
  <c r="K38" i="17"/>
  <c r="K5" i="17"/>
  <c r="K34" i="17"/>
  <c r="K42" i="22"/>
  <c r="K29" i="22" s="1"/>
  <c r="K16" i="22" s="1"/>
  <c r="K3" i="22" s="1"/>
  <c r="B11" i="13"/>
  <c r="G15" i="13"/>
  <c r="G47" i="13"/>
  <c r="G37" i="13"/>
  <c r="AE20" i="97"/>
  <c r="H15" i="26"/>
  <c r="H14" i="29" s="1"/>
  <c r="F16" i="14"/>
  <c r="S17" i="15"/>
  <c r="S17" i="18" s="1"/>
  <c r="S17" i="20" s="1"/>
  <c r="G12" i="27" s="1"/>
  <c r="N13" i="32" s="1"/>
  <c r="F17" i="97" s="1"/>
  <c r="G49" i="14"/>
  <c r="J16" i="13"/>
  <c r="J13" i="17" s="1"/>
  <c r="J46" i="17" s="1"/>
  <c r="J48" i="13"/>
  <c r="J38" i="13"/>
  <c r="I16" i="13"/>
  <c r="I10" i="17" s="1"/>
  <c r="I48" i="13"/>
  <c r="I38" i="13"/>
  <c r="I6" i="17"/>
  <c r="X16" i="18"/>
  <c r="H47" i="13"/>
  <c r="H15" i="13"/>
  <c r="H37" i="13"/>
  <c r="Q51" i="15"/>
  <c r="Q51" i="18" s="1"/>
  <c r="Q51" i="20" s="1"/>
  <c r="C12" i="13"/>
  <c r="C34" i="13"/>
  <c r="K15" i="17"/>
  <c r="K48" i="17" s="1"/>
  <c r="K40" i="17"/>
  <c r="K49" i="18"/>
  <c r="K49" i="20"/>
  <c r="K41" i="17"/>
  <c r="K42" i="17"/>
  <c r="K49" i="15"/>
  <c r="F50" i="15"/>
  <c r="F50" i="20"/>
  <c r="F50" i="18"/>
  <c r="K35" i="17"/>
  <c r="I3" i="17"/>
  <c r="B51" i="14"/>
  <c r="B18" i="15"/>
  <c r="B18" i="20"/>
  <c r="B18" i="18"/>
  <c r="K36" i="17"/>
  <c r="C51" i="15"/>
  <c r="C51" i="20"/>
  <c r="C51" i="18"/>
  <c r="P18" i="15"/>
  <c r="P18" i="18" s="1"/>
  <c r="P18" i="20" s="1"/>
  <c r="C17" i="14"/>
  <c r="F36" i="13"/>
  <c r="F14" i="13"/>
  <c r="F46" i="13"/>
  <c r="H49" i="14"/>
  <c r="O52" i="15"/>
  <c r="O52" i="18" s="1"/>
  <c r="O52" i="20" s="1"/>
  <c r="J3" i="17"/>
  <c r="T50" i="18"/>
  <c r="T50" i="20" s="1"/>
  <c r="E15" i="25"/>
  <c r="C16" i="25"/>
  <c r="G2" i="17"/>
  <c r="K14" i="25"/>
  <c r="X16" i="20"/>
  <c r="L11" i="27" s="1"/>
  <c r="S12" i="32" s="1"/>
  <c r="K16" i="97" s="1"/>
  <c r="U50" i="15"/>
  <c r="U50" i="18" s="1"/>
  <c r="U50" i="20" s="1"/>
  <c r="K37" i="17"/>
  <c r="E16" i="14"/>
  <c r="R17" i="15"/>
  <c r="R17" i="18" s="1"/>
  <c r="R17" i="20" s="1"/>
  <c r="F12" i="27" s="1"/>
  <c r="M13" i="32" s="1"/>
  <c r="E17" i="97" s="1"/>
  <c r="I13" i="17" l="1"/>
  <c r="I46" i="17" s="1"/>
  <c r="J7" i="17"/>
  <c r="J6" i="17"/>
  <c r="J8" i="17"/>
  <c r="C50" i="14"/>
  <c r="C17" i="15"/>
  <c r="C17" i="18"/>
  <c r="C17" i="20"/>
  <c r="C13" i="13"/>
  <c r="C45" i="13"/>
  <c r="C35" i="13"/>
  <c r="G3" i="17"/>
  <c r="B12" i="13"/>
  <c r="B34" i="13"/>
  <c r="E15" i="13"/>
  <c r="E47" i="13"/>
  <c r="E37" i="13"/>
  <c r="F49" i="14"/>
  <c r="D14" i="13"/>
  <c r="D46" i="13"/>
  <c r="D36" i="13"/>
  <c r="E2" i="17"/>
  <c r="B16" i="25"/>
  <c r="S50" i="15"/>
  <c r="S50" i="18" s="1"/>
  <c r="S50" i="20" s="1"/>
  <c r="G38" i="13"/>
  <c r="G48" i="13"/>
  <c r="G16" i="13"/>
  <c r="G13" i="17" s="1"/>
  <c r="G46" i="17" s="1"/>
  <c r="E49" i="14"/>
  <c r="Z21" i="97"/>
  <c r="C16" i="26"/>
  <c r="C15" i="29" s="1"/>
  <c r="B17" i="14"/>
  <c r="O18" i="15"/>
  <c r="O18" i="18" s="1"/>
  <c r="O18" i="20" s="1"/>
  <c r="X49" i="15"/>
  <c r="X49" i="18" s="1"/>
  <c r="X49" i="20" s="1"/>
  <c r="D15" i="25"/>
  <c r="K48" i="14"/>
  <c r="K15" i="15"/>
  <c r="K15" i="20"/>
  <c r="K15" i="18"/>
  <c r="P51" i="15"/>
  <c r="P51" i="18" s="1"/>
  <c r="P51" i="20" s="1"/>
  <c r="H3" i="17"/>
  <c r="I4" i="17"/>
  <c r="J4" i="17"/>
  <c r="D16" i="14"/>
  <c r="Q17" i="15"/>
  <c r="Q17" i="18" s="1"/>
  <c r="Q17" i="20" s="1"/>
  <c r="E12" i="27" s="1"/>
  <c r="L13" i="32" s="1"/>
  <c r="D17" i="97" s="1"/>
  <c r="AB20" i="97"/>
  <c r="E15" i="26"/>
  <c r="E14" i="29" s="1"/>
  <c r="F15" i="13"/>
  <c r="F47" i="13"/>
  <c r="F37" i="13"/>
  <c r="H38" i="13"/>
  <c r="H48" i="13"/>
  <c r="H16" i="13"/>
  <c r="H13" i="17" s="1"/>
  <c r="H46" i="17" s="1"/>
  <c r="R50" i="15"/>
  <c r="R50" i="18" s="1"/>
  <c r="R50" i="20" s="1"/>
  <c r="D50" i="15"/>
  <c r="D50" i="20"/>
  <c r="D50" i="18"/>
  <c r="AH19" i="97"/>
  <c r="K14" i="26"/>
  <c r="K13" i="29" s="1"/>
  <c r="B51" i="15"/>
  <c r="B51" i="18"/>
  <c r="B51" i="20"/>
  <c r="F2" i="17"/>
  <c r="I39" i="13"/>
  <c r="I37" i="17" s="1"/>
  <c r="I49" i="13"/>
  <c r="I41" i="17" s="1"/>
  <c r="I14" i="17"/>
  <c r="I47" i="17" s="1"/>
  <c r="I9" i="17"/>
  <c r="I16" i="15"/>
  <c r="I16" i="18"/>
  <c r="I12" i="17"/>
  <c r="I45" i="17" s="1"/>
  <c r="I11" i="17"/>
  <c r="I7" i="17"/>
  <c r="I16" i="20"/>
  <c r="I8" i="17"/>
  <c r="J49" i="13"/>
  <c r="J39" i="13"/>
  <c r="J35" i="17" s="1"/>
  <c r="J14" i="17"/>
  <c r="J47" i="17" s="1"/>
  <c r="J9" i="17"/>
  <c r="J16" i="18"/>
  <c r="J16" i="20"/>
  <c r="J11" i="17"/>
  <c r="J12" i="17"/>
  <c r="J45" i="17" s="1"/>
  <c r="J10" i="17"/>
  <c r="J16" i="15"/>
  <c r="G10" i="17"/>
  <c r="B16" i="29"/>
  <c r="L17" i="26"/>
  <c r="AC20" i="97"/>
  <c r="F15" i="26"/>
  <c r="F14" i="29" s="1"/>
  <c r="G9" i="17" l="1"/>
  <c r="I34" i="17"/>
  <c r="G6" i="17"/>
  <c r="J42" i="22"/>
  <c r="K14" i="14"/>
  <c r="X15" i="15"/>
  <c r="X15" i="18" s="1"/>
  <c r="X15" i="20" s="1"/>
  <c r="L10" i="27" s="1"/>
  <c r="S11" i="32" s="1"/>
  <c r="K15" i="97" s="1"/>
  <c r="B45" i="13"/>
  <c r="B13" i="13"/>
  <c r="B35" i="13"/>
  <c r="H49" i="13"/>
  <c r="H40" i="17" s="1"/>
  <c r="H39" i="13"/>
  <c r="H34" i="17" s="1"/>
  <c r="H14" i="17"/>
  <c r="H47" i="17" s="1"/>
  <c r="H9" i="17"/>
  <c r="H8" i="17"/>
  <c r="H16" i="20"/>
  <c r="H6" i="17"/>
  <c r="H16" i="15"/>
  <c r="H12" i="17"/>
  <c r="H45" i="17" s="1"/>
  <c r="H16" i="18"/>
  <c r="H7" i="17"/>
  <c r="H11" i="17"/>
  <c r="H10" i="17"/>
  <c r="F48" i="13"/>
  <c r="F38" i="13"/>
  <c r="F16" i="13"/>
  <c r="F13" i="17" s="1"/>
  <c r="F46" i="17" s="1"/>
  <c r="F11" i="17"/>
  <c r="J29" i="22"/>
  <c r="J16" i="22" s="1"/>
  <c r="J3" i="22" s="1"/>
  <c r="K48" i="15"/>
  <c r="K48" i="20"/>
  <c r="K48" i="18"/>
  <c r="G4" i="17"/>
  <c r="E38" i="13"/>
  <c r="E48" i="13"/>
  <c r="E16" i="13"/>
  <c r="E8" i="17" s="1"/>
  <c r="C15" i="25"/>
  <c r="J15" i="17"/>
  <c r="J48" i="17" s="1"/>
  <c r="J41" i="17"/>
  <c r="J40" i="17"/>
  <c r="J43" i="17"/>
  <c r="J49" i="15"/>
  <c r="J42" i="17"/>
  <c r="J49" i="18"/>
  <c r="J49" i="20"/>
  <c r="D2" i="17"/>
  <c r="I14" i="25"/>
  <c r="J14" i="25"/>
  <c r="I38" i="17"/>
  <c r="I5" i="17"/>
  <c r="I36" i="17"/>
  <c r="I42" i="22"/>
  <c r="I29" i="22" s="1"/>
  <c r="I16" i="22" s="1"/>
  <c r="I3" i="22" s="1"/>
  <c r="H39" i="17"/>
  <c r="D49" i="14"/>
  <c r="J37" i="17"/>
  <c r="AA20" i="97"/>
  <c r="D15" i="26"/>
  <c r="D14" i="29" s="1"/>
  <c r="C16" i="14"/>
  <c r="P17" i="15"/>
  <c r="P17" i="18" s="1"/>
  <c r="P17" i="20" s="1"/>
  <c r="D12" i="27" s="1"/>
  <c r="K13" i="32" s="1"/>
  <c r="C17" i="97" s="1"/>
  <c r="I15" i="17"/>
  <c r="I48" i="17" s="1"/>
  <c r="I44" i="17"/>
  <c r="I49" i="15"/>
  <c r="I49" i="18"/>
  <c r="I49" i="20"/>
  <c r="I40" i="17"/>
  <c r="I39" i="17"/>
  <c r="J39" i="17"/>
  <c r="H37" i="17"/>
  <c r="H4" i="17"/>
  <c r="B50" i="14"/>
  <c r="B17" i="15"/>
  <c r="B17" i="18"/>
  <c r="B17" i="20"/>
  <c r="D37" i="13"/>
  <c r="D47" i="13"/>
  <c r="D15" i="13"/>
  <c r="C50" i="15"/>
  <c r="C50" i="20"/>
  <c r="C50" i="18"/>
  <c r="O51" i="15"/>
  <c r="O51" i="18" s="1"/>
  <c r="O51" i="20" s="1"/>
  <c r="J44" i="17"/>
  <c r="I35" i="17"/>
  <c r="Y21" i="97"/>
  <c r="B16" i="26"/>
  <c r="I42" i="17"/>
  <c r="F3" i="17"/>
  <c r="E12" i="17"/>
  <c r="E45" i="17" s="1"/>
  <c r="Q50" i="15"/>
  <c r="Q50" i="18" s="1"/>
  <c r="Q50" i="20" s="1"/>
  <c r="W16" i="15"/>
  <c r="W16" i="18" s="1"/>
  <c r="W16" i="20" s="1"/>
  <c r="K11" i="27" s="1"/>
  <c r="R12" i="32" s="1"/>
  <c r="J16" i="97" s="1"/>
  <c r="J15" i="14"/>
  <c r="J38" i="17"/>
  <c r="J5" i="17"/>
  <c r="J36" i="17"/>
  <c r="I15" i="14"/>
  <c r="V16" i="15"/>
  <c r="V16" i="18" s="1"/>
  <c r="V16" i="20" s="1"/>
  <c r="J11" i="27" s="1"/>
  <c r="Q12" i="32" s="1"/>
  <c r="I16" i="97" s="1"/>
  <c r="I43" i="17"/>
  <c r="F12" i="17"/>
  <c r="F45" i="17" s="1"/>
  <c r="J34" i="17"/>
  <c r="K13" i="25"/>
  <c r="G49" i="13"/>
  <c r="G42" i="17" s="1"/>
  <c r="G39" i="13"/>
  <c r="G34" i="17" s="1"/>
  <c r="G14" i="17"/>
  <c r="G47" i="17" s="1"/>
  <c r="G7" i="17"/>
  <c r="G8" i="17"/>
  <c r="G16" i="15"/>
  <c r="G12" i="17"/>
  <c r="G45" i="17" s="1"/>
  <c r="G16" i="18"/>
  <c r="G16" i="20"/>
  <c r="G42" i="22"/>
  <c r="E3" i="17"/>
  <c r="C14" i="13"/>
  <c r="C46" i="13"/>
  <c r="C36" i="13"/>
  <c r="G11" i="17"/>
  <c r="H42" i="22" l="1"/>
  <c r="H29" i="22" s="1"/>
  <c r="H36" i="17"/>
  <c r="E11" i="17"/>
  <c r="E13" i="17"/>
  <c r="E46" i="17" s="1"/>
  <c r="F8" i="17"/>
  <c r="E6" i="17"/>
  <c r="G41" i="17"/>
  <c r="F6" i="17"/>
  <c r="G39" i="17"/>
  <c r="H16" i="22"/>
  <c r="H3" i="22" s="1"/>
  <c r="E10" i="17"/>
  <c r="B15" i="25"/>
  <c r="V49" i="15"/>
  <c r="V49" i="18" s="1"/>
  <c r="V49" i="20" s="1"/>
  <c r="W49" i="15"/>
  <c r="W49" i="18" s="1"/>
  <c r="W49" i="20" s="1"/>
  <c r="AG19" i="97"/>
  <c r="J14" i="26"/>
  <c r="J13" i="29" s="1"/>
  <c r="G35" i="17"/>
  <c r="J15" i="15"/>
  <c r="J48" i="14"/>
  <c r="J15" i="18"/>
  <c r="J15" i="20"/>
  <c r="O17" i="15"/>
  <c r="O17" i="18" s="1"/>
  <c r="O17" i="20" s="1"/>
  <c r="C12" i="27" s="1"/>
  <c r="J13" i="32" s="1"/>
  <c r="B17" i="97" s="1"/>
  <c r="B16" i="14"/>
  <c r="H38" i="17"/>
  <c r="H5" i="17"/>
  <c r="G38" i="17"/>
  <c r="G5" i="17"/>
  <c r="C37" i="13"/>
  <c r="C15" i="13"/>
  <c r="C47" i="13"/>
  <c r="G14" i="25"/>
  <c r="G15" i="17"/>
  <c r="G48" i="17" s="1"/>
  <c r="G40" i="17"/>
  <c r="G49" i="15"/>
  <c r="G49" i="20"/>
  <c r="G49" i="18"/>
  <c r="B15" i="29"/>
  <c r="L16" i="26"/>
  <c r="B50" i="15"/>
  <c r="B50" i="20"/>
  <c r="B50" i="18"/>
  <c r="AF19" i="97"/>
  <c r="I14" i="26"/>
  <c r="I13" i="29" s="1"/>
  <c r="H15" i="17"/>
  <c r="H48" i="17" s="1"/>
  <c r="H49" i="15"/>
  <c r="H43" i="17"/>
  <c r="H44" i="17"/>
  <c r="H49" i="18"/>
  <c r="H49" i="20"/>
  <c r="H42" i="17"/>
  <c r="H41" i="17"/>
  <c r="D48" i="13"/>
  <c r="D16" i="13"/>
  <c r="D13" i="17" s="1"/>
  <c r="D46" i="17" s="1"/>
  <c r="D38" i="13"/>
  <c r="F39" i="13"/>
  <c r="F37" i="17" s="1"/>
  <c r="F49" i="13"/>
  <c r="F14" i="17"/>
  <c r="F47" i="17" s="1"/>
  <c r="F7" i="17"/>
  <c r="F9" i="17"/>
  <c r="F10" i="17"/>
  <c r="F16" i="15"/>
  <c r="F16" i="20"/>
  <c r="F16" i="18"/>
  <c r="U16" i="15"/>
  <c r="U16" i="18" s="1"/>
  <c r="U16" i="20" s="1"/>
  <c r="I11" i="27" s="1"/>
  <c r="P12" i="32" s="1"/>
  <c r="H16" i="97" s="1"/>
  <c r="H15" i="14"/>
  <c r="K14" i="15"/>
  <c r="K14" i="18"/>
  <c r="K14" i="20"/>
  <c r="K47" i="14"/>
  <c r="I15" i="15"/>
  <c r="I15" i="18"/>
  <c r="I48" i="14"/>
  <c r="I15" i="20"/>
  <c r="AH18" i="97"/>
  <c r="K13" i="26"/>
  <c r="K12" i="29" s="1"/>
  <c r="G44" i="17"/>
  <c r="P50" i="15"/>
  <c r="P50" i="18" s="1"/>
  <c r="P50" i="20" s="1"/>
  <c r="C49" i="14"/>
  <c r="G36" i="17"/>
  <c r="E49" i="13"/>
  <c r="E43" i="17" s="1"/>
  <c r="E39" i="13"/>
  <c r="E37" i="17" s="1"/>
  <c r="E14" i="17"/>
  <c r="E47" i="17" s="1"/>
  <c r="E9" i="17"/>
  <c r="E7" i="17"/>
  <c r="E16" i="18"/>
  <c r="E16" i="15"/>
  <c r="E16" i="20"/>
  <c r="X48" i="15"/>
  <c r="X48" i="18" s="1"/>
  <c r="X48" i="20" s="1"/>
  <c r="F4" i="17"/>
  <c r="F35" i="17"/>
  <c r="H35" i="17"/>
  <c r="C2" i="17"/>
  <c r="T16" i="15"/>
  <c r="T16" i="18" s="1"/>
  <c r="T16" i="20" s="1"/>
  <c r="H11" i="27" s="1"/>
  <c r="O12" i="32" s="1"/>
  <c r="G16" i="97" s="1"/>
  <c r="G15" i="14"/>
  <c r="D3" i="17"/>
  <c r="Z20" i="97"/>
  <c r="C15" i="26"/>
  <c r="C14" i="29" s="1"/>
  <c r="G29" i="22"/>
  <c r="G16" i="22" s="1"/>
  <c r="G3" i="22" s="1"/>
  <c r="H14" i="25"/>
  <c r="E35" i="17"/>
  <c r="E4" i="17"/>
  <c r="G37" i="17"/>
  <c r="B36" i="13"/>
  <c r="B14" i="13"/>
  <c r="B46" i="13"/>
  <c r="G43" i="17"/>
  <c r="D12" i="17" l="1"/>
  <c r="D45" i="17" s="1"/>
  <c r="E15" i="17"/>
  <c r="E48" i="17" s="1"/>
  <c r="E40" i="17"/>
  <c r="E49" i="15"/>
  <c r="E44" i="17"/>
  <c r="E49" i="20"/>
  <c r="E49" i="18"/>
  <c r="F14" i="25"/>
  <c r="U49" i="15"/>
  <c r="U49" i="18" s="1"/>
  <c r="U49" i="20" s="1"/>
  <c r="O50" i="15"/>
  <c r="D6" i="17"/>
  <c r="E14" i="25"/>
  <c r="X14" i="15"/>
  <c r="X14" i="18" s="1"/>
  <c r="X14" i="20" s="1"/>
  <c r="L9" i="27" s="1"/>
  <c r="S10" i="32" s="1"/>
  <c r="K14" i="97" s="1"/>
  <c r="K13" i="14"/>
  <c r="S16" i="15"/>
  <c r="S16" i="18" s="1"/>
  <c r="S16" i="20" s="1"/>
  <c r="G11" i="27" s="1"/>
  <c r="N12" i="32" s="1"/>
  <c r="F16" i="97" s="1"/>
  <c r="F15" i="14"/>
  <c r="E41" i="17"/>
  <c r="B49" i="14"/>
  <c r="B47" i="13"/>
  <c r="B15" i="13"/>
  <c r="B37" i="13"/>
  <c r="R16" i="15"/>
  <c r="R16" i="18" s="1"/>
  <c r="R16" i="20" s="1"/>
  <c r="F11" i="27" s="1"/>
  <c r="M12" i="32" s="1"/>
  <c r="E16" i="97" s="1"/>
  <c r="E15" i="14"/>
  <c r="I13" i="25"/>
  <c r="E42" i="17"/>
  <c r="D10" i="17"/>
  <c r="AD19" i="97"/>
  <c r="G14" i="26"/>
  <c r="G13" i="29" s="1"/>
  <c r="C38" i="13"/>
  <c r="C48" i="13"/>
  <c r="C16" i="13"/>
  <c r="C13" i="17" s="1"/>
  <c r="C46" i="17" s="1"/>
  <c r="B2" i="17"/>
  <c r="AE19" i="97"/>
  <c r="H14" i="26"/>
  <c r="H13" i="29" s="1"/>
  <c r="I48" i="15"/>
  <c r="I48" i="20"/>
  <c r="I48" i="18"/>
  <c r="C3" i="17"/>
  <c r="H48" i="14"/>
  <c r="H15" i="15"/>
  <c r="H15" i="20"/>
  <c r="H15" i="18"/>
  <c r="D4" i="17"/>
  <c r="J13" i="25"/>
  <c r="V15" i="15"/>
  <c r="V15" i="18" s="1"/>
  <c r="V15" i="20" s="1"/>
  <c r="J10" i="27" s="1"/>
  <c r="Q11" i="32" s="1"/>
  <c r="I15" i="97" s="1"/>
  <c r="I14" i="14"/>
  <c r="D39" i="13"/>
  <c r="D35" i="17" s="1"/>
  <c r="D14" i="17"/>
  <c r="D47" i="17" s="1"/>
  <c r="D49" i="13"/>
  <c r="D9" i="17"/>
  <c r="D16" i="18"/>
  <c r="D16" i="20"/>
  <c r="D7" i="17"/>
  <c r="D8" i="17"/>
  <c r="D16" i="15"/>
  <c r="D11" i="17"/>
  <c r="G15" i="15"/>
  <c r="G48" i="14"/>
  <c r="G15" i="20"/>
  <c r="G15" i="18"/>
  <c r="K47" i="15"/>
  <c r="K47" i="18"/>
  <c r="K47" i="20"/>
  <c r="F15" i="17"/>
  <c r="F48" i="17" s="1"/>
  <c r="F41" i="17"/>
  <c r="F44" i="17"/>
  <c r="F49" i="20"/>
  <c r="F42" i="17"/>
  <c r="F39" i="17"/>
  <c r="F49" i="15"/>
  <c r="F40" i="17"/>
  <c r="F49" i="18"/>
  <c r="F43" i="17"/>
  <c r="O50" i="18"/>
  <c r="O50" i="20" s="1"/>
  <c r="T49" i="15"/>
  <c r="T49" i="18" s="1"/>
  <c r="T49" i="20" s="1"/>
  <c r="J48" i="15"/>
  <c r="J48" i="20"/>
  <c r="J48" i="18"/>
  <c r="E39" i="17"/>
  <c r="E38" i="17"/>
  <c r="E34" i="17"/>
  <c r="E42" i="22"/>
  <c r="E5" i="17"/>
  <c r="E36" i="17"/>
  <c r="K12" i="25"/>
  <c r="F38" i="17"/>
  <c r="F36" i="17"/>
  <c r="F42" i="22"/>
  <c r="F5" i="17"/>
  <c r="F34" i="17"/>
  <c r="J14" i="14"/>
  <c r="W15" i="15"/>
  <c r="W15" i="18" s="1"/>
  <c r="W15" i="20" s="1"/>
  <c r="K10" i="27" s="1"/>
  <c r="R11" i="32" s="1"/>
  <c r="J15" i="97" s="1"/>
  <c r="Y20" i="97"/>
  <c r="B15" i="26"/>
  <c r="C9" i="17" l="1"/>
  <c r="C6" i="17"/>
  <c r="D37" i="17"/>
  <c r="C11" i="17"/>
  <c r="D15" i="17"/>
  <c r="D48" i="17" s="1"/>
  <c r="D39" i="17"/>
  <c r="D49" i="15"/>
  <c r="D43" i="17"/>
  <c r="D49" i="20"/>
  <c r="D49" i="18"/>
  <c r="D42" i="17"/>
  <c r="D44" i="17"/>
  <c r="D40" i="17"/>
  <c r="D41" i="17"/>
  <c r="R49" i="15"/>
  <c r="X47" i="15"/>
  <c r="X47" i="18" s="1"/>
  <c r="X47" i="20" s="1"/>
  <c r="B3" i="17"/>
  <c r="J47" i="14"/>
  <c r="J14" i="15"/>
  <c r="J14" i="18"/>
  <c r="J14" i="20"/>
  <c r="G13" i="25"/>
  <c r="G48" i="15"/>
  <c r="G48" i="20"/>
  <c r="G48" i="18"/>
  <c r="D15" i="14"/>
  <c r="Q16" i="15"/>
  <c r="D38" i="17"/>
  <c r="D36" i="17"/>
  <c r="D5" i="17"/>
  <c r="D42" i="22"/>
  <c r="D34" i="17"/>
  <c r="AB19" i="97"/>
  <c r="E14" i="26"/>
  <c r="E13" i="29" s="1"/>
  <c r="G14" i="14"/>
  <c r="T15" i="15"/>
  <c r="T15" i="18" s="1"/>
  <c r="T15" i="20" s="1"/>
  <c r="H10" i="27" s="1"/>
  <c r="O11" i="32" s="1"/>
  <c r="G15" i="97" s="1"/>
  <c r="I14" i="15"/>
  <c r="I47" i="14"/>
  <c r="I14" i="18"/>
  <c r="I14" i="20"/>
  <c r="AG18" i="97"/>
  <c r="J13" i="26"/>
  <c r="J12" i="29" s="1"/>
  <c r="H13" i="25"/>
  <c r="C49" i="13"/>
  <c r="C40" i="17" s="1"/>
  <c r="C39" i="13"/>
  <c r="C37" i="17" s="1"/>
  <c r="C14" i="17"/>
  <c r="C47" i="17" s="1"/>
  <c r="C16" i="15"/>
  <c r="C10" i="17"/>
  <c r="C8" i="17"/>
  <c r="C16" i="18"/>
  <c r="C16" i="20"/>
  <c r="C7" i="17"/>
  <c r="C12" i="17"/>
  <c r="C45" i="17" s="1"/>
  <c r="AF18" i="97"/>
  <c r="I13" i="26"/>
  <c r="I12" i="29" s="1"/>
  <c r="B48" i="13"/>
  <c r="B38" i="13"/>
  <c r="B16" i="13"/>
  <c r="B13" i="17" s="1"/>
  <c r="B46" i="17" s="1"/>
  <c r="F15" i="15"/>
  <c r="F48" i="14"/>
  <c r="F15" i="18"/>
  <c r="F15" i="20"/>
  <c r="AC19" i="97"/>
  <c r="F14" i="26"/>
  <c r="F13" i="29" s="1"/>
  <c r="E29" i="22"/>
  <c r="E16" i="22" s="1"/>
  <c r="E3" i="22" s="1"/>
  <c r="AH17" i="97"/>
  <c r="K12" i="26"/>
  <c r="K11" i="29" s="1"/>
  <c r="H14" i="14"/>
  <c r="U15" i="15"/>
  <c r="U15" i="18" s="1"/>
  <c r="U15" i="20" s="1"/>
  <c r="I10" i="27" s="1"/>
  <c r="P11" i="32" s="1"/>
  <c r="H15" i="97" s="1"/>
  <c r="E15" i="15"/>
  <c r="E48" i="14"/>
  <c r="E15" i="18"/>
  <c r="E15" i="20"/>
  <c r="B14" i="29"/>
  <c r="L15" i="26"/>
  <c r="D14" i="25"/>
  <c r="H48" i="15"/>
  <c r="H48" i="18"/>
  <c r="H48" i="20"/>
  <c r="V48" i="15"/>
  <c r="V48" i="18" s="1"/>
  <c r="V48" i="20" s="1"/>
  <c r="C35" i="17"/>
  <c r="C4" i="17"/>
  <c r="R49" i="18"/>
  <c r="R49" i="20" s="1"/>
  <c r="F29" i="22"/>
  <c r="F16" i="22" s="1"/>
  <c r="F3" i="22" s="1"/>
  <c r="W48" i="15"/>
  <c r="W48" i="18" s="1"/>
  <c r="W48" i="20" s="1"/>
  <c r="S49" i="15"/>
  <c r="S49" i="18" s="1"/>
  <c r="S49" i="20" s="1"/>
  <c r="Q16" i="18"/>
  <c r="Q16" i="20" s="1"/>
  <c r="E11" i="27" s="1"/>
  <c r="L12" i="32" s="1"/>
  <c r="D16" i="97" s="1"/>
  <c r="K13" i="15"/>
  <c r="K46" i="14"/>
  <c r="K13" i="18"/>
  <c r="K13" i="20"/>
  <c r="C44" i="17" l="1"/>
  <c r="C43" i="17"/>
  <c r="C41" i="17"/>
  <c r="C34" i="17"/>
  <c r="AA19" i="97"/>
  <c r="D14" i="26"/>
  <c r="D13" i="29" s="1"/>
  <c r="H14" i="15"/>
  <c r="H47" i="14"/>
  <c r="H14" i="20"/>
  <c r="H14" i="18"/>
  <c r="B49" i="13"/>
  <c r="B39" i="13"/>
  <c r="B35" i="17" s="1"/>
  <c r="B14" i="17"/>
  <c r="B47" i="17" s="1"/>
  <c r="B10" i="17"/>
  <c r="B16" i="20"/>
  <c r="B7" i="17"/>
  <c r="B8" i="17"/>
  <c r="B16" i="18"/>
  <c r="B11" i="17"/>
  <c r="B16" i="15"/>
  <c r="T48" i="15"/>
  <c r="E48" i="15"/>
  <c r="E48" i="18"/>
  <c r="E48" i="20"/>
  <c r="B4" i="17"/>
  <c r="AE18" i="97"/>
  <c r="H13" i="26"/>
  <c r="H12" i="29" s="1"/>
  <c r="G14" i="15"/>
  <c r="G47" i="14"/>
  <c r="G14" i="18"/>
  <c r="G14" i="20"/>
  <c r="B9" i="17"/>
  <c r="Q49" i="15"/>
  <c r="Q49" i="18" s="1"/>
  <c r="Q49" i="20" s="1"/>
  <c r="K11" i="25"/>
  <c r="E13" i="25"/>
  <c r="R15" i="15"/>
  <c r="R15" i="18" s="1"/>
  <c r="R15" i="20" s="1"/>
  <c r="F10" i="27" s="1"/>
  <c r="M11" i="32" s="1"/>
  <c r="E15" i="97" s="1"/>
  <c r="E14" i="14"/>
  <c r="F13" i="25"/>
  <c r="B43" i="17"/>
  <c r="B44" i="17"/>
  <c r="B40" i="17"/>
  <c r="B39" i="17"/>
  <c r="AD18" i="97"/>
  <c r="G13" i="26"/>
  <c r="G12" i="29" s="1"/>
  <c r="C15" i="14"/>
  <c r="P16" i="15"/>
  <c r="P16" i="18" s="1"/>
  <c r="P16" i="20" s="1"/>
  <c r="D11" i="27" s="1"/>
  <c r="K12" i="32" s="1"/>
  <c r="C16" i="97" s="1"/>
  <c r="J12" i="25"/>
  <c r="F48" i="15"/>
  <c r="F48" i="18"/>
  <c r="F48" i="20"/>
  <c r="I12" i="25"/>
  <c r="D15" i="15"/>
  <c r="D48" i="14"/>
  <c r="D15" i="18"/>
  <c r="D15" i="20"/>
  <c r="K46" i="15"/>
  <c r="K46" i="18"/>
  <c r="K46" i="20"/>
  <c r="F14" i="14"/>
  <c r="S15" i="15"/>
  <c r="S15" i="18" s="1"/>
  <c r="S15" i="20" s="1"/>
  <c r="G10" i="27" s="1"/>
  <c r="N11" i="32" s="1"/>
  <c r="F15" i="97" s="1"/>
  <c r="C38" i="17"/>
  <c r="C5" i="17"/>
  <c r="C36" i="17"/>
  <c r="C42" i="22"/>
  <c r="J13" i="14"/>
  <c r="W14" i="15"/>
  <c r="W14" i="18" s="1"/>
  <c r="W14" i="20" s="1"/>
  <c r="K9" i="27" s="1"/>
  <c r="R10" i="32" s="1"/>
  <c r="J14" i="97" s="1"/>
  <c r="X13" i="15"/>
  <c r="X13" i="18" s="1"/>
  <c r="X13" i="20" s="1"/>
  <c r="L8" i="27" s="1"/>
  <c r="S9" i="32" s="1"/>
  <c r="K13" i="97" s="1"/>
  <c r="K12" i="14"/>
  <c r="U48" i="15"/>
  <c r="U48" i="18" s="1"/>
  <c r="U48" i="20" s="1"/>
  <c r="B6" i="17"/>
  <c r="C15" i="17"/>
  <c r="C48" i="17" s="1"/>
  <c r="C42" i="17"/>
  <c r="C49" i="18"/>
  <c r="C49" i="20"/>
  <c r="C49" i="15"/>
  <c r="I47" i="15"/>
  <c r="I47" i="20"/>
  <c r="I47" i="18"/>
  <c r="T48" i="18"/>
  <c r="T48" i="20" s="1"/>
  <c r="J47" i="15"/>
  <c r="J47" i="20"/>
  <c r="J47" i="18"/>
  <c r="B12" i="17"/>
  <c r="B45" i="17" s="1"/>
  <c r="C14" i="25"/>
  <c r="I13" i="14"/>
  <c r="V14" i="15"/>
  <c r="V14" i="18" s="1"/>
  <c r="V14" i="20" s="1"/>
  <c r="J9" i="27" s="1"/>
  <c r="Q10" i="32" s="1"/>
  <c r="I14" i="97" s="1"/>
  <c r="D29" i="22"/>
  <c r="D16" i="22" s="1"/>
  <c r="D3" i="22" s="1"/>
  <c r="C39" i="17"/>
  <c r="I46" i="14" l="1"/>
  <c r="I13" i="15"/>
  <c r="I13" i="18"/>
  <c r="I13" i="20"/>
  <c r="D48" i="15"/>
  <c r="D48" i="20"/>
  <c r="D48" i="18"/>
  <c r="G12" i="25"/>
  <c r="F47" i="14"/>
  <c r="F14" i="15"/>
  <c r="F14" i="18"/>
  <c r="F14" i="20"/>
  <c r="Q15" i="15"/>
  <c r="Q15" i="18" s="1"/>
  <c r="Q15" i="20" s="1"/>
  <c r="E10" i="27" s="1"/>
  <c r="L11" i="32" s="1"/>
  <c r="D15" i="97" s="1"/>
  <c r="D14" i="14"/>
  <c r="AG17" i="97"/>
  <c r="J12" i="26"/>
  <c r="J11" i="29" s="1"/>
  <c r="B15" i="14"/>
  <c r="O16" i="15"/>
  <c r="O16" i="18" s="1"/>
  <c r="O16" i="20" s="1"/>
  <c r="C11" i="27" s="1"/>
  <c r="J12" i="32" s="1"/>
  <c r="B16" i="97" s="1"/>
  <c r="B38" i="17"/>
  <c r="B5" i="17"/>
  <c r="B34" i="17"/>
  <c r="B42" i="22"/>
  <c r="Z19" i="97"/>
  <c r="C14" i="26"/>
  <c r="C13" i="29" s="1"/>
  <c r="J13" i="15"/>
  <c r="J46" i="14"/>
  <c r="J13" i="18"/>
  <c r="J13" i="20"/>
  <c r="V47" i="15"/>
  <c r="V47" i="18" s="1"/>
  <c r="V47" i="20" s="1"/>
  <c r="AB18" i="97"/>
  <c r="E13" i="26"/>
  <c r="E12" i="29" s="1"/>
  <c r="G47" i="15"/>
  <c r="G47" i="18"/>
  <c r="G47" i="20"/>
  <c r="B37" i="17"/>
  <c r="B15" i="17"/>
  <c r="B48" i="17" s="1"/>
  <c r="B41" i="17"/>
  <c r="B49" i="20"/>
  <c r="B49" i="18"/>
  <c r="B42" i="17"/>
  <c r="B49" i="15"/>
  <c r="C29" i="22"/>
  <c r="C16" i="22" s="1"/>
  <c r="C3" i="22" s="1"/>
  <c r="AF17" i="97"/>
  <c r="I12" i="26"/>
  <c r="I11" i="29" s="1"/>
  <c r="C15" i="15"/>
  <c r="C48" i="14"/>
  <c r="C15" i="20"/>
  <c r="C15" i="18"/>
  <c r="G13" i="14"/>
  <c r="T14" i="15"/>
  <c r="T14" i="18" s="1"/>
  <c r="T14" i="20" s="1"/>
  <c r="H9" i="27" s="1"/>
  <c r="O10" i="32" s="1"/>
  <c r="G14" i="97" s="1"/>
  <c r="K12" i="15"/>
  <c r="K12" i="18"/>
  <c r="K12" i="20"/>
  <c r="K45" i="14"/>
  <c r="X46" i="15"/>
  <c r="X46" i="18" s="1"/>
  <c r="X46" i="20" s="1"/>
  <c r="AH16" i="97"/>
  <c r="K11" i="26"/>
  <c r="K10" i="29" s="1"/>
  <c r="H12" i="25"/>
  <c r="P49" i="15"/>
  <c r="P49" i="18" s="1"/>
  <c r="P49" i="20" s="1"/>
  <c r="AC18" i="97"/>
  <c r="F13" i="26"/>
  <c r="F12" i="29" s="1"/>
  <c r="R48" i="15"/>
  <c r="R48" i="18" s="1"/>
  <c r="R48" i="20" s="1"/>
  <c r="H47" i="15"/>
  <c r="H47" i="20"/>
  <c r="H47" i="18"/>
  <c r="W47" i="15"/>
  <c r="W47" i="18" s="1"/>
  <c r="W47" i="20" s="1"/>
  <c r="D13" i="25"/>
  <c r="S48" i="15"/>
  <c r="S48" i="18" s="1"/>
  <c r="S48" i="20" s="1"/>
  <c r="E47" i="14"/>
  <c r="E14" i="20"/>
  <c r="E14" i="15"/>
  <c r="E14" i="18"/>
  <c r="B14" i="25"/>
  <c r="U14" i="15"/>
  <c r="U14" i="18" s="1"/>
  <c r="U14" i="20" s="1"/>
  <c r="I9" i="27" s="1"/>
  <c r="P10" i="32" s="1"/>
  <c r="H14" i="97" s="1"/>
  <c r="H13" i="14"/>
  <c r="B36" i="17"/>
  <c r="J12" i="14" l="1"/>
  <c r="W13" i="15"/>
  <c r="B15" i="15"/>
  <c r="B48" i="14"/>
  <c r="B15" i="18"/>
  <c r="B15" i="20"/>
  <c r="F12" i="25"/>
  <c r="AD17" i="97"/>
  <c r="G12" i="26"/>
  <c r="G11" i="29" s="1"/>
  <c r="AA18" i="97"/>
  <c r="D13" i="26"/>
  <c r="D12" i="29" s="1"/>
  <c r="AE17" i="97"/>
  <c r="H12" i="26"/>
  <c r="H11" i="29" s="1"/>
  <c r="K45" i="15"/>
  <c r="K45" i="20"/>
  <c r="K45" i="18"/>
  <c r="G46" i="14"/>
  <c r="G13" i="15"/>
  <c r="G13" i="18"/>
  <c r="G13" i="20"/>
  <c r="Q48" i="15"/>
  <c r="Q48" i="18" s="1"/>
  <c r="Q48" i="20" s="1"/>
  <c r="C14" i="14"/>
  <c r="P15" i="15"/>
  <c r="P15" i="18" s="1"/>
  <c r="P15" i="20" s="1"/>
  <c r="D10" i="27" s="1"/>
  <c r="K11" i="32" s="1"/>
  <c r="C15" i="97" s="1"/>
  <c r="F13" i="14"/>
  <c r="S14" i="15"/>
  <c r="S14" i="18" s="1"/>
  <c r="S14" i="20" s="1"/>
  <c r="G9" i="27" s="1"/>
  <c r="N10" i="32" s="1"/>
  <c r="F14" i="97" s="1"/>
  <c r="I11" i="25"/>
  <c r="J11" i="25"/>
  <c r="B29" i="22"/>
  <c r="B16" i="22" s="1"/>
  <c r="B3" i="22" s="1"/>
  <c r="F47" i="15"/>
  <c r="F47" i="18"/>
  <c r="F47" i="20"/>
  <c r="E13" i="14"/>
  <c r="R14" i="15"/>
  <c r="R14" i="18" s="1"/>
  <c r="R14" i="20" s="1"/>
  <c r="F9" i="27" s="1"/>
  <c r="M10" i="32" s="1"/>
  <c r="E14" i="97" s="1"/>
  <c r="E12" i="25"/>
  <c r="K10" i="25"/>
  <c r="X12" i="15"/>
  <c r="X12" i="18" s="1"/>
  <c r="X12" i="20" s="1"/>
  <c r="L7" i="27" s="1"/>
  <c r="S8" i="32" s="1"/>
  <c r="K12" i="97" s="1"/>
  <c r="K11" i="14"/>
  <c r="C13" i="25"/>
  <c r="O49" i="15"/>
  <c r="O49" i="18" s="1"/>
  <c r="O49" i="20" s="1"/>
  <c r="W13" i="18"/>
  <c r="W13" i="20" s="1"/>
  <c r="K8" i="27" s="1"/>
  <c r="R9" i="32" s="1"/>
  <c r="J13" i="97" s="1"/>
  <c r="I12" i="14"/>
  <c r="V13" i="15"/>
  <c r="V13" i="18" s="1"/>
  <c r="V13" i="20" s="1"/>
  <c r="J8" i="27" s="1"/>
  <c r="Q9" i="32" s="1"/>
  <c r="I13" i="97" s="1"/>
  <c r="Y19" i="97"/>
  <c r="B14" i="26"/>
  <c r="H46" i="14"/>
  <c r="H13" i="15"/>
  <c r="H13" i="18"/>
  <c r="H13" i="20"/>
  <c r="E47" i="15"/>
  <c r="E47" i="20"/>
  <c r="E47" i="18"/>
  <c r="U47" i="15"/>
  <c r="U47" i="18" s="1"/>
  <c r="U47" i="20" s="1"/>
  <c r="C48" i="15"/>
  <c r="C48" i="20"/>
  <c r="C48" i="18"/>
  <c r="T47" i="15"/>
  <c r="T47" i="18" s="1"/>
  <c r="T47" i="20" s="1"/>
  <c r="J46" i="15"/>
  <c r="J46" i="18"/>
  <c r="J46" i="20"/>
  <c r="D47" i="14"/>
  <c r="D14" i="15"/>
  <c r="D14" i="20"/>
  <c r="D14" i="18"/>
  <c r="I46" i="15"/>
  <c r="I46" i="20"/>
  <c r="I46" i="18"/>
  <c r="T13" i="15" l="1"/>
  <c r="T13" i="18" s="1"/>
  <c r="T13" i="20" s="1"/>
  <c r="H8" i="27" s="1"/>
  <c r="O9" i="32" s="1"/>
  <c r="G13" i="97" s="1"/>
  <c r="G12" i="14"/>
  <c r="V46" i="15"/>
  <c r="AB17" i="97"/>
  <c r="E12" i="26"/>
  <c r="E11" i="29" s="1"/>
  <c r="K11" i="18"/>
  <c r="K11" i="15"/>
  <c r="X11" i="15" s="1"/>
  <c r="K11" i="20"/>
  <c r="C14" i="15"/>
  <c r="C47" i="14"/>
  <c r="C14" i="18"/>
  <c r="C14" i="20"/>
  <c r="G46" i="15"/>
  <c r="G46" i="20"/>
  <c r="G46" i="18"/>
  <c r="B48" i="15"/>
  <c r="B48" i="20"/>
  <c r="B48" i="18"/>
  <c r="Z18" i="97"/>
  <c r="C13" i="26"/>
  <c r="C12" i="29" s="1"/>
  <c r="H12" i="14"/>
  <c r="U13" i="15"/>
  <c r="U13" i="18" s="1"/>
  <c r="U13" i="20" s="1"/>
  <c r="I8" i="27" s="1"/>
  <c r="P9" i="32" s="1"/>
  <c r="H13" i="97" s="1"/>
  <c r="D12" i="25"/>
  <c r="H46" i="15"/>
  <c r="H46" i="20"/>
  <c r="H46" i="18"/>
  <c r="E13" i="15"/>
  <c r="E46" i="14"/>
  <c r="E13" i="18"/>
  <c r="E13" i="20"/>
  <c r="S47" i="15"/>
  <c r="S47" i="18" s="1"/>
  <c r="S47" i="20" s="1"/>
  <c r="AF16" i="97"/>
  <c r="I11" i="26"/>
  <c r="I10" i="29" s="1"/>
  <c r="B14" i="14"/>
  <c r="O15" i="15"/>
  <c r="O15" i="18" s="1"/>
  <c r="O15" i="20" s="1"/>
  <c r="C10" i="27" s="1"/>
  <c r="J11" i="32" s="1"/>
  <c r="B15" i="97" s="1"/>
  <c r="Q14" i="15"/>
  <c r="Q14" i="18" s="1"/>
  <c r="Q14" i="20" s="1"/>
  <c r="E9" i="27" s="1"/>
  <c r="L10" i="32" s="1"/>
  <c r="D14" i="97" s="1"/>
  <c r="D13" i="14"/>
  <c r="D47" i="15"/>
  <c r="D47" i="20"/>
  <c r="D47" i="18"/>
  <c r="P48" i="15"/>
  <c r="P48" i="18" s="1"/>
  <c r="P48" i="20" s="1"/>
  <c r="X45" i="15"/>
  <c r="X45" i="18" s="1"/>
  <c r="X45" i="20" s="1"/>
  <c r="K44" i="14"/>
  <c r="AG16" i="97"/>
  <c r="J11" i="26"/>
  <c r="J10" i="29" s="1"/>
  <c r="F13" i="15"/>
  <c r="F46" i="14"/>
  <c r="F13" i="18"/>
  <c r="F13" i="20"/>
  <c r="V46" i="18"/>
  <c r="R47" i="15"/>
  <c r="R47" i="18" s="1"/>
  <c r="R47" i="20" s="1"/>
  <c r="AH15" i="97"/>
  <c r="K10" i="26"/>
  <c r="K9" i="29" s="1"/>
  <c r="G11" i="25"/>
  <c r="AC17" i="97"/>
  <c r="F12" i="26"/>
  <c r="F11" i="29" s="1"/>
  <c r="B13" i="29"/>
  <c r="L14" i="26"/>
  <c r="V46" i="20"/>
  <c r="W46" i="15"/>
  <c r="W46" i="18" s="1"/>
  <c r="W46" i="20" s="1"/>
  <c r="H11" i="25"/>
  <c r="I45" i="14"/>
  <c r="I12" i="18"/>
  <c r="I12" i="15"/>
  <c r="I12" i="20"/>
  <c r="B13" i="25"/>
  <c r="J12" i="18"/>
  <c r="J45" i="14"/>
  <c r="J12" i="20"/>
  <c r="J12" i="15"/>
  <c r="W12" i="15" l="1"/>
  <c r="J11" i="14"/>
  <c r="AD16" i="97"/>
  <c r="G11" i="26"/>
  <c r="G10" i="29" s="1"/>
  <c r="K9" i="25"/>
  <c r="J10" i="25"/>
  <c r="H45" i="14"/>
  <c r="H12" i="15"/>
  <c r="H12" i="18"/>
  <c r="H12" i="20"/>
  <c r="F11" i="25"/>
  <c r="J45" i="15"/>
  <c r="J45" i="20"/>
  <c r="J45" i="18"/>
  <c r="I10" i="25"/>
  <c r="F46" i="15"/>
  <c r="F46" i="18"/>
  <c r="F46" i="20"/>
  <c r="T46" i="15"/>
  <c r="T46" i="18" s="1"/>
  <c r="T46" i="20" s="1"/>
  <c r="X11" i="18"/>
  <c r="X11" i="20" s="1"/>
  <c r="L6" i="27" s="1"/>
  <c r="S7" i="32" s="1"/>
  <c r="K11" i="97" s="1"/>
  <c r="W12" i="18"/>
  <c r="W12" i="20" s="1"/>
  <c r="K7" i="27" s="1"/>
  <c r="R8" i="32" s="1"/>
  <c r="J12" i="97" s="1"/>
  <c r="C12" i="25"/>
  <c r="V12" i="15"/>
  <c r="V12" i="18" s="1"/>
  <c r="V12" i="20" s="1"/>
  <c r="J7" i="27" s="1"/>
  <c r="Q8" i="32" s="1"/>
  <c r="I12" i="97" s="1"/>
  <c r="I11" i="14"/>
  <c r="F12" i="14"/>
  <c r="S13" i="15"/>
  <c r="S13" i="18" s="1"/>
  <c r="S13" i="20" s="1"/>
  <c r="G8" i="27" s="1"/>
  <c r="N9" i="32" s="1"/>
  <c r="F13" i="97" s="1"/>
  <c r="U46" i="15"/>
  <c r="U46" i="18" s="1"/>
  <c r="U46" i="20" s="1"/>
  <c r="G45" i="14"/>
  <c r="G12" i="15"/>
  <c r="G12" i="18"/>
  <c r="G12" i="20"/>
  <c r="I45" i="15"/>
  <c r="I45" i="20"/>
  <c r="I45" i="18"/>
  <c r="C47" i="15"/>
  <c r="C47" i="20"/>
  <c r="C47" i="18"/>
  <c r="D13" i="15"/>
  <c r="D46" i="14"/>
  <c r="D13" i="20"/>
  <c r="D13" i="18"/>
  <c r="R13" i="15"/>
  <c r="R13" i="18" s="1"/>
  <c r="R13" i="20" s="1"/>
  <c r="F8" i="27" s="1"/>
  <c r="M9" i="32" s="1"/>
  <c r="E13" i="97" s="1"/>
  <c r="E12" i="14"/>
  <c r="Y18" i="97"/>
  <c r="B13" i="26"/>
  <c r="E11" i="25"/>
  <c r="B47" i="14"/>
  <c r="B14" i="15"/>
  <c r="B14" i="20"/>
  <c r="B14" i="18"/>
  <c r="AA17" i="97"/>
  <c r="D12" i="26"/>
  <c r="D11" i="29" s="1"/>
  <c r="P14" i="15"/>
  <c r="P14" i="18" s="1"/>
  <c r="P14" i="20" s="1"/>
  <c r="D9" i="27" s="1"/>
  <c r="K10" i="32" s="1"/>
  <c r="C14" i="97" s="1"/>
  <c r="C13" i="14"/>
  <c r="AE16" i="97"/>
  <c r="H11" i="26"/>
  <c r="H10" i="29" s="1"/>
  <c r="K44" i="18"/>
  <c r="K44" i="15"/>
  <c r="K44" i="20"/>
  <c r="Q47" i="15"/>
  <c r="Q47" i="18" s="1"/>
  <c r="Q47" i="20" s="1"/>
  <c r="E46" i="15"/>
  <c r="E46" i="18"/>
  <c r="E46" i="20"/>
  <c r="O48" i="15"/>
  <c r="O48" i="18" s="1"/>
  <c r="O48" i="20" s="1"/>
  <c r="AG15" i="97" l="1"/>
  <c r="J10" i="26"/>
  <c r="J9" i="29" s="1"/>
  <c r="B12" i="29"/>
  <c r="L13" i="26"/>
  <c r="D12" i="14"/>
  <c r="Q13" i="15"/>
  <c r="G10" i="25"/>
  <c r="H45" i="15"/>
  <c r="H45" i="18"/>
  <c r="H45" i="20"/>
  <c r="D46" i="15"/>
  <c r="D46" i="20"/>
  <c r="D46" i="18"/>
  <c r="I11" i="15"/>
  <c r="V11" i="15" s="1"/>
  <c r="I11" i="18"/>
  <c r="I11" i="20"/>
  <c r="W45" i="15"/>
  <c r="J44" i="14"/>
  <c r="AH14" i="97"/>
  <c r="K9" i="26"/>
  <c r="K8" i="29" s="1"/>
  <c r="B12" i="25"/>
  <c r="T12" i="15"/>
  <c r="T12" i="18" s="1"/>
  <c r="T12" i="20" s="1"/>
  <c r="H7" i="27" s="1"/>
  <c r="O8" i="32" s="1"/>
  <c r="G12" i="97" s="1"/>
  <c r="G11" i="14"/>
  <c r="V45" i="15"/>
  <c r="V45" i="18" s="1"/>
  <c r="V45" i="20" s="1"/>
  <c r="I44" i="14"/>
  <c r="X44" i="15"/>
  <c r="X44" i="18" s="1"/>
  <c r="X44" i="20" s="1"/>
  <c r="K10" i="14"/>
  <c r="K43" i="14"/>
  <c r="O14" i="15"/>
  <c r="O14" i="18" s="1"/>
  <c r="O14" i="20" s="1"/>
  <c r="C9" i="27" s="1"/>
  <c r="J10" i="32" s="1"/>
  <c r="B14" i="97" s="1"/>
  <c r="B13" i="14"/>
  <c r="E12" i="15"/>
  <c r="E12" i="18"/>
  <c r="E45" i="14"/>
  <c r="E12" i="20"/>
  <c r="K51" i="22"/>
  <c r="K38" i="22" s="1"/>
  <c r="K25" i="22" s="1"/>
  <c r="B47" i="15"/>
  <c r="B47" i="20"/>
  <c r="B47" i="18"/>
  <c r="P47" i="15"/>
  <c r="P47" i="18" s="1"/>
  <c r="P47" i="20" s="1"/>
  <c r="G45" i="15"/>
  <c r="G45" i="20"/>
  <c r="G45" i="18"/>
  <c r="AC16" i="97"/>
  <c r="F11" i="26"/>
  <c r="F10" i="29" s="1"/>
  <c r="Z17" i="97"/>
  <c r="C12" i="26"/>
  <c r="C11" i="29" s="1"/>
  <c r="S46" i="15"/>
  <c r="S46" i="18" s="1"/>
  <c r="S46" i="20" s="1"/>
  <c r="J11" i="18"/>
  <c r="J11" i="20"/>
  <c r="J11" i="15"/>
  <c r="W11" i="15" s="1"/>
  <c r="U12" i="15"/>
  <c r="U12" i="18" s="1"/>
  <c r="U12" i="20" s="1"/>
  <c r="I7" i="27" s="1"/>
  <c r="P8" i="32" s="1"/>
  <c r="H12" i="97" s="1"/>
  <c r="H11" i="14"/>
  <c r="Q13" i="18"/>
  <c r="Q13" i="20" s="1"/>
  <c r="E8" i="27" s="1"/>
  <c r="L9" i="32" s="1"/>
  <c r="D13" i="97" s="1"/>
  <c r="H10" i="25"/>
  <c r="W45" i="18"/>
  <c r="W45" i="20" s="1"/>
  <c r="R46" i="15"/>
  <c r="R46" i="18" s="1"/>
  <c r="R46" i="20" s="1"/>
  <c r="C46" i="14"/>
  <c r="C13" i="15"/>
  <c r="C13" i="18"/>
  <c r="C13" i="20"/>
  <c r="AB16" i="97"/>
  <c r="E11" i="26"/>
  <c r="E10" i="29" s="1"/>
  <c r="D11" i="25"/>
  <c r="F45" i="14"/>
  <c r="F12" i="18"/>
  <c r="F12" i="15"/>
  <c r="F12" i="20"/>
  <c r="AF15" i="97"/>
  <c r="I10" i="26"/>
  <c r="I9" i="29" s="1"/>
  <c r="K63" i="22" l="1"/>
  <c r="K12" i="22"/>
  <c r="C11" i="25"/>
  <c r="Q46" i="15"/>
  <c r="S12" i="15"/>
  <c r="F11" i="14"/>
  <c r="K43" i="15"/>
  <c r="K43" i="18"/>
  <c r="K43" i="20"/>
  <c r="D12" i="18"/>
  <c r="D12" i="15"/>
  <c r="D45" i="14"/>
  <c r="D12" i="20"/>
  <c r="H11" i="18"/>
  <c r="H11" i="15"/>
  <c r="U11" i="15" s="1"/>
  <c r="H11" i="20"/>
  <c r="C12" i="14"/>
  <c r="P13" i="15"/>
  <c r="P13" i="18" s="1"/>
  <c r="P13" i="20" s="1"/>
  <c r="D8" i="27" s="1"/>
  <c r="K9" i="32" s="1"/>
  <c r="C13" i="97" s="1"/>
  <c r="E10" i="25"/>
  <c r="K10" i="15"/>
  <c r="X10" i="15" s="1"/>
  <c r="K10" i="20"/>
  <c r="K10" i="18"/>
  <c r="G11" i="18"/>
  <c r="G11" i="15"/>
  <c r="T11" i="15" s="1"/>
  <c r="G11" i="20"/>
  <c r="J44" i="15"/>
  <c r="J44" i="18"/>
  <c r="J44" i="20"/>
  <c r="S12" i="18"/>
  <c r="S12" i="20" s="1"/>
  <c r="G7" i="27" s="1"/>
  <c r="N8" i="32" s="1"/>
  <c r="F12" i="97" s="1"/>
  <c r="F45" i="15"/>
  <c r="F45" i="20"/>
  <c r="F45" i="18"/>
  <c r="C46" i="15"/>
  <c r="C46" i="20"/>
  <c r="C46" i="18"/>
  <c r="J9" i="25"/>
  <c r="E45" i="15"/>
  <c r="E45" i="20"/>
  <c r="E45" i="18"/>
  <c r="I9" i="25"/>
  <c r="U45" i="15"/>
  <c r="U45" i="18" s="1"/>
  <c r="U45" i="20" s="1"/>
  <c r="H44" i="14"/>
  <c r="W11" i="18"/>
  <c r="W11" i="20" s="1"/>
  <c r="K6" i="27" s="1"/>
  <c r="R7" i="32" s="1"/>
  <c r="J11" i="97" s="1"/>
  <c r="O47" i="15"/>
  <c r="O47" i="18" s="1"/>
  <c r="O47" i="20" s="1"/>
  <c r="V11" i="18"/>
  <c r="V11" i="20" s="1"/>
  <c r="J6" i="27" s="1"/>
  <c r="Q7" i="32" s="1"/>
  <c r="I11" i="97" s="1"/>
  <c r="R12" i="15"/>
  <c r="R12" i="18" s="1"/>
  <c r="R12" i="20" s="1"/>
  <c r="F7" i="27" s="1"/>
  <c r="M8" i="32" s="1"/>
  <c r="E12" i="97" s="1"/>
  <c r="E11" i="14"/>
  <c r="F10" i="25"/>
  <c r="T45" i="15"/>
  <c r="T45" i="18" s="1"/>
  <c r="T45" i="20" s="1"/>
  <c r="G44" i="14"/>
  <c r="Y17" i="97"/>
  <c r="B12" i="26"/>
  <c r="AE15" i="97"/>
  <c r="H10" i="26"/>
  <c r="H9" i="29" s="1"/>
  <c r="AA16" i="97"/>
  <c r="D11" i="26"/>
  <c r="D10" i="29" s="1"/>
  <c r="B13" i="15"/>
  <c r="B46" i="14"/>
  <c r="B13" i="18"/>
  <c r="B13" i="20"/>
  <c r="I44" i="15"/>
  <c r="I44" i="18"/>
  <c r="I44" i="20"/>
  <c r="Q46" i="18"/>
  <c r="Q46" i="20" s="1"/>
  <c r="AD15" i="97"/>
  <c r="G10" i="26"/>
  <c r="G9" i="29" s="1"/>
  <c r="W44" i="15" l="1"/>
  <c r="W44" i="18" s="1"/>
  <c r="W44" i="20" s="1"/>
  <c r="J10" i="14"/>
  <c r="J43" i="14"/>
  <c r="AB15" i="97"/>
  <c r="E10" i="26"/>
  <c r="E9" i="29" s="1"/>
  <c r="D10" i="25"/>
  <c r="F11" i="18"/>
  <c r="F11" i="15"/>
  <c r="S11" i="15" s="1"/>
  <c r="F11" i="20"/>
  <c r="K38" i="25"/>
  <c r="X11" i="22"/>
  <c r="L31" i="27" s="1"/>
  <c r="S32" i="32" s="1"/>
  <c r="K36" i="97" s="1"/>
  <c r="AG14" i="97"/>
  <c r="J9" i="26"/>
  <c r="J8" i="29" s="1"/>
  <c r="G9" i="25"/>
  <c r="D45" i="15"/>
  <c r="D45" i="18"/>
  <c r="D45" i="20"/>
  <c r="G44" i="15"/>
  <c r="G44" i="18"/>
  <c r="G44" i="20"/>
  <c r="Q12" i="15"/>
  <c r="Q12" i="18" s="1"/>
  <c r="Q12" i="20" s="1"/>
  <c r="E7" i="27" s="1"/>
  <c r="L8" i="32" s="1"/>
  <c r="D12" i="97" s="1"/>
  <c r="D11" i="14"/>
  <c r="I51" i="22"/>
  <c r="I38" i="22" s="1"/>
  <c r="I25" i="22" s="1"/>
  <c r="AF14" i="97"/>
  <c r="I9" i="26"/>
  <c r="I8" i="29" s="1"/>
  <c r="T11" i="18"/>
  <c r="T11" i="20" s="1"/>
  <c r="H6" i="27" s="1"/>
  <c r="O7" i="32" s="1"/>
  <c r="G11" i="97" s="1"/>
  <c r="B12" i="14"/>
  <c r="O13" i="15"/>
  <c r="V44" i="15"/>
  <c r="V44" i="18" s="1"/>
  <c r="V44" i="20" s="1"/>
  <c r="I10" i="14"/>
  <c r="I43" i="14"/>
  <c r="AC15" i="97"/>
  <c r="F10" i="26"/>
  <c r="F9" i="29" s="1"/>
  <c r="P46" i="15"/>
  <c r="P46" i="18" s="1"/>
  <c r="P46" i="20" s="1"/>
  <c r="X10" i="18"/>
  <c r="X10" i="20" s="1"/>
  <c r="L5" i="27" s="1"/>
  <c r="S6" i="32" s="1"/>
  <c r="K10" i="97" s="1"/>
  <c r="C12" i="15"/>
  <c r="C45" i="14"/>
  <c r="C12" i="18"/>
  <c r="C12" i="20"/>
  <c r="E11" i="15"/>
  <c r="R11" i="15" s="1"/>
  <c r="E11" i="18"/>
  <c r="E11" i="20"/>
  <c r="H9" i="25"/>
  <c r="O13" i="18"/>
  <c r="O13" i="20" s="1"/>
  <c r="C8" i="27" s="1"/>
  <c r="J9" i="32" s="1"/>
  <c r="B13" i="97" s="1"/>
  <c r="R45" i="15"/>
  <c r="R45" i="18" s="1"/>
  <c r="R45" i="20" s="1"/>
  <c r="E44" i="14"/>
  <c r="K50" i="22"/>
  <c r="K37" i="22" s="1"/>
  <c r="K24" i="22" s="1"/>
  <c r="K62" i="22" s="1"/>
  <c r="Z16" i="97"/>
  <c r="C11" i="26"/>
  <c r="C10" i="29" s="1"/>
  <c r="B11" i="25"/>
  <c r="K8" i="25"/>
  <c r="K26" i="25"/>
  <c r="B11" i="29"/>
  <c r="L12" i="26"/>
  <c r="B46" i="15"/>
  <c r="B46" i="18"/>
  <c r="B46" i="20"/>
  <c r="H44" i="15"/>
  <c r="H44" i="18"/>
  <c r="H44" i="20"/>
  <c r="S45" i="15"/>
  <c r="S45" i="18" s="1"/>
  <c r="S45" i="20" s="1"/>
  <c r="F44" i="14"/>
  <c r="J51" i="22"/>
  <c r="J38" i="22" s="1"/>
  <c r="J25" i="22" s="1"/>
  <c r="U11" i="18"/>
  <c r="U11" i="20" s="1"/>
  <c r="I6" i="27" s="1"/>
  <c r="P7" i="32" s="1"/>
  <c r="H11" i="97" s="1"/>
  <c r="X43" i="15"/>
  <c r="X43" i="18" s="1"/>
  <c r="X43" i="20" s="1"/>
  <c r="K9" i="14"/>
  <c r="K42" i="14"/>
  <c r="J63" i="22" l="1"/>
  <c r="J12" i="22"/>
  <c r="I63" i="22"/>
  <c r="I12" i="22"/>
  <c r="K42" i="18"/>
  <c r="K42" i="15"/>
  <c r="K42" i="20"/>
  <c r="E44" i="15"/>
  <c r="E44" i="18"/>
  <c r="E44" i="20"/>
  <c r="AE14" i="97"/>
  <c r="H9" i="26"/>
  <c r="H8" i="29" s="1"/>
  <c r="P12" i="15"/>
  <c r="C11" i="14"/>
  <c r="AD14" i="97"/>
  <c r="G9" i="26"/>
  <c r="G8" i="29" s="1"/>
  <c r="C45" i="15"/>
  <c r="C45" i="18"/>
  <c r="C45" i="20"/>
  <c r="S11" i="18"/>
  <c r="S11" i="20" s="1"/>
  <c r="G6" i="27" s="1"/>
  <c r="N7" i="32" s="1"/>
  <c r="F11" i="97" s="1"/>
  <c r="K9" i="18"/>
  <c r="K9" i="15"/>
  <c r="X9" i="15" s="1"/>
  <c r="K9" i="20"/>
  <c r="H51" i="22"/>
  <c r="H38" i="22" s="1"/>
  <c r="H25" i="22" s="1"/>
  <c r="H63" i="22" s="1"/>
  <c r="K26" i="26"/>
  <c r="K25" i="29" s="1"/>
  <c r="AH31" i="97"/>
  <c r="B12" i="15"/>
  <c r="B12" i="18"/>
  <c r="B45" i="14"/>
  <c r="B12" i="20"/>
  <c r="AA15" i="97"/>
  <c r="D10" i="26"/>
  <c r="D9" i="29" s="1"/>
  <c r="U44" i="15"/>
  <c r="U44" i="18" s="1"/>
  <c r="U44" i="20" s="1"/>
  <c r="H10" i="14"/>
  <c r="H43" i="14"/>
  <c r="K11" i="22"/>
  <c r="E9" i="25"/>
  <c r="G51" i="22"/>
  <c r="G38" i="22" s="1"/>
  <c r="G25" i="22" s="1"/>
  <c r="R11" i="18"/>
  <c r="R11" i="20" s="1"/>
  <c r="F6" i="27" s="1"/>
  <c r="M7" i="32" s="1"/>
  <c r="E11" i="97" s="1"/>
  <c r="AH13" i="97"/>
  <c r="K8" i="26"/>
  <c r="K7" i="29" s="1"/>
  <c r="I43" i="15"/>
  <c r="I43" i="18"/>
  <c r="I43" i="20"/>
  <c r="T44" i="15"/>
  <c r="T44" i="18" s="1"/>
  <c r="T44" i="20" s="1"/>
  <c r="G10" i="14"/>
  <c r="G43" i="14"/>
  <c r="I10" i="15"/>
  <c r="V10" i="15" s="1"/>
  <c r="I10" i="18"/>
  <c r="I10" i="20"/>
  <c r="D11" i="15"/>
  <c r="Q11" i="15" s="1"/>
  <c r="D11" i="18"/>
  <c r="D11" i="20"/>
  <c r="AH43" i="97"/>
  <c r="K38" i="26"/>
  <c r="K37" i="29" s="1"/>
  <c r="J43" i="15"/>
  <c r="J43" i="18"/>
  <c r="J43" i="20"/>
  <c r="O46" i="15"/>
  <c r="O46" i="18" s="1"/>
  <c r="O46" i="20" s="1"/>
  <c r="C10" i="25"/>
  <c r="F9" i="25"/>
  <c r="J10" i="15"/>
  <c r="W10" i="15" s="1"/>
  <c r="J10" i="18"/>
  <c r="J10" i="20"/>
  <c r="K37" i="25"/>
  <c r="X10" i="22"/>
  <c r="L30" i="27" s="1"/>
  <c r="S31" i="32" s="1"/>
  <c r="K35" i="97" s="1"/>
  <c r="F44" i="15"/>
  <c r="F44" i="18"/>
  <c r="F44" i="20"/>
  <c r="Y16" i="97"/>
  <c r="B11" i="26"/>
  <c r="P12" i="18"/>
  <c r="P12" i="20" s="1"/>
  <c r="D7" i="27" s="1"/>
  <c r="K8" i="32" s="1"/>
  <c r="C12" i="97" s="1"/>
  <c r="Q45" i="15"/>
  <c r="Q45" i="18" s="1"/>
  <c r="Q45" i="20" s="1"/>
  <c r="D44" i="14"/>
  <c r="G63" i="22" l="1"/>
  <c r="G12" i="22"/>
  <c r="AC14" i="97"/>
  <c r="F9" i="26"/>
  <c r="F8" i="29" s="1"/>
  <c r="S44" i="15"/>
  <c r="F10" i="14"/>
  <c r="F43" i="14"/>
  <c r="W43" i="15"/>
  <c r="W43" i="18" s="1"/>
  <c r="W43" i="20" s="1"/>
  <c r="J9" i="14"/>
  <c r="J42" i="14"/>
  <c r="V10" i="18"/>
  <c r="V43" i="15"/>
  <c r="I9" i="14"/>
  <c r="I42" i="14"/>
  <c r="B10" i="25"/>
  <c r="H12" i="22"/>
  <c r="C11" i="15"/>
  <c r="P11" i="15" s="1"/>
  <c r="C11" i="18"/>
  <c r="C11" i="20"/>
  <c r="H43" i="15"/>
  <c r="H43" i="18"/>
  <c r="H43" i="20"/>
  <c r="B45" i="15"/>
  <c r="B45" i="20"/>
  <c r="B45" i="18"/>
  <c r="K25" i="25"/>
  <c r="AH42" i="97"/>
  <c r="K37" i="26"/>
  <c r="K36" i="29" s="1"/>
  <c r="Z15" i="97"/>
  <c r="C10" i="26"/>
  <c r="C9" i="29" s="1"/>
  <c r="G43" i="15"/>
  <c r="G43" i="18"/>
  <c r="G43" i="20"/>
  <c r="H10" i="15"/>
  <c r="U10" i="15" s="1"/>
  <c r="H10" i="18"/>
  <c r="H10" i="20"/>
  <c r="X42" i="15"/>
  <c r="X42" i="18" s="1"/>
  <c r="X42" i="20" s="1"/>
  <c r="L20" i="27" s="1"/>
  <c r="S21" i="32" s="1"/>
  <c r="K25" i="97" s="1"/>
  <c r="K8" i="14"/>
  <c r="K41" i="14"/>
  <c r="G10" i="15"/>
  <c r="T10" i="15" s="1"/>
  <c r="G10" i="18"/>
  <c r="G10" i="20"/>
  <c r="O12" i="15"/>
  <c r="O12" i="18" s="1"/>
  <c r="O12" i="20" s="1"/>
  <c r="C7" i="27" s="1"/>
  <c r="J8" i="32" s="1"/>
  <c r="B12" i="97" s="1"/>
  <c r="B11" i="14"/>
  <c r="K7" i="25"/>
  <c r="K49" i="22"/>
  <c r="K36" i="22" s="1"/>
  <c r="K23" i="22" s="1"/>
  <c r="J8" i="25"/>
  <c r="D44" i="15"/>
  <c r="D44" i="18"/>
  <c r="D44" i="20"/>
  <c r="B10" i="29"/>
  <c r="L11" i="26"/>
  <c r="W10" i="18"/>
  <c r="W10" i="20" s="1"/>
  <c r="K5" i="27" s="1"/>
  <c r="R6" i="32" s="1"/>
  <c r="J10" i="97" s="1"/>
  <c r="D9" i="25"/>
  <c r="Q11" i="18"/>
  <c r="Q11" i="20" s="1"/>
  <c r="E6" i="27" s="1"/>
  <c r="L7" i="32" s="1"/>
  <c r="D11" i="97" s="1"/>
  <c r="X9" i="18"/>
  <c r="X9" i="20" s="1"/>
  <c r="L4" i="27" s="1"/>
  <c r="S5" i="32" s="1"/>
  <c r="K9" i="97" s="1"/>
  <c r="P45" i="15"/>
  <c r="P45" i="18" s="1"/>
  <c r="P45" i="20" s="1"/>
  <c r="C44" i="14"/>
  <c r="I38" i="25"/>
  <c r="V11" i="22"/>
  <c r="J31" i="27" s="1"/>
  <c r="Q32" i="32" s="1"/>
  <c r="I36" i="97" s="1"/>
  <c r="J26" i="25"/>
  <c r="I26" i="25"/>
  <c r="E51" i="22"/>
  <c r="E38" i="22" s="1"/>
  <c r="E25" i="22" s="1"/>
  <c r="S44" i="18"/>
  <c r="S44" i="20" s="1"/>
  <c r="F51" i="22"/>
  <c r="F38" i="22" s="1"/>
  <c r="F25" i="22" s="1"/>
  <c r="J50" i="22"/>
  <c r="J37" i="22" s="1"/>
  <c r="J24" i="22" s="1"/>
  <c r="I8" i="25"/>
  <c r="V10" i="20"/>
  <c r="J5" i="27" s="1"/>
  <c r="Q6" i="32" s="1"/>
  <c r="I10" i="97" s="1"/>
  <c r="V43" i="18"/>
  <c r="V43" i="20" s="1"/>
  <c r="I50" i="22"/>
  <c r="I37" i="22" s="1"/>
  <c r="I24" i="22" s="1"/>
  <c r="AB14" i="97"/>
  <c r="E9" i="26"/>
  <c r="E8" i="29" s="1"/>
  <c r="H38" i="25"/>
  <c r="U11" i="22"/>
  <c r="I31" i="27" s="1"/>
  <c r="P32" i="32" s="1"/>
  <c r="H36" i="97" s="1"/>
  <c r="R44" i="15"/>
  <c r="R44" i="18" s="1"/>
  <c r="R44" i="20" s="1"/>
  <c r="E10" i="14"/>
  <c r="E43" i="14"/>
  <c r="J38" i="25"/>
  <c r="W11" i="22"/>
  <c r="K31" i="27" s="1"/>
  <c r="R32" i="32" s="1"/>
  <c r="J36" i="97" s="1"/>
  <c r="J62" i="22" l="1"/>
  <c r="J11" i="22"/>
  <c r="K61" i="22"/>
  <c r="K10" i="22"/>
  <c r="F63" i="22"/>
  <c r="F12" i="22"/>
  <c r="I62" i="22"/>
  <c r="I11" i="22"/>
  <c r="E63" i="22"/>
  <c r="E12" i="22"/>
  <c r="G26" i="25"/>
  <c r="K25" i="26"/>
  <c r="K24" i="29" s="1"/>
  <c r="AH30" i="97"/>
  <c r="P11" i="18"/>
  <c r="F43" i="15"/>
  <c r="F43" i="18"/>
  <c r="F43" i="20"/>
  <c r="AF43" i="97"/>
  <c r="I38" i="26"/>
  <c r="I37" i="29" s="1"/>
  <c r="F10" i="15"/>
  <c r="S10" i="15" s="1"/>
  <c r="F10" i="18"/>
  <c r="F10" i="20"/>
  <c r="AE43" i="97"/>
  <c r="H38" i="26"/>
  <c r="H37" i="29" s="1"/>
  <c r="AA14" i="97"/>
  <c r="D9" i="26"/>
  <c r="D8" i="29" s="1"/>
  <c r="G8" i="25"/>
  <c r="T43" i="15"/>
  <c r="T43" i="18" s="1"/>
  <c r="T43" i="20" s="1"/>
  <c r="G9" i="14"/>
  <c r="G42" i="14"/>
  <c r="AF13" i="97"/>
  <c r="I8" i="26"/>
  <c r="I7" i="29" s="1"/>
  <c r="C44" i="15"/>
  <c r="C44" i="18"/>
  <c r="C44" i="20"/>
  <c r="D51" i="22"/>
  <c r="D38" i="22" s="1"/>
  <c r="D25" i="22" s="1"/>
  <c r="T10" i="18"/>
  <c r="T10" i="20" s="1"/>
  <c r="H5" i="27" s="1"/>
  <c r="O6" i="32" s="1"/>
  <c r="G10" i="97" s="1"/>
  <c r="O45" i="15"/>
  <c r="O45" i="18" s="1"/>
  <c r="O45" i="20" s="1"/>
  <c r="B44" i="14"/>
  <c r="AG43" i="97"/>
  <c r="J38" i="26"/>
  <c r="J37" i="29" s="1"/>
  <c r="H26" i="25"/>
  <c r="Y15" i="97"/>
  <c r="B10" i="26"/>
  <c r="G50" i="22"/>
  <c r="G37" i="22" s="1"/>
  <c r="G24" i="22" s="1"/>
  <c r="I26" i="26"/>
  <c r="I25" i="29" s="1"/>
  <c r="AF31" i="97"/>
  <c r="Q44" i="15"/>
  <c r="Q44" i="18" s="1"/>
  <c r="Q44" i="20" s="1"/>
  <c r="D10" i="14"/>
  <c r="D43" i="14"/>
  <c r="E43" i="15"/>
  <c r="E43" i="18"/>
  <c r="E43" i="20"/>
  <c r="K41" i="15"/>
  <c r="K41" i="18"/>
  <c r="K41" i="20"/>
  <c r="H8" i="25"/>
  <c r="H50" i="22"/>
  <c r="H37" i="22" s="1"/>
  <c r="H24" i="22" s="1"/>
  <c r="I42" i="15"/>
  <c r="I42" i="18"/>
  <c r="I42" i="20"/>
  <c r="J42" i="15"/>
  <c r="J42" i="18"/>
  <c r="J42" i="20"/>
  <c r="E10" i="15"/>
  <c r="R10" i="15" s="1"/>
  <c r="E10" i="18"/>
  <c r="E10" i="20"/>
  <c r="J26" i="26"/>
  <c r="J25" i="29" s="1"/>
  <c r="AG31" i="97"/>
  <c r="AG13" i="97"/>
  <c r="J8" i="26"/>
  <c r="J7" i="29" s="1"/>
  <c r="AH12" i="97"/>
  <c r="K7" i="26"/>
  <c r="K6" i="29" s="1"/>
  <c r="K8" i="18"/>
  <c r="K8" i="15"/>
  <c r="X8" i="15" s="1"/>
  <c r="K8" i="20"/>
  <c r="U10" i="18"/>
  <c r="U10" i="20" s="1"/>
  <c r="I5" i="27" s="1"/>
  <c r="P6" i="32" s="1"/>
  <c r="H10" i="97" s="1"/>
  <c r="U43" i="15"/>
  <c r="U43" i="18" s="1"/>
  <c r="U43" i="20" s="1"/>
  <c r="H9" i="14"/>
  <c r="H42" i="14"/>
  <c r="I9" i="15"/>
  <c r="V9" i="15" s="1"/>
  <c r="I9" i="18"/>
  <c r="I9" i="20"/>
  <c r="J9" i="15"/>
  <c r="W9" i="15" s="1"/>
  <c r="J9" i="18"/>
  <c r="J9" i="20"/>
  <c r="B11" i="15"/>
  <c r="O11" i="15" s="1"/>
  <c r="B11" i="18"/>
  <c r="B11" i="20"/>
  <c r="C9" i="25"/>
  <c r="P11" i="20"/>
  <c r="D6" i="27" s="1"/>
  <c r="K7" i="32" s="1"/>
  <c r="C11" i="97" s="1"/>
  <c r="G38" i="25"/>
  <c r="T11" i="22"/>
  <c r="H31" i="27" s="1"/>
  <c r="O32" i="32" s="1"/>
  <c r="G36" i="97" s="1"/>
  <c r="G62" i="22" l="1"/>
  <c r="G11" i="22"/>
  <c r="H62" i="22"/>
  <c r="H11" i="22"/>
  <c r="D63" i="22"/>
  <c r="D12" i="22"/>
  <c r="E8" i="25"/>
  <c r="I49" i="22"/>
  <c r="I36" i="22" s="1"/>
  <c r="I23" i="22" s="1"/>
  <c r="AE13" i="97"/>
  <c r="H8" i="26"/>
  <c r="H7" i="29" s="1"/>
  <c r="D10" i="15"/>
  <c r="Q10" i="15" s="1"/>
  <c r="D10" i="18"/>
  <c r="D10" i="20"/>
  <c r="B44" i="15"/>
  <c r="B44" i="18"/>
  <c r="B44" i="20"/>
  <c r="X8" i="18"/>
  <c r="R10" i="18"/>
  <c r="R10" i="20" s="1"/>
  <c r="F5" i="27" s="1"/>
  <c r="M6" i="32" s="1"/>
  <c r="E10" i="97" s="1"/>
  <c r="V42" i="15"/>
  <c r="V42" i="18" s="1"/>
  <c r="V42" i="20" s="1"/>
  <c r="J20" i="27" s="1"/>
  <c r="Q21" i="32" s="1"/>
  <c r="I25" i="97" s="1"/>
  <c r="I8" i="14"/>
  <c r="I41" i="14"/>
  <c r="K24" i="25"/>
  <c r="I37" i="25"/>
  <c r="V10" i="22"/>
  <c r="J30" i="27" s="1"/>
  <c r="Q31" i="32" s="1"/>
  <c r="I35" i="97" s="1"/>
  <c r="J7" i="25"/>
  <c r="K48" i="22"/>
  <c r="K35" i="22" s="1"/>
  <c r="K22" i="22" s="1"/>
  <c r="B9" i="29"/>
  <c r="L10" i="26"/>
  <c r="F26" i="25"/>
  <c r="AD43" i="97"/>
  <c r="G38" i="26"/>
  <c r="G37" i="29" s="1"/>
  <c r="X41" i="15"/>
  <c r="X41" i="18" s="1"/>
  <c r="X41" i="20" s="1"/>
  <c r="L19" i="27" s="1"/>
  <c r="S20" i="32" s="1"/>
  <c r="K24" i="97" s="1"/>
  <c r="K7" i="14"/>
  <c r="K40" i="14"/>
  <c r="G42" i="15"/>
  <c r="G42" i="18"/>
  <c r="G42" i="20"/>
  <c r="F50" i="22"/>
  <c r="F37" i="22" s="1"/>
  <c r="F24" i="22" s="1"/>
  <c r="F38" i="25"/>
  <c r="S11" i="22"/>
  <c r="G31" i="27" s="1"/>
  <c r="N32" i="32" s="1"/>
  <c r="F36" i="97" s="1"/>
  <c r="H9" i="18"/>
  <c r="H9" i="15"/>
  <c r="U9" i="15" s="1"/>
  <c r="H9" i="20"/>
  <c r="W9" i="18"/>
  <c r="W9" i="20" s="1"/>
  <c r="K4" i="27" s="1"/>
  <c r="R5" i="32" s="1"/>
  <c r="J9" i="97" s="1"/>
  <c r="J25" i="25"/>
  <c r="E26" i="25"/>
  <c r="G9" i="15"/>
  <c r="T9" i="15" s="1"/>
  <c r="G9" i="18"/>
  <c r="G9" i="20"/>
  <c r="S43" i="15"/>
  <c r="S43" i="18" s="1"/>
  <c r="S43" i="20" s="1"/>
  <c r="F9" i="14"/>
  <c r="F42" i="14"/>
  <c r="E50" i="22"/>
  <c r="E37" i="22" s="1"/>
  <c r="E24" i="22" s="1"/>
  <c r="H26" i="26"/>
  <c r="H25" i="29" s="1"/>
  <c r="AE31" i="97"/>
  <c r="F8" i="25"/>
  <c r="G26" i="26"/>
  <c r="G25" i="29" s="1"/>
  <c r="AD31" i="97"/>
  <c r="K36" i="25"/>
  <c r="X9" i="22"/>
  <c r="L29" i="27" s="1"/>
  <c r="S30" i="32" s="1"/>
  <c r="K34" i="97" s="1"/>
  <c r="I7" i="25"/>
  <c r="Z14" i="97"/>
  <c r="C9" i="26"/>
  <c r="C8" i="29" s="1"/>
  <c r="B9" i="25"/>
  <c r="C51" i="22"/>
  <c r="C38" i="22" s="1"/>
  <c r="C25" i="22" s="1"/>
  <c r="S10" i="18"/>
  <c r="S10" i="20" s="1"/>
  <c r="G5" i="27" s="1"/>
  <c r="N6" i="32" s="1"/>
  <c r="F10" i="97" s="1"/>
  <c r="V9" i="18"/>
  <c r="V9" i="20" s="1"/>
  <c r="J4" i="27" s="1"/>
  <c r="Q5" i="32" s="1"/>
  <c r="I9" i="97" s="1"/>
  <c r="J49" i="22"/>
  <c r="J36" i="22" s="1"/>
  <c r="J23" i="22" s="1"/>
  <c r="J61" i="22" s="1"/>
  <c r="W42" i="15"/>
  <c r="W42" i="18" s="1"/>
  <c r="W42" i="20" s="1"/>
  <c r="K20" i="27" s="1"/>
  <c r="R21" i="32" s="1"/>
  <c r="J25" i="97" s="1"/>
  <c r="J8" i="14"/>
  <c r="J41" i="14"/>
  <c r="R43" i="15"/>
  <c r="R43" i="18" s="1"/>
  <c r="R43" i="20" s="1"/>
  <c r="E9" i="14"/>
  <c r="E42" i="14"/>
  <c r="O11" i="18"/>
  <c r="O11" i="20" s="1"/>
  <c r="C6" i="27" s="1"/>
  <c r="J7" i="32" s="1"/>
  <c r="B11" i="97" s="1"/>
  <c r="H42" i="15"/>
  <c r="H42" i="18"/>
  <c r="H42" i="20"/>
  <c r="K6" i="25"/>
  <c r="X8" i="20"/>
  <c r="L3" i="27" s="1"/>
  <c r="S4" i="32" s="1"/>
  <c r="K8" i="97" s="1"/>
  <c r="I25" i="25"/>
  <c r="D43" i="15"/>
  <c r="D43" i="18"/>
  <c r="D43" i="20"/>
  <c r="P44" i="15"/>
  <c r="P44" i="18" s="1"/>
  <c r="P44" i="20" s="1"/>
  <c r="C10" i="14"/>
  <c r="C43" i="14"/>
  <c r="AD13" i="97"/>
  <c r="G8" i="26"/>
  <c r="G7" i="29" s="1"/>
  <c r="E38" i="25"/>
  <c r="R11" i="22"/>
  <c r="F31" i="27" s="1"/>
  <c r="M32" i="32" s="1"/>
  <c r="E36" i="97" s="1"/>
  <c r="J37" i="25"/>
  <c r="W10" i="22"/>
  <c r="K30" i="27" s="1"/>
  <c r="R31" i="32" s="1"/>
  <c r="J35" i="97" s="1"/>
  <c r="I61" i="22" l="1"/>
  <c r="I10" i="22"/>
  <c r="F62" i="22"/>
  <c r="F11" i="22"/>
  <c r="E62" i="22"/>
  <c r="E11" i="22"/>
  <c r="C63" i="22"/>
  <c r="C12" i="22"/>
  <c r="K60" i="22"/>
  <c r="K9" i="22"/>
  <c r="AG42" i="97"/>
  <c r="J37" i="26"/>
  <c r="J36" i="29" s="1"/>
  <c r="G49" i="22"/>
  <c r="G36" i="22" s="1"/>
  <c r="G23" i="22" s="1"/>
  <c r="F26" i="26"/>
  <c r="F25" i="29" s="1"/>
  <c r="AC31" i="97"/>
  <c r="AH11" i="97"/>
  <c r="K6" i="26"/>
  <c r="K5" i="29" s="1"/>
  <c r="D26" i="25"/>
  <c r="H49" i="22"/>
  <c r="H36" i="22" s="1"/>
  <c r="H23" i="22" s="1"/>
  <c r="E9" i="18"/>
  <c r="E9" i="20"/>
  <c r="E9" i="15"/>
  <c r="R9" i="15" s="1"/>
  <c r="J10" i="22"/>
  <c r="AH41" i="97"/>
  <c r="K36" i="26"/>
  <c r="K35" i="29" s="1"/>
  <c r="G7" i="25"/>
  <c r="AC43" i="97"/>
  <c r="F38" i="26"/>
  <c r="F37" i="29" s="1"/>
  <c r="T42" i="15"/>
  <c r="T42" i="18" s="1"/>
  <c r="T42" i="20" s="1"/>
  <c r="H20" i="27" s="1"/>
  <c r="O21" i="32" s="1"/>
  <c r="G25" i="97" s="1"/>
  <c r="G8" i="14"/>
  <c r="G41" i="14"/>
  <c r="AG12" i="97"/>
  <c r="J7" i="26"/>
  <c r="J6" i="29" s="1"/>
  <c r="AB13" i="97"/>
  <c r="E8" i="26"/>
  <c r="E7" i="29" s="1"/>
  <c r="J36" i="25"/>
  <c r="W9" i="22"/>
  <c r="K29" i="27" s="1"/>
  <c r="R30" i="32" s="1"/>
  <c r="J34" i="97" s="1"/>
  <c r="AB43" i="97"/>
  <c r="E38" i="26"/>
  <c r="E37" i="29" s="1"/>
  <c r="D50" i="22"/>
  <c r="D37" i="22" s="1"/>
  <c r="D24" i="22" s="1"/>
  <c r="U42" i="15"/>
  <c r="U42" i="18" s="1"/>
  <c r="U42" i="20" s="1"/>
  <c r="I20" i="27" s="1"/>
  <c r="P21" i="32" s="1"/>
  <c r="H25" i="97" s="1"/>
  <c r="H8" i="14"/>
  <c r="H41" i="14"/>
  <c r="T9" i="18"/>
  <c r="T9" i="20" s="1"/>
  <c r="H4" i="27" s="1"/>
  <c r="O5" i="32" s="1"/>
  <c r="G9" i="97" s="1"/>
  <c r="K40" i="15"/>
  <c r="K40" i="18"/>
  <c r="K40" i="20"/>
  <c r="H25" i="25"/>
  <c r="J41" i="18"/>
  <c r="J41" i="15"/>
  <c r="J41" i="20"/>
  <c r="K7" i="15"/>
  <c r="X7" i="15" s="1"/>
  <c r="K7" i="18"/>
  <c r="K7" i="20"/>
  <c r="AF42" i="97"/>
  <c r="I37" i="26"/>
  <c r="I36" i="29" s="1"/>
  <c r="D38" i="25"/>
  <c r="Q11" i="22"/>
  <c r="E31" i="27" s="1"/>
  <c r="L32" i="32" s="1"/>
  <c r="D36" i="97" s="1"/>
  <c r="E42" i="15"/>
  <c r="E42" i="18"/>
  <c r="E42" i="20"/>
  <c r="Q43" i="15"/>
  <c r="Q43" i="18" s="1"/>
  <c r="Q43" i="20" s="1"/>
  <c r="D9" i="14"/>
  <c r="D42" i="14"/>
  <c r="J8" i="18"/>
  <c r="J8" i="15"/>
  <c r="W8" i="15" s="1"/>
  <c r="J8" i="20"/>
  <c r="B51" i="22"/>
  <c r="B38" i="22" s="1"/>
  <c r="B25" i="22" s="1"/>
  <c r="Y14" i="97"/>
  <c r="B9" i="26"/>
  <c r="C43" i="15"/>
  <c r="C43" i="18"/>
  <c r="C43" i="20"/>
  <c r="I25" i="26"/>
  <c r="I24" i="29" s="1"/>
  <c r="AF30" i="97"/>
  <c r="AC13" i="97"/>
  <c r="F8" i="26"/>
  <c r="F7" i="29" s="1"/>
  <c r="E26" i="26"/>
  <c r="E25" i="29" s="1"/>
  <c r="AB31" i="97"/>
  <c r="H7" i="25"/>
  <c r="K24" i="26"/>
  <c r="K23" i="29" s="1"/>
  <c r="AH29" i="97"/>
  <c r="O44" i="15"/>
  <c r="O44" i="18" s="1"/>
  <c r="O44" i="20" s="1"/>
  <c r="B10" i="14"/>
  <c r="B43" i="14"/>
  <c r="H37" i="25"/>
  <c r="U10" i="22"/>
  <c r="I30" i="27" s="1"/>
  <c r="P31" i="32" s="1"/>
  <c r="H35" i="97" s="1"/>
  <c r="C10" i="15"/>
  <c r="P10" i="15" s="1"/>
  <c r="C10" i="18"/>
  <c r="C10" i="20"/>
  <c r="F42" i="15"/>
  <c r="F42" i="18"/>
  <c r="F42" i="20"/>
  <c r="I41" i="15"/>
  <c r="I41" i="18"/>
  <c r="I41" i="20"/>
  <c r="D8" i="25"/>
  <c r="AF12" i="97"/>
  <c r="I7" i="26"/>
  <c r="I6" i="29" s="1"/>
  <c r="F9" i="15"/>
  <c r="S9" i="15" s="1"/>
  <c r="F9" i="18"/>
  <c r="F9" i="20"/>
  <c r="J25" i="26"/>
  <c r="J24" i="29" s="1"/>
  <c r="AG30" i="97"/>
  <c r="U9" i="18"/>
  <c r="U9" i="20" s="1"/>
  <c r="I4" i="27" s="1"/>
  <c r="P5" i="32" s="1"/>
  <c r="H9" i="97" s="1"/>
  <c r="G25" i="25"/>
  <c r="I8" i="18"/>
  <c r="I8" i="15"/>
  <c r="V8" i="15" s="1"/>
  <c r="I8" i="20"/>
  <c r="Q10" i="18"/>
  <c r="Q10" i="20" s="1"/>
  <c r="E5" i="27" s="1"/>
  <c r="L6" i="32" s="1"/>
  <c r="D10" i="97" s="1"/>
  <c r="G37" i="25"/>
  <c r="T10" i="22"/>
  <c r="H30" i="27" s="1"/>
  <c r="O31" i="32" s="1"/>
  <c r="G35" i="97" s="1"/>
  <c r="B63" i="22" l="1"/>
  <c r="B12" i="22"/>
  <c r="D62" i="22"/>
  <c r="D11" i="22"/>
  <c r="G61" i="22"/>
  <c r="G10" i="22"/>
  <c r="H61" i="22"/>
  <c r="H10" i="22"/>
  <c r="G25" i="26"/>
  <c r="G24" i="29" s="1"/>
  <c r="AD30" i="97"/>
  <c r="S9" i="18"/>
  <c r="V41" i="15"/>
  <c r="V41" i="18" s="1"/>
  <c r="V41" i="20" s="1"/>
  <c r="J19" i="27" s="1"/>
  <c r="Q20" i="32" s="1"/>
  <c r="I24" i="97" s="1"/>
  <c r="I7" i="14"/>
  <c r="I40" i="14"/>
  <c r="AE42" i="97"/>
  <c r="H37" i="26"/>
  <c r="H36" i="29" s="1"/>
  <c r="AE12" i="97"/>
  <c r="H7" i="26"/>
  <c r="H6" i="29" s="1"/>
  <c r="C50" i="22"/>
  <c r="C37" i="22" s="1"/>
  <c r="C24" i="22" s="1"/>
  <c r="C62" i="22" s="1"/>
  <c r="E49" i="22"/>
  <c r="E36" i="22" s="1"/>
  <c r="E23" i="22" s="1"/>
  <c r="X7" i="18"/>
  <c r="K47" i="22"/>
  <c r="K34" i="22" s="1"/>
  <c r="K21" i="22" s="1"/>
  <c r="H8" i="18"/>
  <c r="H8" i="15"/>
  <c r="U8" i="15" s="1"/>
  <c r="H8" i="20"/>
  <c r="G8" i="15"/>
  <c r="T8" i="15" s="1"/>
  <c r="G8" i="18"/>
  <c r="G8" i="20"/>
  <c r="R42" i="15"/>
  <c r="R42" i="18" s="1"/>
  <c r="R42" i="20" s="1"/>
  <c r="F20" i="27" s="1"/>
  <c r="M21" i="32" s="1"/>
  <c r="E25" i="97" s="1"/>
  <c r="E8" i="14"/>
  <c r="E41" i="14"/>
  <c r="X40" i="15"/>
  <c r="X40" i="18" s="1"/>
  <c r="X40" i="20" s="1"/>
  <c r="L18" i="27" s="1"/>
  <c r="S19" i="32" s="1"/>
  <c r="K23" i="97" s="1"/>
  <c r="K6" i="14"/>
  <c r="K39" i="14"/>
  <c r="F49" i="22"/>
  <c r="F36" i="22" s="1"/>
  <c r="F23" i="22" s="1"/>
  <c r="B10" i="15"/>
  <c r="O10" i="15" s="1"/>
  <c r="B10" i="18"/>
  <c r="B10" i="20"/>
  <c r="B8" i="29"/>
  <c r="L9" i="26"/>
  <c r="J24" i="25"/>
  <c r="AG41" i="97"/>
  <c r="J36" i="26"/>
  <c r="J35" i="29" s="1"/>
  <c r="E7" i="25"/>
  <c r="D26" i="26"/>
  <c r="D25" i="29" s="1"/>
  <c r="AA31" i="97"/>
  <c r="J6" i="25"/>
  <c r="C38" i="25"/>
  <c r="P11" i="22"/>
  <c r="D31" i="27" s="1"/>
  <c r="K32" i="32" s="1"/>
  <c r="C36" i="97" s="1"/>
  <c r="I6" i="25"/>
  <c r="S42" i="15"/>
  <c r="S42" i="18" s="1"/>
  <c r="S42" i="20" s="1"/>
  <c r="G20" i="27" s="1"/>
  <c r="N21" i="32" s="1"/>
  <c r="F25" i="97" s="1"/>
  <c r="F8" i="14"/>
  <c r="F41" i="14"/>
  <c r="W8" i="18"/>
  <c r="W8" i="20" s="1"/>
  <c r="K3" i="27" s="1"/>
  <c r="R4" i="32" s="1"/>
  <c r="J8" i="97" s="1"/>
  <c r="AA43" i="97"/>
  <c r="D38" i="26"/>
  <c r="D37" i="29" s="1"/>
  <c r="W41" i="15"/>
  <c r="W41" i="18" s="1"/>
  <c r="W41" i="20" s="1"/>
  <c r="K19" i="27" s="1"/>
  <c r="R20" i="32" s="1"/>
  <c r="J24" i="97" s="1"/>
  <c r="J7" i="14"/>
  <c r="J40" i="14"/>
  <c r="R9" i="18"/>
  <c r="R9" i="20" s="1"/>
  <c r="F4" i="27" s="1"/>
  <c r="M5" i="32" s="1"/>
  <c r="E9" i="97" s="1"/>
  <c r="E37" i="25"/>
  <c r="R10" i="22"/>
  <c r="F30" i="27" s="1"/>
  <c r="M31" i="32" s="1"/>
  <c r="E35" i="97" s="1"/>
  <c r="C8" i="25"/>
  <c r="D42" i="15"/>
  <c r="D42" i="18"/>
  <c r="D42" i="20"/>
  <c r="J48" i="22"/>
  <c r="J35" i="22" s="1"/>
  <c r="J22" i="22" s="1"/>
  <c r="AD42" i="97"/>
  <c r="G37" i="26"/>
  <c r="G36" i="29" s="1"/>
  <c r="AA13" i="97"/>
  <c r="D8" i="26"/>
  <c r="D7" i="29" s="1"/>
  <c r="D9" i="18"/>
  <c r="D9" i="15"/>
  <c r="Q9" i="15" s="1"/>
  <c r="D9" i="20"/>
  <c r="AD12" i="97"/>
  <c r="G7" i="26"/>
  <c r="G6" i="29" s="1"/>
  <c r="F37" i="25"/>
  <c r="S10" i="22"/>
  <c r="G30" i="27" s="1"/>
  <c r="N31" i="32" s="1"/>
  <c r="F35" i="97" s="1"/>
  <c r="B43" i="15"/>
  <c r="B43" i="18"/>
  <c r="B43" i="20"/>
  <c r="P43" i="15"/>
  <c r="P43" i="18" s="1"/>
  <c r="P43" i="20" s="1"/>
  <c r="C9" i="14"/>
  <c r="C42" i="14"/>
  <c r="V8" i="18"/>
  <c r="V8" i="20" s="1"/>
  <c r="J3" i="27" s="1"/>
  <c r="Q4" i="32" s="1"/>
  <c r="I8" i="97" s="1"/>
  <c r="P10" i="18"/>
  <c r="P10" i="20" s="1"/>
  <c r="D5" i="27" s="1"/>
  <c r="K6" i="32" s="1"/>
  <c r="C10" i="97" s="1"/>
  <c r="I24" i="25"/>
  <c r="H25" i="26"/>
  <c r="H24" i="29" s="1"/>
  <c r="AE30" i="97"/>
  <c r="F25" i="25"/>
  <c r="F7" i="25"/>
  <c r="S9" i="20"/>
  <c r="G4" i="27" s="1"/>
  <c r="N5" i="32" s="1"/>
  <c r="F9" i="97" s="1"/>
  <c r="I48" i="22"/>
  <c r="I35" i="22" s="1"/>
  <c r="I22" i="22" s="1"/>
  <c r="C26" i="25"/>
  <c r="E25" i="25"/>
  <c r="K5" i="25"/>
  <c r="X7" i="20"/>
  <c r="K23" i="25"/>
  <c r="H41" i="15"/>
  <c r="H41" i="18"/>
  <c r="H41" i="20"/>
  <c r="G41" i="15"/>
  <c r="G41" i="18"/>
  <c r="G41" i="20"/>
  <c r="K35" i="25"/>
  <c r="X8" i="22"/>
  <c r="L28" i="27" s="1"/>
  <c r="S29" i="32" s="1"/>
  <c r="K33" i="97" s="1"/>
  <c r="I36" i="25"/>
  <c r="V9" i="22"/>
  <c r="J29" i="27" s="1"/>
  <c r="Q30" i="32" s="1"/>
  <c r="I34" i="97" s="1"/>
  <c r="K59" i="22" l="1"/>
  <c r="K8" i="22"/>
  <c r="J60" i="22"/>
  <c r="J9" i="22"/>
  <c r="F61" i="22"/>
  <c r="F10" i="22"/>
  <c r="E61" i="22"/>
  <c r="E10" i="22"/>
  <c r="I60" i="22"/>
  <c r="I9" i="22"/>
  <c r="AH10" i="97"/>
  <c r="K5" i="26"/>
  <c r="K4" i="29" s="1"/>
  <c r="B50" i="22"/>
  <c r="B37" i="22" s="1"/>
  <c r="B24" i="22" s="1"/>
  <c r="T41" i="15"/>
  <c r="G7" i="14"/>
  <c r="G40" i="14"/>
  <c r="AF29" i="97"/>
  <c r="I24" i="26"/>
  <c r="I23" i="29" s="1"/>
  <c r="O43" i="15"/>
  <c r="O43" i="18" s="1"/>
  <c r="O43" i="20" s="1"/>
  <c r="B9" i="14"/>
  <c r="B42" i="14"/>
  <c r="F8" i="18"/>
  <c r="F8" i="15"/>
  <c r="S8" i="15" s="1"/>
  <c r="F8" i="20"/>
  <c r="G6" i="25"/>
  <c r="H24" i="25"/>
  <c r="E25" i="26"/>
  <c r="E24" i="29" s="1"/>
  <c r="AB30" i="97"/>
  <c r="D25" i="25"/>
  <c r="T8" i="18"/>
  <c r="T8" i="20" s="1"/>
  <c r="H3" i="27" s="1"/>
  <c r="O4" i="32" s="1"/>
  <c r="G8" i="97" s="1"/>
  <c r="H36" i="25"/>
  <c r="U9" i="22"/>
  <c r="I29" i="27" s="1"/>
  <c r="P30" i="32" s="1"/>
  <c r="H34" i="97" s="1"/>
  <c r="AC12" i="97"/>
  <c r="F7" i="26"/>
  <c r="F6" i="29" s="1"/>
  <c r="AC42" i="97"/>
  <c r="F37" i="26"/>
  <c r="F36" i="29" s="1"/>
  <c r="D49" i="22"/>
  <c r="D36" i="22" s="1"/>
  <c r="D23" i="22" s="1"/>
  <c r="B8" i="25"/>
  <c r="K39" i="15"/>
  <c r="K39" i="18"/>
  <c r="K39" i="20"/>
  <c r="T41" i="18"/>
  <c r="T41" i="20" s="1"/>
  <c r="H19" i="27" s="1"/>
  <c r="O20" i="32" s="1"/>
  <c r="G24" i="97" s="1"/>
  <c r="G48" i="22"/>
  <c r="G35" i="22" s="1"/>
  <c r="G22" i="22" s="1"/>
  <c r="C42" i="15"/>
  <c r="C42" i="18"/>
  <c r="C42" i="20"/>
  <c r="Q42" i="15"/>
  <c r="Q42" i="18" s="1"/>
  <c r="Q42" i="20" s="1"/>
  <c r="E20" i="27" s="1"/>
  <c r="L21" i="32" s="1"/>
  <c r="D25" i="97" s="1"/>
  <c r="D8" i="14"/>
  <c r="D41" i="14"/>
  <c r="AF11" i="97"/>
  <c r="I6" i="26"/>
  <c r="I5" i="29" s="1"/>
  <c r="AB12" i="97"/>
  <c r="E7" i="26"/>
  <c r="E6" i="29" s="1"/>
  <c r="O10" i="18"/>
  <c r="O10" i="20" s="1"/>
  <c r="C5" i="27" s="1"/>
  <c r="J6" i="32" s="1"/>
  <c r="B10" i="97" s="1"/>
  <c r="K6" i="18"/>
  <c r="K6" i="20"/>
  <c r="K6" i="15"/>
  <c r="X6" i="15" s="1"/>
  <c r="H6" i="25"/>
  <c r="G36" i="25"/>
  <c r="T9" i="22"/>
  <c r="H29" i="27" s="1"/>
  <c r="O30" i="32" s="1"/>
  <c r="G34" i="97" s="1"/>
  <c r="F25" i="26"/>
  <c r="F24" i="29" s="1"/>
  <c r="AC30" i="97"/>
  <c r="H48" i="22"/>
  <c r="H35" i="22" s="1"/>
  <c r="H22" i="22" s="1"/>
  <c r="U41" i="15"/>
  <c r="U41" i="18" s="1"/>
  <c r="U41" i="20" s="1"/>
  <c r="I19" i="27" s="1"/>
  <c r="P20" i="32" s="1"/>
  <c r="H24" i="97" s="1"/>
  <c r="H7" i="14"/>
  <c r="H40" i="14"/>
  <c r="C9" i="18"/>
  <c r="C9" i="15"/>
  <c r="P9" i="15" s="1"/>
  <c r="C9" i="20"/>
  <c r="AH40" i="97"/>
  <c r="K35" i="26"/>
  <c r="K34" i="29" s="1"/>
  <c r="K23" i="26"/>
  <c r="K22" i="29" s="1"/>
  <c r="AH28" i="97"/>
  <c r="D7" i="25"/>
  <c r="Z13" i="97"/>
  <c r="C8" i="26"/>
  <c r="C7" i="29" s="1"/>
  <c r="J40" i="18"/>
  <c r="J40" i="15"/>
  <c r="J40" i="20"/>
  <c r="Z43" i="97"/>
  <c r="C38" i="26"/>
  <c r="C37" i="29" s="1"/>
  <c r="E41" i="15"/>
  <c r="E41" i="18"/>
  <c r="E41" i="20"/>
  <c r="U8" i="18"/>
  <c r="U8" i="20" s="1"/>
  <c r="I3" i="27" s="1"/>
  <c r="P4" i="32" s="1"/>
  <c r="H8" i="97" s="1"/>
  <c r="D37" i="25"/>
  <c r="Q10" i="22"/>
  <c r="E30" i="27" s="1"/>
  <c r="L31" i="32" s="1"/>
  <c r="D35" i="97" s="1"/>
  <c r="AF41" i="97"/>
  <c r="I36" i="26"/>
  <c r="I35" i="29" s="1"/>
  <c r="C26" i="26"/>
  <c r="C25" i="29" s="1"/>
  <c r="Z31" i="97"/>
  <c r="G24" i="25"/>
  <c r="B26" i="25"/>
  <c r="J7" i="15"/>
  <c r="W7" i="15" s="1"/>
  <c r="J7" i="18"/>
  <c r="J7" i="20"/>
  <c r="E8" i="18"/>
  <c r="E8" i="15"/>
  <c r="R8" i="15" s="1"/>
  <c r="E8" i="20"/>
  <c r="C11" i="22"/>
  <c r="I40" i="15"/>
  <c r="I40" i="18"/>
  <c r="I40" i="20"/>
  <c r="Q9" i="18"/>
  <c r="Q9" i="20" s="1"/>
  <c r="E4" i="27" s="1"/>
  <c r="L5" i="32" s="1"/>
  <c r="D9" i="97" s="1"/>
  <c r="AB42" i="97"/>
  <c r="E37" i="26"/>
  <c r="E36" i="29" s="1"/>
  <c r="F41" i="15"/>
  <c r="F41" i="18"/>
  <c r="F41" i="20"/>
  <c r="AG11" i="97"/>
  <c r="J6" i="26"/>
  <c r="J5" i="29" s="1"/>
  <c r="J24" i="26"/>
  <c r="J23" i="29" s="1"/>
  <c r="AG29" i="97"/>
  <c r="C37" i="25"/>
  <c r="P10" i="22"/>
  <c r="D30" i="27" s="1"/>
  <c r="K31" i="32" s="1"/>
  <c r="C35" i="97" s="1"/>
  <c r="I7" i="15"/>
  <c r="V7" i="15" s="1"/>
  <c r="I7" i="18"/>
  <c r="I7" i="20"/>
  <c r="B38" i="25"/>
  <c r="O11" i="22"/>
  <c r="C31" i="27" s="1"/>
  <c r="J32" i="32" s="1"/>
  <c r="B36" i="97" s="1"/>
  <c r="D61" i="22" l="1"/>
  <c r="D10" i="22"/>
  <c r="B62" i="22"/>
  <c r="B11" i="22"/>
  <c r="G60" i="22"/>
  <c r="G9" i="22"/>
  <c r="H60" i="22"/>
  <c r="H9" i="22"/>
  <c r="R8" i="18"/>
  <c r="R41" i="18"/>
  <c r="E48" i="22"/>
  <c r="E35" i="22" s="1"/>
  <c r="E22" i="22" s="1"/>
  <c r="E60" i="22" s="1"/>
  <c r="C49" i="22"/>
  <c r="C36" i="22" s="1"/>
  <c r="C23" i="22" s="1"/>
  <c r="C61" i="22" s="1"/>
  <c r="K46" i="22"/>
  <c r="K33" i="22" s="1"/>
  <c r="K20" i="22" s="1"/>
  <c r="B9" i="15"/>
  <c r="O9" i="15" s="1"/>
  <c r="B9" i="18"/>
  <c r="B9" i="20"/>
  <c r="F24" i="25"/>
  <c r="V40" i="15"/>
  <c r="I6" i="14"/>
  <c r="I39" i="14"/>
  <c r="B26" i="26"/>
  <c r="Y31" i="97"/>
  <c r="AA42" i="97"/>
  <c r="D37" i="26"/>
  <c r="D36" i="29" s="1"/>
  <c r="R41" i="15"/>
  <c r="E7" i="14"/>
  <c r="E40" i="14"/>
  <c r="P9" i="18"/>
  <c r="P9" i="20" s="1"/>
  <c r="D4" i="27" s="1"/>
  <c r="K5" i="32" s="1"/>
  <c r="C9" i="97" s="1"/>
  <c r="K4" i="25"/>
  <c r="P42" i="15"/>
  <c r="P42" i="18" s="1"/>
  <c r="P42" i="20" s="1"/>
  <c r="D20" i="27" s="1"/>
  <c r="K21" i="32" s="1"/>
  <c r="C25" i="97" s="1"/>
  <c r="C8" i="14"/>
  <c r="C41" i="14"/>
  <c r="X39" i="15"/>
  <c r="X39" i="18" s="1"/>
  <c r="X39" i="20" s="1"/>
  <c r="L17" i="27" s="1"/>
  <c r="S18" i="32" s="1"/>
  <c r="K22" i="97" s="1"/>
  <c r="K5" i="14"/>
  <c r="K38" i="14"/>
  <c r="H24" i="26"/>
  <c r="H23" i="29" s="1"/>
  <c r="AE29" i="97"/>
  <c r="E36" i="25"/>
  <c r="R9" i="22"/>
  <c r="F29" i="27" s="1"/>
  <c r="M30" i="32" s="1"/>
  <c r="E34" i="97" s="1"/>
  <c r="E6" i="25"/>
  <c r="R8" i="20"/>
  <c r="F3" i="27" s="1"/>
  <c r="M4" i="32" s="1"/>
  <c r="E8" i="97" s="1"/>
  <c r="AA12" i="97"/>
  <c r="D7" i="26"/>
  <c r="D6" i="29" s="1"/>
  <c r="H40" i="15"/>
  <c r="H40" i="18"/>
  <c r="H40" i="20"/>
  <c r="X6" i="18"/>
  <c r="X6" i="20" s="1"/>
  <c r="V7" i="18"/>
  <c r="V7" i="20" s="1"/>
  <c r="Z42" i="97"/>
  <c r="C37" i="26"/>
  <c r="C36" i="29" s="1"/>
  <c r="Y43" i="97"/>
  <c r="B38" i="26"/>
  <c r="I5" i="25"/>
  <c r="G24" i="26"/>
  <c r="G23" i="29" s="1"/>
  <c r="AD29" i="97"/>
  <c r="H7" i="15"/>
  <c r="U7" i="15" s="1"/>
  <c r="H7" i="18"/>
  <c r="H7" i="20"/>
  <c r="Y13" i="97"/>
  <c r="B8" i="26"/>
  <c r="AD11" i="97"/>
  <c r="G6" i="26"/>
  <c r="G5" i="29" s="1"/>
  <c r="F36" i="25"/>
  <c r="S9" i="22"/>
  <c r="G29" i="27" s="1"/>
  <c r="N30" i="32" s="1"/>
  <c r="F34" i="97" s="1"/>
  <c r="J23" i="25"/>
  <c r="D41" i="15"/>
  <c r="D41" i="18"/>
  <c r="D41" i="20"/>
  <c r="F6" i="25"/>
  <c r="G40" i="15"/>
  <c r="G40" i="18"/>
  <c r="G40" i="20"/>
  <c r="S41" i="18"/>
  <c r="S41" i="20" s="1"/>
  <c r="G19" i="27" s="1"/>
  <c r="N20" i="32" s="1"/>
  <c r="F24" i="97" s="1"/>
  <c r="F48" i="22"/>
  <c r="F35" i="22" s="1"/>
  <c r="F22" i="22" s="1"/>
  <c r="J5" i="25"/>
  <c r="W40" i="15"/>
  <c r="W40" i="18" s="1"/>
  <c r="W40" i="20" s="1"/>
  <c r="K18" i="27" s="1"/>
  <c r="R19" i="32" s="1"/>
  <c r="J23" i="97" s="1"/>
  <c r="J6" i="14"/>
  <c r="J39" i="14"/>
  <c r="AD41" i="97"/>
  <c r="G36" i="26"/>
  <c r="G35" i="29" s="1"/>
  <c r="D8" i="18"/>
  <c r="D8" i="15"/>
  <c r="Q8" i="15" s="1"/>
  <c r="D8" i="20"/>
  <c r="D25" i="26"/>
  <c r="D24" i="29" s="1"/>
  <c r="AA30" i="97"/>
  <c r="G7" i="15"/>
  <c r="T7" i="15" s="1"/>
  <c r="G7" i="18"/>
  <c r="G7" i="20"/>
  <c r="J35" i="25"/>
  <c r="W8" i="22"/>
  <c r="K28" i="27" s="1"/>
  <c r="R29" i="32" s="1"/>
  <c r="J33" i="97" s="1"/>
  <c r="S41" i="15"/>
  <c r="F7" i="14"/>
  <c r="F40" i="14"/>
  <c r="I23" i="25"/>
  <c r="W7" i="18"/>
  <c r="W7" i="20" s="1"/>
  <c r="J47" i="22"/>
  <c r="J34" i="22" s="1"/>
  <c r="J21" i="22" s="1"/>
  <c r="AE41" i="97"/>
  <c r="H36" i="26"/>
  <c r="H35" i="29" s="1"/>
  <c r="S8" i="18"/>
  <c r="S8" i="20" s="1"/>
  <c r="G3" i="27" s="1"/>
  <c r="N4" i="32" s="1"/>
  <c r="F8" i="97" s="1"/>
  <c r="V40" i="18"/>
  <c r="V40" i="20" s="1"/>
  <c r="J18" i="27" s="1"/>
  <c r="Q19" i="32" s="1"/>
  <c r="I23" i="97" s="1"/>
  <c r="I47" i="22"/>
  <c r="I34" i="22" s="1"/>
  <c r="I21" i="22" s="1"/>
  <c r="E24" i="25"/>
  <c r="R41" i="20"/>
  <c r="F19" i="27" s="1"/>
  <c r="M20" i="32" s="1"/>
  <c r="E24" i="97" s="1"/>
  <c r="C7" i="25"/>
  <c r="AE11" i="97"/>
  <c r="H6" i="26"/>
  <c r="H5" i="29" s="1"/>
  <c r="C25" i="25"/>
  <c r="K22" i="25"/>
  <c r="B42" i="15"/>
  <c r="B42" i="18"/>
  <c r="B42" i="20"/>
  <c r="I35" i="25"/>
  <c r="V8" i="22"/>
  <c r="J28" i="27" s="1"/>
  <c r="Q29" i="32" s="1"/>
  <c r="I33" i="97" s="1"/>
  <c r="K34" i="25"/>
  <c r="X7" i="22"/>
  <c r="L27" i="27" s="1"/>
  <c r="S28" i="32" s="1"/>
  <c r="K32" i="97" s="1"/>
  <c r="K58" i="22" l="1"/>
  <c r="K7" i="22"/>
  <c r="F60" i="22"/>
  <c r="F9" i="22"/>
  <c r="I59" i="22"/>
  <c r="I8" i="22"/>
  <c r="J59" i="22"/>
  <c r="J8" i="22"/>
  <c r="G23" i="25"/>
  <c r="H5" i="25"/>
  <c r="K38" i="15"/>
  <c r="K38" i="18"/>
  <c r="K38" i="20"/>
  <c r="AC29" i="97"/>
  <c r="F24" i="26"/>
  <c r="F23" i="29" s="1"/>
  <c r="E35" i="25"/>
  <c r="R8" i="22"/>
  <c r="F28" i="27" s="1"/>
  <c r="M29" i="32" s="1"/>
  <c r="E33" i="97" s="1"/>
  <c r="B25" i="25"/>
  <c r="B49" i="22"/>
  <c r="B36" i="22" s="1"/>
  <c r="B23" i="22" s="1"/>
  <c r="C25" i="26"/>
  <c r="C24" i="29" s="1"/>
  <c r="Z30" i="97"/>
  <c r="F7" i="15"/>
  <c r="S7" i="15" s="1"/>
  <c r="F7" i="18"/>
  <c r="F7" i="20"/>
  <c r="AF40" i="97"/>
  <c r="I35" i="26"/>
  <c r="I34" i="29" s="1"/>
  <c r="D6" i="25"/>
  <c r="T40" i="18"/>
  <c r="T40" i="20" s="1"/>
  <c r="H18" i="27" s="1"/>
  <c r="O19" i="32" s="1"/>
  <c r="G23" i="97" s="1"/>
  <c r="G47" i="22"/>
  <c r="G34" i="22" s="1"/>
  <c r="G21" i="22" s="1"/>
  <c r="J23" i="26"/>
  <c r="J22" i="29" s="1"/>
  <c r="AG28" i="97"/>
  <c r="U7" i="18"/>
  <c r="U7" i="20" s="1"/>
  <c r="K5" i="15"/>
  <c r="X5" i="15" s="1"/>
  <c r="K5" i="18"/>
  <c r="K5" i="20"/>
  <c r="B7" i="25"/>
  <c r="H35" i="25"/>
  <c r="U8" i="22"/>
  <c r="I28" i="27" s="1"/>
  <c r="P29" i="32" s="1"/>
  <c r="H33" i="97" s="1"/>
  <c r="T40" i="15"/>
  <c r="G6" i="14"/>
  <c r="G39" i="14"/>
  <c r="O9" i="18"/>
  <c r="O9" i="20" s="1"/>
  <c r="C4" i="27" s="1"/>
  <c r="J5" i="32" s="1"/>
  <c r="B9" i="97" s="1"/>
  <c r="C36" i="25"/>
  <c r="P9" i="22"/>
  <c r="D29" i="27" s="1"/>
  <c r="K30" i="32" s="1"/>
  <c r="C34" i="97" s="1"/>
  <c r="AG40" i="97"/>
  <c r="J35" i="26"/>
  <c r="J34" i="29" s="1"/>
  <c r="Q8" i="18"/>
  <c r="Q8" i="20" s="1"/>
  <c r="E3" i="27" s="1"/>
  <c r="L4" i="32" s="1"/>
  <c r="D8" i="97" s="1"/>
  <c r="AC41" i="97"/>
  <c r="F36" i="26"/>
  <c r="F35" i="29" s="1"/>
  <c r="AB11" i="97"/>
  <c r="E6" i="26"/>
  <c r="E5" i="29" s="1"/>
  <c r="C41" i="15"/>
  <c r="C41" i="18"/>
  <c r="C41" i="20"/>
  <c r="B25" i="29"/>
  <c r="L26" i="26"/>
  <c r="G35" i="25"/>
  <c r="T8" i="22"/>
  <c r="H28" i="27" s="1"/>
  <c r="O29" i="32" s="1"/>
  <c r="G33" i="97" s="1"/>
  <c r="O42" i="15"/>
  <c r="O42" i="18" s="1"/>
  <c r="O42" i="20" s="1"/>
  <c r="C20" i="27" s="1"/>
  <c r="J21" i="32" s="1"/>
  <c r="B25" i="97" s="1"/>
  <c r="B8" i="14"/>
  <c r="B41" i="14"/>
  <c r="G5" i="25"/>
  <c r="AC11" i="97"/>
  <c r="F6" i="26"/>
  <c r="F5" i="29" s="1"/>
  <c r="C8" i="15"/>
  <c r="P8" i="15" s="1"/>
  <c r="C8" i="18"/>
  <c r="C8" i="20"/>
  <c r="I39" i="15"/>
  <c r="I39" i="18"/>
  <c r="I39" i="20"/>
  <c r="C10" i="22"/>
  <c r="T7" i="18"/>
  <c r="T7" i="20" s="1"/>
  <c r="D24" i="25"/>
  <c r="H23" i="25"/>
  <c r="AB41" i="97"/>
  <c r="E36" i="26"/>
  <c r="E35" i="29" s="1"/>
  <c r="E40" i="15"/>
  <c r="E40" i="18"/>
  <c r="E40" i="20"/>
  <c r="I6" i="15"/>
  <c r="V6" i="15" s="1"/>
  <c r="I6" i="18"/>
  <c r="I6" i="20"/>
  <c r="B37" i="25"/>
  <c r="O10" i="22"/>
  <c r="C30" i="27" s="1"/>
  <c r="J31" i="32" s="1"/>
  <c r="B35" i="97" s="1"/>
  <c r="AG10" i="97"/>
  <c r="J5" i="26"/>
  <c r="J4" i="29" s="1"/>
  <c r="Z12" i="97"/>
  <c r="C7" i="26"/>
  <c r="C6" i="29" s="1"/>
  <c r="K22" i="26"/>
  <c r="K21" i="29" s="1"/>
  <c r="AH27" i="97"/>
  <c r="AB29" i="97"/>
  <c r="E24" i="26"/>
  <c r="E23" i="29" s="1"/>
  <c r="I23" i="26"/>
  <c r="I22" i="29" s="1"/>
  <c r="AF28" i="97"/>
  <c r="J39" i="15"/>
  <c r="J39" i="18"/>
  <c r="J39" i="20"/>
  <c r="Q41" i="18"/>
  <c r="Q41" i="20" s="1"/>
  <c r="E19" i="27" s="1"/>
  <c r="L20" i="32" s="1"/>
  <c r="D24" i="97" s="1"/>
  <c r="D48" i="22"/>
  <c r="D35" i="22" s="1"/>
  <c r="D22" i="22" s="1"/>
  <c r="B7" i="29"/>
  <c r="L8" i="26"/>
  <c r="AF10" i="97"/>
  <c r="I5" i="26"/>
  <c r="I4" i="29" s="1"/>
  <c r="H47" i="22"/>
  <c r="H34" i="22" s="1"/>
  <c r="H21" i="22" s="1"/>
  <c r="E7" i="18"/>
  <c r="E7" i="15"/>
  <c r="R7" i="15" s="1"/>
  <c r="E7" i="20"/>
  <c r="AH39" i="97"/>
  <c r="K34" i="26"/>
  <c r="K33" i="29" s="1"/>
  <c r="F40" i="15"/>
  <c r="F40" i="18"/>
  <c r="F40" i="20"/>
  <c r="J6" i="18"/>
  <c r="J6" i="15"/>
  <c r="W6" i="15" s="1"/>
  <c r="J6" i="20"/>
  <c r="Q41" i="15"/>
  <c r="D7" i="14"/>
  <c r="D40" i="14"/>
  <c r="B37" i="29"/>
  <c r="L38" i="26"/>
  <c r="U40" i="15"/>
  <c r="U40" i="18" s="1"/>
  <c r="U40" i="20" s="1"/>
  <c r="I18" i="27" s="1"/>
  <c r="P19" i="32" s="1"/>
  <c r="H23" i="97" s="1"/>
  <c r="H6" i="14"/>
  <c r="H39" i="14"/>
  <c r="AH9" i="97"/>
  <c r="K4" i="26"/>
  <c r="K3" i="29" s="1"/>
  <c r="E9" i="22"/>
  <c r="D36" i="25"/>
  <c r="Q9" i="22"/>
  <c r="E29" i="27" s="1"/>
  <c r="L30" i="32" s="1"/>
  <c r="D34" i="97" s="1"/>
  <c r="G59" i="22" l="1"/>
  <c r="G8" i="22"/>
  <c r="B61" i="22"/>
  <c r="B10" i="22"/>
  <c r="D60" i="22"/>
  <c r="D9" i="22"/>
  <c r="H59" i="22"/>
  <c r="H8" i="22"/>
  <c r="H6" i="18"/>
  <c r="H6" i="15"/>
  <c r="U6" i="15" s="1"/>
  <c r="H6" i="20"/>
  <c r="J22" i="25"/>
  <c r="V6" i="18"/>
  <c r="H23" i="26"/>
  <c r="H22" i="29" s="1"/>
  <c r="AE28" i="97"/>
  <c r="G6" i="18"/>
  <c r="G6" i="15"/>
  <c r="T6" i="15" s="1"/>
  <c r="G6" i="20"/>
  <c r="R7" i="18"/>
  <c r="I22" i="25"/>
  <c r="Z41" i="97"/>
  <c r="C36" i="26"/>
  <c r="C35" i="29" s="1"/>
  <c r="F5" i="25"/>
  <c r="K21" i="25"/>
  <c r="J34" i="25"/>
  <c r="W7" i="22"/>
  <c r="K27" i="27" s="1"/>
  <c r="R28" i="32" s="1"/>
  <c r="J32" i="97" s="1"/>
  <c r="F23" i="25"/>
  <c r="W39" i="15"/>
  <c r="W39" i="18" s="1"/>
  <c r="W39" i="20" s="1"/>
  <c r="K17" i="27" s="1"/>
  <c r="R18" i="32" s="1"/>
  <c r="J22" i="97" s="1"/>
  <c r="J5" i="14"/>
  <c r="J38" i="14"/>
  <c r="E23" i="25"/>
  <c r="D24" i="26"/>
  <c r="D23" i="29" s="1"/>
  <c r="AA29" i="97"/>
  <c r="I46" i="22"/>
  <c r="I33" i="22" s="1"/>
  <c r="I20" i="22" s="1"/>
  <c r="AD10" i="97"/>
  <c r="G5" i="26"/>
  <c r="G4" i="29" s="1"/>
  <c r="C24" i="25"/>
  <c r="S7" i="18"/>
  <c r="S7" i="20" s="1"/>
  <c r="K45" i="22"/>
  <c r="K32" i="22" s="1"/>
  <c r="K19" i="22" s="1"/>
  <c r="S40" i="18"/>
  <c r="S40" i="20" s="1"/>
  <c r="G18" i="27" s="1"/>
  <c r="N19" i="32" s="1"/>
  <c r="F23" i="97" s="1"/>
  <c r="F47" i="22"/>
  <c r="F34" i="22" s="1"/>
  <c r="F21" i="22" s="1"/>
  <c r="R40" i="18"/>
  <c r="R40" i="20" s="1"/>
  <c r="F18" i="27" s="1"/>
  <c r="M19" i="32" s="1"/>
  <c r="E23" i="97" s="1"/>
  <c r="E47" i="22"/>
  <c r="E34" i="22" s="1"/>
  <c r="E21" i="22" s="1"/>
  <c r="I34" i="25"/>
  <c r="V7" i="22"/>
  <c r="J27" i="27" s="1"/>
  <c r="Q28" i="32" s="1"/>
  <c r="I32" i="97" s="1"/>
  <c r="W6" i="18"/>
  <c r="J46" i="22"/>
  <c r="J33" i="22" s="1"/>
  <c r="J20" i="22" s="1"/>
  <c r="V39" i="15"/>
  <c r="V39" i="18" s="1"/>
  <c r="V39" i="20" s="1"/>
  <c r="J17" i="27" s="1"/>
  <c r="Q18" i="32" s="1"/>
  <c r="I22" i="97" s="1"/>
  <c r="I5" i="14"/>
  <c r="I38" i="14"/>
  <c r="C48" i="22"/>
  <c r="C35" i="22" s="1"/>
  <c r="C22" i="22" s="1"/>
  <c r="D40" i="15"/>
  <c r="D40" i="18"/>
  <c r="D40" i="20"/>
  <c r="S40" i="15"/>
  <c r="F6" i="14"/>
  <c r="F39" i="14"/>
  <c r="C6" i="25"/>
  <c r="B8" i="18"/>
  <c r="B8" i="15"/>
  <c r="O8" i="15" s="1"/>
  <c r="B8" i="20"/>
  <c r="P41" i="15"/>
  <c r="P41" i="18" s="1"/>
  <c r="P41" i="20" s="1"/>
  <c r="D19" i="27" s="1"/>
  <c r="K20" i="32" s="1"/>
  <c r="C24" i="97" s="1"/>
  <c r="C7" i="14"/>
  <c r="C40" i="14"/>
  <c r="B25" i="26"/>
  <c r="Y30" i="97"/>
  <c r="AA41" i="97"/>
  <c r="D36" i="26"/>
  <c r="D35" i="29" s="1"/>
  <c r="B41" i="15"/>
  <c r="B41" i="18"/>
  <c r="B41" i="20"/>
  <c r="AE40" i="97"/>
  <c r="H35" i="26"/>
  <c r="H34" i="29" s="1"/>
  <c r="X38" i="15"/>
  <c r="X38" i="18" s="1"/>
  <c r="X38" i="20" s="1"/>
  <c r="L16" i="27" s="1"/>
  <c r="S17" i="32" s="1"/>
  <c r="K21" i="97" s="1"/>
  <c r="K4" i="14"/>
  <c r="K37" i="14"/>
  <c r="R40" i="15"/>
  <c r="E6" i="14"/>
  <c r="E39" i="14"/>
  <c r="D7" i="15"/>
  <c r="Q7" i="15" s="1"/>
  <c r="D7" i="18"/>
  <c r="D7" i="20"/>
  <c r="P8" i="18"/>
  <c r="P8" i="20" s="1"/>
  <c r="D3" i="27" s="1"/>
  <c r="K4" i="32" s="1"/>
  <c r="C8" i="97" s="1"/>
  <c r="Y12" i="97"/>
  <c r="B7" i="26"/>
  <c r="AE10" i="97"/>
  <c r="H5" i="26"/>
  <c r="H4" i="29" s="1"/>
  <c r="F35" i="25"/>
  <c r="S8" i="22"/>
  <c r="G28" i="27" s="1"/>
  <c r="N29" i="32" s="1"/>
  <c r="F33" i="97" s="1"/>
  <c r="Y42" i="97"/>
  <c r="B37" i="26"/>
  <c r="K3" i="25"/>
  <c r="AA11" i="97"/>
  <c r="D6" i="26"/>
  <c r="D5" i="29" s="1"/>
  <c r="AB40" i="97"/>
  <c r="E35" i="26"/>
  <c r="E34" i="29" s="1"/>
  <c r="H39" i="15"/>
  <c r="H39" i="18"/>
  <c r="H39" i="20"/>
  <c r="J4" i="25"/>
  <c r="W6" i="20"/>
  <c r="E5" i="25"/>
  <c r="R7" i="20"/>
  <c r="I4" i="25"/>
  <c r="V6" i="20"/>
  <c r="AD40" i="97"/>
  <c r="G35" i="26"/>
  <c r="G34" i="29" s="1"/>
  <c r="G39" i="15"/>
  <c r="G39" i="18"/>
  <c r="G39" i="20"/>
  <c r="X5" i="18"/>
  <c r="X5" i="20" s="1"/>
  <c r="AD28" i="97"/>
  <c r="G23" i="26"/>
  <c r="G22" i="29" s="1"/>
  <c r="K33" i="25"/>
  <c r="X6" i="22"/>
  <c r="L26" i="27" s="1"/>
  <c r="S27" i="32" s="1"/>
  <c r="K31" i="97" s="1"/>
  <c r="K57" i="22" l="1"/>
  <c r="K6" i="22"/>
  <c r="C60" i="22"/>
  <c r="C9" i="22"/>
  <c r="E59" i="22"/>
  <c r="E8" i="22"/>
  <c r="I58" i="22"/>
  <c r="I7" i="22"/>
  <c r="F59" i="22"/>
  <c r="F8" i="22"/>
  <c r="J58" i="22"/>
  <c r="J7" i="22"/>
  <c r="D5" i="25"/>
  <c r="T39" i="15"/>
  <c r="G5" i="14"/>
  <c r="G38" i="14"/>
  <c r="Q7" i="18"/>
  <c r="Q7" i="20" s="1"/>
  <c r="Z11" i="97"/>
  <c r="C6" i="26"/>
  <c r="C5" i="29" s="1"/>
  <c r="G4" i="25"/>
  <c r="H22" i="25"/>
  <c r="AH8" i="97"/>
  <c r="K3" i="26"/>
  <c r="C40" i="15"/>
  <c r="C40" i="18"/>
  <c r="C40" i="20"/>
  <c r="F39" i="15"/>
  <c r="F39" i="18"/>
  <c r="F39" i="20"/>
  <c r="B6" i="29"/>
  <c r="L7" i="26"/>
  <c r="B36" i="29"/>
  <c r="L37" i="26"/>
  <c r="E39" i="15"/>
  <c r="E39" i="18"/>
  <c r="E39" i="20"/>
  <c r="B24" i="25"/>
  <c r="C7" i="18"/>
  <c r="C7" i="15"/>
  <c r="P7" i="15" s="1"/>
  <c r="C7" i="20"/>
  <c r="F6" i="18"/>
  <c r="F6" i="15"/>
  <c r="S6" i="15" s="1"/>
  <c r="F6" i="20"/>
  <c r="AF39" i="97"/>
  <c r="I34" i="26"/>
  <c r="I33" i="29" s="1"/>
  <c r="AG39" i="97"/>
  <c r="J34" i="26"/>
  <c r="J33" i="29" s="1"/>
  <c r="AF27" i="97"/>
  <c r="I22" i="26"/>
  <c r="I21" i="29" s="1"/>
  <c r="T6" i="18"/>
  <c r="T6" i="20" s="1"/>
  <c r="D35" i="25"/>
  <c r="Q8" i="22"/>
  <c r="E28" i="27" s="1"/>
  <c r="L29" i="32" s="1"/>
  <c r="D33" i="97" s="1"/>
  <c r="B48" i="22"/>
  <c r="B35" i="22" s="1"/>
  <c r="B22" i="22" s="1"/>
  <c r="E23" i="26"/>
  <c r="E22" i="29" s="1"/>
  <c r="AB28" i="97"/>
  <c r="J22" i="26"/>
  <c r="J21" i="29" s="1"/>
  <c r="AG27" i="97"/>
  <c r="B24" i="29"/>
  <c r="L25" i="26"/>
  <c r="C24" i="26"/>
  <c r="C23" i="29" s="1"/>
  <c r="Z29" i="97"/>
  <c r="F23" i="26"/>
  <c r="F22" i="29" s="1"/>
  <c r="AC28" i="97"/>
  <c r="U39" i="15"/>
  <c r="U39" i="18" s="1"/>
  <c r="U39" i="20" s="1"/>
  <c r="I17" i="27" s="1"/>
  <c r="P18" i="32" s="1"/>
  <c r="H22" i="97" s="1"/>
  <c r="H5" i="14"/>
  <c r="H38" i="14"/>
  <c r="E6" i="18"/>
  <c r="E6" i="15"/>
  <c r="R6" i="15" s="1"/>
  <c r="E6" i="20"/>
  <c r="AF9" i="97"/>
  <c r="I4" i="26"/>
  <c r="I3" i="29" s="1"/>
  <c r="O41" i="15"/>
  <c r="O41" i="18" s="1"/>
  <c r="O41" i="20" s="1"/>
  <c r="C19" i="27" s="1"/>
  <c r="J20" i="32" s="1"/>
  <c r="B24" i="97" s="1"/>
  <c r="B7" i="14"/>
  <c r="B40" i="14"/>
  <c r="B6" i="25"/>
  <c r="D23" i="25"/>
  <c r="I38" i="15"/>
  <c r="I38" i="18"/>
  <c r="I38" i="20"/>
  <c r="J38" i="18"/>
  <c r="J38" i="15"/>
  <c r="J38" i="20"/>
  <c r="AH26" i="97"/>
  <c r="K21" i="26"/>
  <c r="K20" i="29" s="1"/>
  <c r="H4" i="25"/>
  <c r="B36" i="25"/>
  <c r="O9" i="22"/>
  <c r="C29" i="27" s="1"/>
  <c r="J30" i="32" s="1"/>
  <c r="B34" i="97" s="1"/>
  <c r="H46" i="22"/>
  <c r="H33" i="22" s="1"/>
  <c r="H20" i="22" s="1"/>
  <c r="AC40" i="97"/>
  <c r="F35" i="26"/>
  <c r="F34" i="29" s="1"/>
  <c r="K37" i="15"/>
  <c r="K37" i="18"/>
  <c r="K37" i="20"/>
  <c r="Q40" i="18"/>
  <c r="Q40" i="20" s="1"/>
  <c r="E18" i="27" s="1"/>
  <c r="L19" i="32" s="1"/>
  <c r="D23" i="97" s="1"/>
  <c r="D47" i="22"/>
  <c r="D34" i="22" s="1"/>
  <c r="D21" i="22" s="1"/>
  <c r="I5" i="15"/>
  <c r="V5" i="15" s="1"/>
  <c r="I5" i="18"/>
  <c r="I5" i="20"/>
  <c r="J5" i="15"/>
  <c r="W5" i="15" s="1"/>
  <c r="J5" i="18"/>
  <c r="J5" i="20"/>
  <c r="T39" i="18"/>
  <c r="T39" i="20" s="1"/>
  <c r="H17" i="27" s="1"/>
  <c r="O18" i="32" s="1"/>
  <c r="G22" i="97" s="1"/>
  <c r="G46" i="22"/>
  <c r="G33" i="22" s="1"/>
  <c r="G20" i="22" s="1"/>
  <c r="AG9" i="97"/>
  <c r="J4" i="26"/>
  <c r="J3" i="29" s="1"/>
  <c r="H34" i="25"/>
  <c r="U7" i="22"/>
  <c r="I27" i="27" s="1"/>
  <c r="P28" i="32" s="1"/>
  <c r="H32" i="97" s="1"/>
  <c r="AH38" i="97"/>
  <c r="K33" i="26"/>
  <c r="K32" i="29" s="1"/>
  <c r="G22" i="25"/>
  <c r="AB10" i="97"/>
  <c r="E5" i="26"/>
  <c r="E4" i="29" s="1"/>
  <c r="K4" i="20"/>
  <c r="K4" i="18"/>
  <c r="K4" i="15"/>
  <c r="X4" i="15" s="1"/>
  <c r="O8" i="18"/>
  <c r="O8" i="20" s="1"/>
  <c r="C3" i="27" s="1"/>
  <c r="J4" i="32" s="1"/>
  <c r="B8" i="97" s="1"/>
  <c r="Q40" i="15"/>
  <c r="D6" i="14"/>
  <c r="D39" i="14"/>
  <c r="AC10" i="97"/>
  <c r="F5" i="26"/>
  <c r="F4" i="29" s="1"/>
  <c r="U6" i="18"/>
  <c r="U6" i="20" s="1"/>
  <c r="G34" i="25"/>
  <c r="T7" i="22"/>
  <c r="H27" i="27" s="1"/>
  <c r="O28" i="32" s="1"/>
  <c r="G32" i="97" s="1"/>
  <c r="H58" i="22" l="1"/>
  <c r="H7" i="22"/>
  <c r="D59" i="22"/>
  <c r="D8" i="22"/>
  <c r="G58" i="22"/>
  <c r="G7" i="22"/>
  <c r="B60" i="22"/>
  <c r="B9" i="22"/>
  <c r="I45" i="22"/>
  <c r="I32" i="22" s="1"/>
  <c r="I19" i="22" s="1"/>
  <c r="C5" i="25"/>
  <c r="C47" i="22"/>
  <c r="C34" i="22" s="1"/>
  <c r="C21" i="22" s="1"/>
  <c r="G5" i="18"/>
  <c r="G5" i="15"/>
  <c r="T5" i="15" s="1"/>
  <c r="G5" i="20"/>
  <c r="J3" i="25"/>
  <c r="AE9" i="97"/>
  <c r="H4" i="26"/>
  <c r="H3" i="29" s="1"/>
  <c r="P40" i="15"/>
  <c r="P40" i="18" s="1"/>
  <c r="P40" i="20" s="1"/>
  <c r="D18" i="27" s="1"/>
  <c r="K19" i="32" s="1"/>
  <c r="C23" i="97" s="1"/>
  <c r="C6" i="14"/>
  <c r="C39" i="14"/>
  <c r="I33" i="25"/>
  <c r="V6" i="22"/>
  <c r="J26" i="27" s="1"/>
  <c r="Q27" i="32" s="1"/>
  <c r="I31" i="97" s="1"/>
  <c r="W5" i="18"/>
  <c r="W5" i="20" s="1"/>
  <c r="P7" i="18"/>
  <c r="P7" i="20" s="1"/>
  <c r="K2" i="29"/>
  <c r="X4" i="18"/>
  <c r="X4" i="20" s="1"/>
  <c r="D23" i="26"/>
  <c r="D22" i="29" s="1"/>
  <c r="AA28" i="97"/>
  <c r="E4" i="25"/>
  <c r="AA10" i="97"/>
  <c r="D5" i="26"/>
  <c r="D4" i="29" s="1"/>
  <c r="E34" i="25"/>
  <c r="R7" i="22"/>
  <c r="F27" i="27" s="1"/>
  <c r="M28" i="32" s="1"/>
  <c r="E32" i="97" s="1"/>
  <c r="I3" i="25"/>
  <c r="K20" i="25"/>
  <c r="J21" i="25"/>
  <c r="Y29" i="97"/>
  <c r="B24" i="26"/>
  <c r="F22" i="25"/>
  <c r="AE39" i="97"/>
  <c r="H34" i="26"/>
  <c r="H33" i="29" s="1"/>
  <c r="G22" i="26"/>
  <c r="G21" i="29" s="1"/>
  <c r="AD27" i="97"/>
  <c r="V5" i="18"/>
  <c r="V5" i="20" s="1"/>
  <c r="K44" i="22"/>
  <c r="K31" i="22" s="1"/>
  <c r="K18" i="22" s="1"/>
  <c r="W38" i="15"/>
  <c r="W38" i="18" s="1"/>
  <c r="W38" i="20" s="1"/>
  <c r="K16" i="27" s="1"/>
  <c r="R17" i="32" s="1"/>
  <c r="J21" i="97" s="1"/>
  <c r="J4" i="14"/>
  <c r="J37" i="14"/>
  <c r="Y11" i="97"/>
  <c r="B6" i="26"/>
  <c r="R6" i="18"/>
  <c r="R6" i="20" s="1"/>
  <c r="F4" i="25"/>
  <c r="E22" i="25"/>
  <c r="S39" i="18"/>
  <c r="S39" i="20" s="1"/>
  <c r="G17" i="27" s="1"/>
  <c r="N18" i="32" s="1"/>
  <c r="F22" i="97" s="1"/>
  <c r="F46" i="22"/>
  <c r="F33" i="22" s="1"/>
  <c r="F20" i="22" s="1"/>
  <c r="H22" i="26"/>
  <c r="H21" i="29" s="1"/>
  <c r="AE27" i="97"/>
  <c r="J33" i="25"/>
  <c r="W6" i="22"/>
  <c r="K26" i="27" s="1"/>
  <c r="R27" i="32" s="1"/>
  <c r="J31" i="97" s="1"/>
  <c r="C35" i="25"/>
  <c r="P8" i="22"/>
  <c r="D28" i="27" s="1"/>
  <c r="K29" i="32" s="1"/>
  <c r="C33" i="97" s="1"/>
  <c r="D6" i="15"/>
  <c r="Q6" i="15" s="1"/>
  <c r="D6" i="18"/>
  <c r="D6" i="20"/>
  <c r="X37" i="15"/>
  <c r="X37" i="18" s="1"/>
  <c r="X37" i="20" s="1"/>
  <c r="L15" i="27" s="1"/>
  <c r="S16" i="32" s="1"/>
  <c r="K20" i="97" s="1"/>
  <c r="K3" i="14"/>
  <c r="K36" i="14"/>
  <c r="J45" i="22"/>
  <c r="J32" i="22" s="1"/>
  <c r="J19" i="22" s="1"/>
  <c r="B40" i="15"/>
  <c r="B40" i="18"/>
  <c r="B40" i="20"/>
  <c r="H38" i="15"/>
  <c r="H38" i="18"/>
  <c r="H38" i="20"/>
  <c r="R39" i="18"/>
  <c r="R39" i="20" s="1"/>
  <c r="F17" i="27" s="1"/>
  <c r="M18" i="32" s="1"/>
  <c r="E22" i="97" s="1"/>
  <c r="E46" i="22"/>
  <c r="E33" i="22" s="1"/>
  <c r="E20" i="22" s="1"/>
  <c r="S39" i="15"/>
  <c r="F5" i="14"/>
  <c r="F38" i="14"/>
  <c r="V38" i="15"/>
  <c r="V38" i="18" s="1"/>
  <c r="V38" i="20" s="1"/>
  <c r="J16" i="27" s="1"/>
  <c r="Q17" i="32" s="1"/>
  <c r="I21" i="97" s="1"/>
  <c r="I4" i="14"/>
  <c r="I37" i="14"/>
  <c r="AA40" i="97"/>
  <c r="D35" i="26"/>
  <c r="D34" i="29" s="1"/>
  <c r="AD39" i="97"/>
  <c r="G34" i="26"/>
  <c r="G33" i="29" s="1"/>
  <c r="D39" i="15"/>
  <c r="D39" i="18"/>
  <c r="D39" i="20"/>
  <c r="Y41" i="97"/>
  <c r="B36" i="26"/>
  <c r="I21" i="25"/>
  <c r="B7" i="18"/>
  <c r="B7" i="15"/>
  <c r="O7" i="15" s="1"/>
  <c r="B7" i="20"/>
  <c r="H5" i="15"/>
  <c r="U5" i="15" s="1"/>
  <c r="H5" i="18"/>
  <c r="H5" i="20"/>
  <c r="S6" i="18"/>
  <c r="S6" i="20" s="1"/>
  <c r="R39" i="15"/>
  <c r="E5" i="14"/>
  <c r="E38" i="14"/>
  <c r="C23" i="25"/>
  <c r="AD9" i="97"/>
  <c r="G4" i="26"/>
  <c r="G3" i="29" s="1"/>
  <c r="G38" i="15"/>
  <c r="G38" i="18"/>
  <c r="G38" i="20"/>
  <c r="F34" i="25"/>
  <c r="S7" i="22"/>
  <c r="G27" i="27" s="1"/>
  <c r="N28" i="32" s="1"/>
  <c r="F32" i="97" s="1"/>
  <c r="K32" i="25"/>
  <c r="X5" i="22"/>
  <c r="L25" i="27" s="1"/>
  <c r="S26" i="32" s="1"/>
  <c r="K30" i="97" s="1"/>
  <c r="E58" i="22" l="1"/>
  <c r="E7" i="22"/>
  <c r="J57" i="22"/>
  <c r="J6" i="22"/>
  <c r="C59" i="22"/>
  <c r="C8" i="22"/>
  <c r="K56" i="22"/>
  <c r="K5" i="22"/>
  <c r="F58" i="22"/>
  <c r="F7" i="22"/>
  <c r="I57" i="22"/>
  <c r="I6" i="22"/>
  <c r="Q6" i="18"/>
  <c r="J37" i="18"/>
  <c r="J37" i="15"/>
  <c r="J37" i="20"/>
  <c r="O7" i="18"/>
  <c r="O7" i="20" s="1"/>
  <c r="F38" i="15"/>
  <c r="F38" i="18"/>
  <c r="F38" i="20"/>
  <c r="H21" i="25"/>
  <c r="J4" i="18"/>
  <c r="J4" i="15"/>
  <c r="W4" i="15" s="1"/>
  <c r="J4" i="20"/>
  <c r="AG8" i="97"/>
  <c r="J3" i="26"/>
  <c r="Q39" i="15"/>
  <c r="D5" i="14"/>
  <c r="D38" i="14"/>
  <c r="AH37" i="97"/>
  <c r="K32" i="26"/>
  <c r="K31" i="29" s="1"/>
  <c r="F5" i="15"/>
  <c r="S5" i="15" s="1"/>
  <c r="F5" i="18"/>
  <c r="F5" i="20"/>
  <c r="F22" i="26"/>
  <c r="F21" i="29" s="1"/>
  <c r="AC27" i="97"/>
  <c r="AF8" i="97"/>
  <c r="I3" i="26"/>
  <c r="AF38" i="97"/>
  <c r="I33" i="26"/>
  <c r="I32" i="29" s="1"/>
  <c r="G3" i="25"/>
  <c r="B35" i="25"/>
  <c r="O8" i="22"/>
  <c r="C28" i="27" s="1"/>
  <c r="J29" i="32" s="1"/>
  <c r="B33" i="97" s="1"/>
  <c r="Z28" i="97"/>
  <c r="C23" i="26"/>
  <c r="C22" i="29" s="1"/>
  <c r="I21" i="26"/>
  <c r="I20" i="29" s="1"/>
  <c r="AF26" i="97"/>
  <c r="U38" i="15"/>
  <c r="U38" i="18" s="1"/>
  <c r="U38" i="20" s="1"/>
  <c r="I16" i="27" s="1"/>
  <c r="P17" i="32" s="1"/>
  <c r="H21" i="97" s="1"/>
  <c r="H4" i="14"/>
  <c r="H37" i="14"/>
  <c r="Z40" i="97"/>
  <c r="C35" i="26"/>
  <c r="C34" i="29" s="1"/>
  <c r="B23" i="29"/>
  <c r="L24" i="26"/>
  <c r="C39" i="15"/>
  <c r="C39" i="18"/>
  <c r="C39" i="20"/>
  <c r="Z10" i="97"/>
  <c r="C5" i="26"/>
  <c r="C4" i="29" s="1"/>
  <c r="H3" i="25"/>
  <c r="C6" i="18"/>
  <c r="C6" i="15"/>
  <c r="P6" i="15" s="1"/>
  <c r="C6" i="20"/>
  <c r="G33" i="25"/>
  <c r="T6" i="22"/>
  <c r="H26" i="27" s="1"/>
  <c r="O27" i="32" s="1"/>
  <c r="G31" i="97" s="1"/>
  <c r="AC39" i="97"/>
  <c r="F34" i="26"/>
  <c r="F33" i="29" s="1"/>
  <c r="B23" i="25"/>
  <c r="AB39" i="97"/>
  <c r="E34" i="26"/>
  <c r="E33" i="29" s="1"/>
  <c r="G21" i="25"/>
  <c r="I37" i="18"/>
  <c r="I37" i="15"/>
  <c r="I37" i="20"/>
  <c r="B47" i="22"/>
  <c r="B34" i="22" s="1"/>
  <c r="B21" i="22" s="1"/>
  <c r="K3" i="15"/>
  <c r="X3" i="15" s="1"/>
  <c r="K3" i="20"/>
  <c r="K3" i="18"/>
  <c r="AG38" i="97"/>
  <c r="J33" i="26"/>
  <c r="J32" i="29" s="1"/>
  <c r="B35" i="29"/>
  <c r="L36" i="26"/>
  <c r="K36" i="18"/>
  <c r="K36" i="15"/>
  <c r="K36" i="20"/>
  <c r="E5" i="15"/>
  <c r="R5" i="15" s="1"/>
  <c r="E5" i="18"/>
  <c r="E5" i="20"/>
  <c r="I4" i="15"/>
  <c r="V4" i="15" s="1"/>
  <c r="I4" i="18"/>
  <c r="I4" i="20"/>
  <c r="O40" i="15"/>
  <c r="O40" i="18" s="1"/>
  <c r="O40" i="20" s="1"/>
  <c r="C18" i="27" s="1"/>
  <c r="J19" i="32" s="1"/>
  <c r="B23" i="97" s="1"/>
  <c r="B6" i="14"/>
  <c r="B39" i="14"/>
  <c r="E22" i="26"/>
  <c r="E21" i="29" s="1"/>
  <c r="AB27" i="97"/>
  <c r="B5" i="29"/>
  <c r="L6" i="26"/>
  <c r="J21" i="26"/>
  <c r="J20" i="29" s="1"/>
  <c r="AG26" i="97"/>
  <c r="D34" i="25"/>
  <c r="Q7" i="22"/>
  <c r="E27" i="27" s="1"/>
  <c r="L28" i="32" s="1"/>
  <c r="D32" i="97" s="1"/>
  <c r="H45" i="22"/>
  <c r="H32" i="22" s="1"/>
  <c r="H19" i="22" s="1"/>
  <c r="E38" i="15"/>
  <c r="E38" i="18"/>
  <c r="E38" i="20"/>
  <c r="T5" i="18"/>
  <c r="T5" i="20" s="1"/>
  <c r="U5" i="18"/>
  <c r="U5" i="20" s="1"/>
  <c r="T38" i="18"/>
  <c r="T38" i="20" s="1"/>
  <c r="H16" i="27" s="1"/>
  <c r="O17" i="32" s="1"/>
  <c r="G21" i="97" s="1"/>
  <c r="G45" i="22"/>
  <c r="G32" i="22" s="1"/>
  <c r="G19" i="22" s="1"/>
  <c r="D22" i="25"/>
  <c r="T38" i="15"/>
  <c r="G4" i="14"/>
  <c r="G37" i="14"/>
  <c r="B5" i="25"/>
  <c r="Q39" i="18"/>
  <c r="Q39" i="20" s="1"/>
  <c r="E17" i="27" s="1"/>
  <c r="L18" i="32" s="1"/>
  <c r="D22" i="97" s="1"/>
  <c r="D46" i="22"/>
  <c r="D33" i="22" s="1"/>
  <c r="D20" i="22" s="1"/>
  <c r="D58" i="22" s="1"/>
  <c r="D4" i="25"/>
  <c r="Q6" i="20"/>
  <c r="AC9" i="97"/>
  <c r="F4" i="26"/>
  <c r="F3" i="29" s="1"/>
  <c r="K20" i="26"/>
  <c r="K19" i="29" s="1"/>
  <c r="AH25" i="97"/>
  <c r="AB9" i="97"/>
  <c r="E4" i="26"/>
  <c r="E3" i="29" s="1"/>
  <c r="H33" i="25"/>
  <c r="U6" i="22"/>
  <c r="I26" i="27" s="1"/>
  <c r="P27" i="32" s="1"/>
  <c r="H31" i="97" s="1"/>
  <c r="X3" i="18" l="1"/>
  <c r="G57" i="22"/>
  <c r="G6" i="22"/>
  <c r="B59" i="22"/>
  <c r="B8" i="22"/>
  <c r="H57" i="22"/>
  <c r="H6" i="22"/>
  <c r="D33" i="25"/>
  <c r="Q6" i="22"/>
  <c r="E26" i="27" s="1"/>
  <c r="L27" i="32" s="1"/>
  <c r="D31" i="97" s="1"/>
  <c r="R5" i="18"/>
  <c r="P6" i="18"/>
  <c r="B23" i="26"/>
  <c r="Y28" i="97"/>
  <c r="I2" i="29"/>
  <c r="E45" i="22"/>
  <c r="E32" i="22" s="1"/>
  <c r="E19" i="22" s="1"/>
  <c r="AA39" i="97"/>
  <c r="D34" i="26"/>
  <c r="D33" i="29" s="1"/>
  <c r="B6" i="18"/>
  <c r="B6" i="15"/>
  <c r="O6" i="15" s="1"/>
  <c r="B6" i="20"/>
  <c r="K19" i="25"/>
  <c r="X3" i="20"/>
  <c r="V37" i="15"/>
  <c r="V37" i="18" s="1"/>
  <c r="V37" i="20" s="1"/>
  <c r="J15" i="27" s="1"/>
  <c r="Q16" i="32" s="1"/>
  <c r="I20" i="97" s="1"/>
  <c r="I3" i="14"/>
  <c r="I36" i="14"/>
  <c r="AE8" i="97"/>
  <c r="H3" i="26"/>
  <c r="D38" i="15"/>
  <c r="D38" i="18"/>
  <c r="D38" i="20"/>
  <c r="B39" i="15"/>
  <c r="B39" i="18"/>
  <c r="B39" i="20"/>
  <c r="W4" i="18"/>
  <c r="R38" i="15"/>
  <c r="R38" i="18" s="1"/>
  <c r="R38" i="20" s="1"/>
  <c r="F16" i="27" s="1"/>
  <c r="M17" i="32" s="1"/>
  <c r="E21" i="97" s="1"/>
  <c r="E4" i="14"/>
  <c r="E37" i="14"/>
  <c r="X36" i="15"/>
  <c r="X36" i="18" s="1"/>
  <c r="X36" i="20" s="1"/>
  <c r="L14" i="27" s="1"/>
  <c r="S15" i="32" s="1"/>
  <c r="K19" i="97" s="1"/>
  <c r="K2" i="14"/>
  <c r="K35" i="14"/>
  <c r="I44" i="22"/>
  <c r="I31" i="22" s="1"/>
  <c r="I18" i="22" s="1"/>
  <c r="D5" i="15"/>
  <c r="Q5" i="15" s="1"/>
  <c r="D5" i="18"/>
  <c r="D5" i="20"/>
  <c r="H21" i="26"/>
  <c r="H20" i="29" s="1"/>
  <c r="AE26" i="97"/>
  <c r="C34" i="25"/>
  <c r="P7" i="22"/>
  <c r="D27" i="27" s="1"/>
  <c r="K28" i="32" s="1"/>
  <c r="C32" i="97" s="1"/>
  <c r="K31" i="25"/>
  <c r="X4" i="22"/>
  <c r="L24" i="27" s="1"/>
  <c r="S25" i="32" s="1"/>
  <c r="K29" i="97" s="1"/>
  <c r="K43" i="22"/>
  <c r="K30" i="22" s="1"/>
  <c r="K17" i="22" s="1"/>
  <c r="H37" i="18"/>
  <c r="H37" i="20"/>
  <c r="H37" i="15"/>
  <c r="Y40" i="97"/>
  <c r="B35" i="26"/>
  <c r="F21" i="25"/>
  <c r="J20" i="25"/>
  <c r="Y10" i="97"/>
  <c r="B5" i="26"/>
  <c r="AE38" i="97"/>
  <c r="H33" i="26"/>
  <c r="H32" i="29" s="1"/>
  <c r="AA9" i="97"/>
  <c r="D4" i="26"/>
  <c r="D3" i="29" s="1"/>
  <c r="G37" i="15"/>
  <c r="G37" i="18"/>
  <c r="G37" i="20"/>
  <c r="V4" i="18"/>
  <c r="V4" i="20" s="1"/>
  <c r="AD26" i="97"/>
  <c r="G21" i="26"/>
  <c r="G20" i="29" s="1"/>
  <c r="AD38" i="97"/>
  <c r="G33" i="26"/>
  <c r="G32" i="29" s="1"/>
  <c r="C22" i="25"/>
  <c r="H4" i="15"/>
  <c r="U4" i="15" s="1"/>
  <c r="H4" i="20"/>
  <c r="H4" i="18"/>
  <c r="F3" i="25"/>
  <c r="J2" i="29"/>
  <c r="S38" i="18"/>
  <c r="S38" i="20" s="1"/>
  <c r="G16" i="27" s="1"/>
  <c r="N17" i="32" s="1"/>
  <c r="F21" i="97" s="1"/>
  <c r="F45" i="22"/>
  <c r="F32" i="22" s="1"/>
  <c r="F19" i="22" s="1"/>
  <c r="F57" i="22" s="1"/>
  <c r="W37" i="15"/>
  <c r="W37" i="18" s="1"/>
  <c r="W37" i="20" s="1"/>
  <c r="K15" i="27" s="1"/>
  <c r="R16" i="32" s="1"/>
  <c r="J20" i="97" s="1"/>
  <c r="J3" i="14"/>
  <c r="J36" i="14"/>
  <c r="I32" i="25"/>
  <c r="V5" i="22"/>
  <c r="J25" i="27" s="1"/>
  <c r="Q26" i="32" s="1"/>
  <c r="I30" i="97" s="1"/>
  <c r="J32" i="25"/>
  <c r="W5" i="22"/>
  <c r="K25" i="27" s="1"/>
  <c r="R26" i="32" s="1"/>
  <c r="J30" i="97" s="1"/>
  <c r="E21" i="25"/>
  <c r="G4" i="15"/>
  <c r="T4" i="15" s="1"/>
  <c r="G4" i="18"/>
  <c r="G4" i="20"/>
  <c r="C4" i="25"/>
  <c r="P6" i="20"/>
  <c r="C46" i="22"/>
  <c r="C33" i="22" s="1"/>
  <c r="C20" i="22" s="1"/>
  <c r="AD8" i="97"/>
  <c r="G3" i="26"/>
  <c r="S5" i="18"/>
  <c r="S5" i="20" s="1"/>
  <c r="S38" i="15"/>
  <c r="F4" i="14"/>
  <c r="F37" i="14"/>
  <c r="J44" i="22"/>
  <c r="J31" i="22" s="1"/>
  <c r="J18" i="22" s="1"/>
  <c r="D22" i="26"/>
  <c r="D21" i="29" s="1"/>
  <c r="AA27" i="97"/>
  <c r="I20" i="25"/>
  <c r="D7" i="22"/>
  <c r="E3" i="25"/>
  <c r="R5" i="20"/>
  <c r="P39" i="15"/>
  <c r="P39" i="18" s="1"/>
  <c r="P39" i="20" s="1"/>
  <c r="D17" i="27" s="1"/>
  <c r="K18" i="32" s="1"/>
  <c r="C22" i="97" s="1"/>
  <c r="C5" i="14"/>
  <c r="C38" i="14"/>
  <c r="W4" i="20"/>
  <c r="F33" i="25"/>
  <c r="S6" i="22"/>
  <c r="G26" i="27" s="1"/>
  <c r="N27" i="32" s="1"/>
  <c r="F31" i="97" s="1"/>
  <c r="E33" i="25"/>
  <c r="R6" i="22"/>
  <c r="F26" i="27" s="1"/>
  <c r="M27" i="32" s="1"/>
  <c r="E31" i="97" s="1"/>
  <c r="C58" i="22" l="1"/>
  <c r="C33" i="25" s="1"/>
  <c r="C7" i="22"/>
  <c r="I56" i="22"/>
  <c r="I5" i="22"/>
  <c r="E57" i="22"/>
  <c r="E6" i="22"/>
  <c r="K55" i="22"/>
  <c r="K4" i="22"/>
  <c r="J56" i="22"/>
  <c r="J5" i="22"/>
  <c r="AB38" i="97"/>
  <c r="E33" i="26"/>
  <c r="E32" i="29" s="1"/>
  <c r="AB8" i="97"/>
  <c r="E3" i="26"/>
  <c r="E21" i="26"/>
  <c r="E20" i="29" s="1"/>
  <c r="AB26" i="97"/>
  <c r="AC8" i="97"/>
  <c r="F3" i="26"/>
  <c r="F21" i="26"/>
  <c r="F20" i="29" s="1"/>
  <c r="AC26" i="97"/>
  <c r="H2" i="29"/>
  <c r="B4" i="25"/>
  <c r="J3" i="15"/>
  <c r="W3" i="15" s="1"/>
  <c r="J3" i="20"/>
  <c r="J3" i="18"/>
  <c r="T37" i="15"/>
  <c r="G3" i="14"/>
  <c r="G36" i="14"/>
  <c r="F6" i="22"/>
  <c r="U4" i="18"/>
  <c r="U4" i="20" s="1"/>
  <c r="B34" i="29"/>
  <c r="L35" i="26"/>
  <c r="AA38" i="97"/>
  <c r="D33" i="26"/>
  <c r="D32" i="29" s="1"/>
  <c r="F37" i="15"/>
  <c r="F37" i="18"/>
  <c r="F37" i="20"/>
  <c r="Z9" i="97"/>
  <c r="C4" i="26"/>
  <c r="C3" i="29" s="1"/>
  <c r="AC38" i="97"/>
  <c r="F33" i="26"/>
  <c r="F32" i="29" s="1"/>
  <c r="AG37" i="97"/>
  <c r="J32" i="26"/>
  <c r="J31" i="29" s="1"/>
  <c r="D3" i="25"/>
  <c r="K35" i="20"/>
  <c r="K35" i="18"/>
  <c r="K35" i="15"/>
  <c r="B22" i="25"/>
  <c r="I36" i="18"/>
  <c r="I36" i="15"/>
  <c r="I36" i="20"/>
  <c r="O6" i="18"/>
  <c r="O6" i="20" s="1"/>
  <c r="I20" i="26"/>
  <c r="I19" i="29" s="1"/>
  <c r="AF25" i="97"/>
  <c r="F32" i="25"/>
  <c r="S5" i="22"/>
  <c r="G25" i="27" s="1"/>
  <c r="N26" i="32" s="1"/>
  <c r="F30" i="97" s="1"/>
  <c r="B4" i="29"/>
  <c r="L5" i="26"/>
  <c r="U37" i="15"/>
  <c r="U37" i="18" s="1"/>
  <c r="U37" i="20" s="1"/>
  <c r="I15" i="27" s="1"/>
  <c r="P16" i="32" s="1"/>
  <c r="H20" i="97" s="1"/>
  <c r="H3" i="14"/>
  <c r="H36" i="14"/>
  <c r="Q5" i="18"/>
  <c r="Q5" i="20" s="1"/>
  <c r="K2" i="15"/>
  <c r="X2" i="15" s="1"/>
  <c r="K2" i="20"/>
  <c r="K2" i="18"/>
  <c r="B46" i="22"/>
  <c r="B33" i="22" s="1"/>
  <c r="B20" i="22" s="1"/>
  <c r="I3" i="15"/>
  <c r="V3" i="15" s="1"/>
  <c r="I3" i="20"/>
  <c r="I3" i="18"/>
  <c r="H32" i="25"/>
  <c r="U5" i="22"/>
  <c r="I25" i="27" s="1"/>
  <c r="P26" i="32" s="1"/>
  <c r="H30" i="97" s="1"/>
  <c r="G2" i="29"/>
  <c r="F4" i="15"/>
  <c r="S4" i="15" s="1"/>
  <c r="F4" i="18"/>
  <c r="F4" i="20"/>
  <c r="AF37" i="97"/>
  <c r="I32" i="26"/>
  <c r="I31" i="29" s="1"/>
  <c r="G20" i="25"/>
  <c r="O39" i="15"/>
  <c r="O39" i="18" s="1"/>
  <c r="O39" i="20" s="1"/>
  <c r="C17" i="27" s="1"/>
  <c r="J18" i="32" s="1"/>
  <c r="B22" i="97" s="1"/>
  <c r="B5" i="14"/>
  <c r="B38" i="14"/>
  <c r="C38" i="15"/>
  <c r="C38" i="18"/>
  <c r="C38" i="20"/>
  <c r="H20" i="25"/>
  <c r="C5" i="18"/>
  <c r="C5" i="15"/>
  <c r="P5" i="15" s="1"/>
  <c r="C5" i="20"/>
  <c r="T4" i="18"/>
  <c r="T4" i="20" s="1"/>
  <c r="J36" i="15"/>
  <c r="J36" i="18"/>
  <c r="J36" i="20"/>
  <c r="C22" i="26"/>
  <c r="C21" i="29" s="1"/>
  <c r="Z27" i="97"/>
  <c r="T37" i="18"/>
  <c r="T37" i="20" s="1"/>
  <c r="H15" i="27" s="1"/>
  <c r="O16" i="32" s="1"/>
  <c r="G20" i="97" s="1"/>
  <c r="G44" i="22"/>
  <c r="G31" i="22" s="1"/>
  <c r="G18" i="22" s="1"/>
  <c r="H44" i="22"/>
  <c r="H31" i="22" s="1"/>
  <c r="H18" i="22" s="1"/>
  <c r="AH36" i="97"/>
  <c r="K31" i="26"/>
  <c r="K30" i="29" s="1"/>
  <c r="E37" i="15"/>
  <c r="E37" i="18"/>
  <c r="E37" i="20"/>
  <c r="D21" i="25"/>
  <c r="B22" i="29"/>
  <c r="L23" i="26"/>
  <c r="B34" i="25"/>
  <c r="O7" i="22"/>
  <c r="C27" i="27" s="1"/>
  <c r="J28" i="32" s="1"/>
  <c r="B32" i="97" s="1"/>
  <c r="E4" i="18"/>
  <c r="E4" i="20"/>
  <c r="E4" i="15"/>
  <c r="R4" i="15" s="1"/>
  <c r="D45" i="22"/>
  <c r="D32" i="22" s="1"/>
  <c r="D19" i="22" s="1"/>
  <c r="J20" i="26"/>
  <c r="J19" i="29" s="1"/>
  <c r="AG25" i="97"/>
  <c r="Z39" i="97"/>
  <c r="C34" i="26"/>
  <c r="C33" i="29" s="1"/>
  <c r="Q38" i="15"/>
  <c r="Q38" i="18" s="1"/>
  <c r="Q38" i="20" s="1"/>
  <c r="E16" i="27" s="1"/>
  <c r="L17" i="32" s="1"/>
  <c r="D21" i="97" s="1"/>
  <c r="D4" i="14"/>
  <c r="D37" i="14"/>
  <c r="AH24" i="97"/>
  <c r="K19" i="26"/>
  <c r="G32" i="25"/>
  <c r="T5" i="22"/>
  <c r="H25" i="27" s="1"/>
  <c r="O26" i="32" s="1"/>
  <c r="G30" i="97" s="1"/>
  <c r="W3" i="18" l="1"/>
  <c r="W3" i="20" s="1"/>
  <c r="P6" i="22"/>
  <c r="D26" i="27" s="1"/>
  <c r="K27" i="32" s="1"/>
  <c r="C31" i="97" s="1"/>
  <c r="G56" i="22"/>
  <c r="G5" i="22"/>
  <c r="D57" i="22"/>
  <c r="D6" i="22"/>
  <c r="H56" i="22"/>
  <c r="H5" i="22"/>
  <c r="B58" i="22"/>
  <c r="B7" i="22"/>
  <c r="C21" i="25"/>
  <c r="AE37" i="97"/>
  <c r="H32" i="26"/>
  <c r="H31" i="29" s="1"/>
  <c r="V36" i="15"/>
  <c r="V36" i="18" s="1"/>
  <c r="V36" i="20" s="1"/>
  <c r="J14" i="27" s="1"/>
  <c r="Q15" i="32" s="1"/>
  <c r="I19" i="97" s="1"/>
  <c r="I2" i="14"/>
  <c r="I35" i="14"/>
  <c r="AA8" i="97"/>
  <c r="D3" i="26"/>
  <c r="F20" i="25"/>
  <c r="D4" i="18"/>
  <c r="D4" i="20"/>
  <c r="D4" i="15"/>
  <c r="Q4" i="15" s="1"/>
  <c r="C45" i="22"/>
  <c r="C32" i="22" s="1"/>
  <c r="C19" i="22" s="1"/>
  <c r="V3" i="18"/>
  <c r="V3" i="20" s="1"/>
  <c r="X2" i="18"/>
  <c r="H36" i="15"/>
  <c r="H36" i="18"/>
  <c r="H36" i="20"/>
  <c r="I43" i="22"/>
  <c r="I30" i="22" s="1"/>
  <c r="I17" i="22" s="1"/>
  <c r="S37" i="18"/>
  <c r="S37" i="20" s="1"/>
  <c r="G15" i="27" s="1"/>
  <c r="N16" i="32" s="1"/>
  <c r="F20" i="97" s="1"/>
  <c r="F44" i="22"/>
  <c r="F31" i="22" s="1"/>
  <c r="F18" i="22" s="1"/>
  <c r="Y9" i="97"/>
  <c r="B4" i="26"/>
  <c r="J31" i="25"/>
  <c r="W4" i="22"/>
  <c r="K24" i="27" s="1"/>
  <c r="R25" i="32" s="1"/>
  <c r="J29" i="97" s="1"/>
  <c r="C3" i="25"/>
  <c r="P38" i="15"/>
  <c r="P38" i="18" s="1"/>
  <c r="P38" i="20" s="1"/>
  <c r="D16" i="27" s="1"/>
  <c r="K17" i="32" s="1"/>
  <c r="C21" i="97" s="1"/>
  <c r="C4" i="14"/>
  <c r="C37" i="14"/>
  <c r="X2" i="20"/>
  <c r="H3" i="18"/>
  <c r="H3" i="15"/>
  <c r="U3" i="15" s="1"/>
  <c r="H3" i="20"/>
  <c r="S37" i="15"/>
  <c r="F3" i="14"/>
  <c r="F36" i="14"/>
  <c r="G36" i="15"/>
  <c r="G36" i="18"/>
  <c r="G36" i="20"/>
  <c r="E2" i="29"/>
  <c r="D21" i="26"/>
  <c r="D20" i="29" s="1"/>
  <c r="AA26" i="97"/>
  <c r="B38" i="15"/>
  <c r="B38" i="18"/>
  <c r="B38" i="20"/>
  <c r="S4" i="18"/>
  <c r="S4" i="20" s="1"/>
  <c r="B22" i="26"/>
  <c r="Y27" i="97"/>
  <c r="G3" i="15"/>
  <c r="T3" i="15" s="1"/>
  <c r="G3" i="18"/>
  <c r="G3" i="20"/>
  <c r="K30" i="25"/>
  <c r="X3" i="22"/>
  <c r="L23" i="27" s="1"/>
  <c r="S24" i="32" s="1"/>
  <c r="K28" i="97" s="1"/>
  <c r="AD37" i="97"/>
  <c r="G32" i="26"/>
  <c r="G31" i="29" s="1"/>
  <c r="E20" i="25"/>
  <c r="P5" i="18"/>
  <c r="P5" i="20" s="1"/>
  <c r="B5" i="18"/>
  <c r="B5" i="15"/>
  <c r="O5" i="15" s="1"/>
  <c r="B5" i="20"/>
  <c r="X35" i="15"/>
  <c r="X35" i="18" s="1"/>
  <c r="X35" i="20" s="1"/>
  <c r="K34" i="14"/>
  <c r="R4" i="18"/>
  <c r="R4" i="20" s="1"/>
  <c r="E44" i="22"/>
  <c r="E31" i="22" s="1"/>
  <c r="E18" i="22" s="1"/>
  <c r="J19" i="25"/>
  <c r="E32" i="25"/>
  <c r="R5" i="22"/>
  <c r="F25" i="27" s="1"/>
  <c r="M26" i="32" s="1"/>
  <c r="E30" i="97" s="1"/>
  <c r="K18" i="29"/>
  <c r="R37" i="15"/>
  <c r="R37" i="18" s="1"/>
  <c r="R37" i="20" s="1"/>
  <c r="F15" i="27" s="1"/>
  <c r="M16" i="32" s="1"/>
  <c r="E20" i="97" s="1"/>
  <c r="E3" i="14"/>
  <c r="E36" i="14"/>
  <c r="J43" i="22"/>
  <c r="J30" i="22" s="1"/>
  <c r="J17" i="22" s="1"/>
  <c r="H20" i="26"/>
  <c r="H19" i="29" s="1"/>
  <c r="AE25" i="97"/>
  <c r="K54" i="22"/>
  <c r="F2" i="29"/>
  <c r="D37" i="15"/>
  <c r="D37" i="18"/>
  <c r="D37" i="20"/>
  <c r="Y39" i="97"/>
  <c r="B34" i="26"/>
  <c r="W36" i="15"/>
  <c r="W36" i="18" s="1"/>
  <c r="W36" i="20" s="1"/>
  <c r="K14" i="27" s="1"/>
  <c r="R15" i="32" s="1"/>
  <c r="J19" i="97" s="1"/>
  <c r="J2" i="14"/>
  <c r="J35" i="14"/>
  <c r="G20" i="26"/>
  <c r="G19" i="29" s="1"/>
  <c r="AD25" i="97"/>
  <c r="AC37" i="97"/>
  <c r="F32" i="26"/>
  <c r="F31" i="29" s="1"/>
  <c r="I19" i="25"/>
  <c r="Z38" i="97"/>
  <c r="C33" i="26"/>
  <c r="C32" i="29" s="1"/>
  <c r="I31" i="25"/>
  <c r="V4" i="22"/>
  <c r="J24" i="27" s="1"/>
  <c r="Q25" i="32" s="1"/>
  <c r="I29" i="97" s="1"/>
  <c r="T3" i="18" l="1"/>
  <c r="T3" i="20" s="1"/>
  <c r="U3" i="18"/>
  <c r="F56" i="22"/>
  <c r="F31" i="25" s="1"/>
  <c r="F5" i="22"/>
  <c r="J55" i="22"/>
  <c r="J4" i="22"/>
  <c r="C57" i="22"/>
  <c r="C6" i="22"/>
  <c r="E56" i="22"/>
  <c r="E5" i="22"/>
  <c r="I55" i="22"/>
  <c r="I4" i="22"/>
  <c r="E36" i="18"/>
  <c r="E36" i="15"/>
  <c r="E36" i="20"/>
  <c r="K29" i="25"/>
  <c r="X2" i="22"/>
  <c r="L22" i="27" s="1"/>
  <c r="S23" i="32" s="1"/>
  <c r="K27" i="97" s="1"/>
  <c r="H19" i="25"/>
  <c r="B33" i="29"/>
  <c r="L34" i="26"/>
  <c r="G19" i="25"/>
  <c r="Z8" i="97"/>
  <c r="C3" i="26"/>
  <c r="H43" i="22"/>
  <c r="H30" i="22" s="1"/>
  <c r="H17" i="22" s="1"/>
  <c r="I35" i="20"/>
  <c r="I35" i="15"/>
  <c r="I35" i="18"/>
  <c r="B33" i="25"/>
  <c r="O6" i="22"/>
  <c r="C26" i="27" s="1"/>
  <c r="J27" i="32" s="1"/>
  <c r="B31" i="97" s="1"/>
  <c r="K34" i="15"/>
  <c r="X34" i="15" s="1"/>
  <c r="K34" i="20"/>
  <c r="K34" i="18"/>
  <c r="K30" i="26"/>
  <c r="K29" i="29" s="1"/>
  <c r="AH35" i="97"/>
  <c r="B21" i="25"/>
  <c r="T36" i="18"/>
  <c r="T36" i="20" s="1"/>
  <c r="H14" i="27" s="1"/>
  <c r="O15" i="32" s="1"/>
  <c r="G19" i="97" s="1"/>
  <c r="G43" i="22"/>
  <c r="G30" i="22" s="1"/>
  <c r="G17" i="22" s="1"/>
  <c r="U36" i="15"/>
  <c r="U36" i="18" s="1"/>
  <c r="U36" i="20" s="1"/>
  <c r="I14" i="27" s="1"/>
  <c r="P15" i="32" s="1"/>
  <c r="H19" i="97" s="1"/>
  <c r="H2" i="14"/>
  <c r="H35" i="14"/>
  <c r="I2" i="18"/>
  <c r="I2" i="20"/>
  <c r="I2" i="15"/>
  <c r="V2" i="15" s="1"/>
  <c r="B45" i="22"/>
  <c r="B32" i="22" s="1"/>
  <c r="B19" i="22" s="1"/>
  <c r="T36" i="15"/>
  <c r="G2" i="14"/>
  <c r="G35" i="14"/>
  <c r="AG36" i="97"/>
  <c r="J31" i="26"/>
  <c r="J30" i="29" s="1"/>
  <c r="H31" i="25"/>
  <c r="U4" i="22"/>
  <c r="I24" i="27" s="1"/>
  <c r="P25" i="32" s="1"/>
  <c r="H29" i="97" s="1"/>
  <c r="I19" i="26"/>
  <c r="AF24" i="97"/>
  <c r="J19" i="26"/>
  <c r="AG24" i="97"/>
  <c r="B3" i="25"/>
  <c r="O38" i="15"/>
  <c r="O38" i="18" s="1"/>
  <c r="O38" i="20" s="1"/>
  <c r="C16" i="27" s="1"/>
  <c r="J17" i="32" s="1"/>
  <c r="B21" i="97" s="1"/>
  <c r="B4" i="14"/>
  <c r="B37" i="14"/>
  <c r="F36" i="15"/>
  <c r="F36" i="18"/>
  <c r="F36" i="20"/>
  <c r="B3" i="29"/>
  <c r="L4" i="26"/>
  <c r="Q4" i="18"/>
  <c r="Q4" i="20" s="1"/>
  <c r="Q37" i="15"/>
  <c r="Q37" i="18" s="1"/>
  <c r="Q37" i="20" s="1"/>
  <c r="E15" i="27" s="1"/>
  <c r="L16" i="32" s="1"/>
  <c r="D20" i="97" s="1"/>
  <c r="D3" i="14"/>
  <c r="D36" i="14"/>
  <c r="AB25" i="97"/>
  <c r="E20" i="26"/>
  <c r="E19" i="29" s="1"/>
  <c r="F3" i="18"/>
  <c r="F3" i="20"/>
  <c r="F3" i="15"/>
  <c r="S3" i="15" s="1"/>
  <c r="C37" i="15"/>
  <c r="C37" i="18"/>
  <c r="C37" i="20"/>
  <c r="D32" i="25"/>
  <c r="Q5" i="22"/>
  <c r="E25" i="27" s="1"/>
  <c r="L26" i="32" s="1"/>
  <c r="D30" i="97" s="1"/>
  <c r="E3" i="15"/>
  <c r="R3" i="15" s="1"/>
  <c r="E3" i="20"/>
  <c r="E3" i="18"/>
  <c r="D20" i="25"/>
  <c r="D44" i="22"/>
  <c r="D31" i="22" s="1"/>
  <c r="D18" i="22" s="1"/>
  <c r="AF36" i="97"/>
  <c r="I31" i="26"/>
  <c r="I30" i="29" s="1"/>
  <c r="J35" i="20"/>
  <c r="J35" i="15"/>
  <c r="J35" i="18"/>
  <c r="O5" i="18"/>
  <c r="O5" i="20" s="1"/>
  <c r="C4" i="18"/>
  <c r="C4" i="15"/>
  <c r="P4" i="15" s="1"/>
  <c r="C4" i="20"/>
  <c r="F20" i="26"/>
  <c r="F19" i="29" s="1"/>
  <c r="AC25" i="97"/>
  <c r="J2" i="20"/>
  <c r="J2" i="15"/>
  <c r="W2" i="15" s="1"/>
  <c r="J2" i="18"/>
  <c r="AB37" i="97"/>
  <c r="E32" i="26"/>
  <c r="E31" i="29" s="1"/>
  <c r="B21" i="29"/>
  <c r="L22" i="26"/>
  <c r="U3" i="20"/>
  <c r="D2" i="29"/>
  <c r="Z26" i="97"/>
  <c r="C21" i="26"/>
  <c r="C20" i="29" s="1"/>
  <c r="G31" i="25"/>
  <c r="T4" i="22"/>
  <c r="H24" i="27" s="1"/>
  <c r="O25" i="32" s="1"/>
  <c r="G29" i="97" s="1"/>
  <c r="W2" i="18" l="1"/>
  <c r="R3" i="18"/>
  <c r="R3" i="20" s="1"/>
  <c r="V2" i="18"/>
  <c r="X34" i="18"/>
  <c r="S4" i="22"/>
  <c r="G24" i="27" s="1"/>
  <c r="N25" i="32" s="1"/>
  <c r="F29" i="97" s="1"/>
  <c r="D56" i="22"/>
  <c r="D5" i="22"/>
  <c r="H55" i="22"/>
  <c r="H4" i="22"/>
  <c r="B57" i="22"/>
  <c r="B6" i="22"/>
  <c r="G55" i="22"/>
  <c r="G4" i="22"/>
  <c r="B4" i="20"/>
  <c r="B4" i="18"/>
  <c r="B4" i="15"/>
  <c r="O4" i="15" s="1"/>
  <c r="H35" i="20"/>
  <c r="H35" i="18"/>
  <c r="H35" i="15"/>
  <c r="Y38" i="97"/>
  <c r="B33" i="26"/>
  <c r="H19" i="26"/>
  <c r="AE24" i="97"/>
  <c r="D20" i="26"/>
  <c r="D19" i="29" s="1"/>
  <c r="AA25" i="97"/>
  <c r="B37" i="15"/>
  <c r="B37" i="18"/>
  <c r="B37" i="20"/>
  <c r="I18" i="29"/>
  <c r="AE36" i="97"/>
  <c r="H31" i="26"/>
  <c r="H30" i="29" s="1"/>
  <c r="H2" i="18"/>
  <c r="H2" i="15"/>
  <c r="U2" i="15" s="1"/>
  <c r="H2" i="20"/>
  <c r="B21" i="26"/>
  <c r="Y26" i="97"/>
  <c r="C2" i="29"/>
  <c r="I30" i="25"/>
  <c r="V3" i="22"/>
  <c r="J23" i="27" s="1"/>
  <c r="Q24" i="32" s="1"/>
  <c r="I28" i="97" s="1"/>
  <c r="W2" i="20"/>
  <c r="S3" i="18"/>
  <c r="S3" i="20" s="1"/>
  <c r="V35" i="15"/>
  <c r="V35" i="18" s="1"/>
  <c r="V35" i="20" s="1"/>
  <c r="I34" i="14"/>
  <c r="F31" i="26"/>
  <c r="F30" i="29" s="1"/>
  <c r="AC36" i="97"/>
  <c r="E31" i="25"/>
  <c r="R4" i="22"/>
  <c r="F24" i="27" s="1"/>
  <c r="M25" i="32" s="1"/>
  <c r="E29" i="97" s="1"/>
  <c r="AA37" i="97"/>
  <c r="D32" i="26"/>
  <c r="D31" i="29" s="1"/>
  <c r="F19" i="25"/>
  <c r="AD24" i="97"/>
  <c r="G19" i="26"/>
  <c r="AH34" i="97"/>
  <c r="K29" i="26"/>
  <c r="W35" i="15"/>
  <c r="W35" i="18" s="1"/>
  <c r="W35" i="20" s="1"/>
  <c r="J34" i="14"/>
  <c r="C20" i="25"/>
  <c r="D36" i="18"/>
  <c r="D36" i="15"/>
  <c r="D36" i="20"/>
  <c r="F43" i="22"/>
  <c r="F30" i="22" s="1"/>
  <c r="F17" i="22" s="1"/>
  <c r="J18" i="29"/>
  <c r="G35" i="20"/>
  <c r="G35" i="15"/>
  <c r="G35" i="18"/>
  <c r="X34" i="20"/>
  <c r="E19" i="25"/>
  <c r="C32" i="25"/>
  <c r="P5" i="22"/>
  <c r="D25" i="27" s="1"/>
  <c r="K26" i="32" s="1"/>
  <c r="C30" i="97" s="1"/>
  <c r="N9" i="25"/>
  <c r="O9" i="25"/>
  <c r="Y8" i="97"/>
  <c r="B3" i="26"/>
  <c r="I54" i="22"/>
  <c r="AD36" i="97"/>
  <c r="G31" i="26"/>
  <c r="G30" i="29" s="1"/>
  <c r="P4" i="18"/>
  <c r="P4" i="20" s="1"/>
  <c r="J54" i="22"/>
  <c r="C44" i="22"/>
  <c r="C31" i="22" s="1"/>
  <c r="C18" i="22" s="1"/>
  <c r="C56" i="22" s="1"/>
  <c r="D3" i="20"/>
  <c r="D3" i="15"/>
  <c r="Q3" i="15" s="1"/>
  <c r="D3" i="18"/>
  <c r="S36" i="15"/>
  <c r="S36" i="18" s="1"/>
  <c r="S36" i="20" s="1"/>
  <c r="G14" i="27" s="1"/>
  <c r="N15" i="32" s="1"/>
  <c r="F19" i="97" s="1"/>
  <c r="F2" i="14"/>
  <c r="F35" i="14"/>
  <c r="G2" i="20"/>
  <c r="G2" i="15"/>
  <c r="T2" i="15" s="1"/>
  <c r="G2" i="18"/>
  <c r="V2" i="20"/>
  <c r="R36" i="15"/>
  <c r="R36" i="18" s="1"/>
  <c r="R36" i="20" s="1"/>
  <c r="F14" i="27" s="1"/>
  <c r="M15" i="32" s="1"/>
  <c r="E19" i="97" s="1"/>
  <c r="E2" i="14"/>
  <c r="E35" i="14"/>
  <c r="P37" i="15"/>
  <c r="P37" i="18" s="1"/>
  <c r="P37" i="20" s="1"/>
  <c r="D15" i="27" s="1"/>
  <c r="K16" i="32" s="1"/>
  <c r="C20" i="97" s="1"/>
  <c r="C3" i="14"/>
  <c r="C36" i="14"/>
  <c r="E43" i="22"/>
  <c r="E30" i="22" s="1"/>
  <c r="E17" i="22" s="1"/>
  <c r="J30" i="25"/>
  <c r="W3" i="22"/>
  <c r="K23" i="27" s="1"/>
  <c r="R24" i="32" s="1"/>
  <c r="J28" i="97" s="1"/>
  <c r="Q3" i="18" l="1"/>
  <c r="Q3" i="20" s="1"/>
  <c r="T2" i="18"/>
  <c r="T2" i="20" s="1"/>
  <c r="E55" i="22"/>
  <c r="E4" i="22"/>
  <c r="F55" i="22"/>
  <c r="F4" i="22"/>
  <c r="C36" i="18"/>
  <c r="C36" i="15"/>
  <c r="C36" i="20"/>
  <c r="P9" i="25"/>
  <c r="G54" i="22"/>
  <c r="D19" i="25"/>
  <c r="B20" i="29"/>
  <c r="L21" i="26"/>
  <c r="B32" i="29"/>
  <c r="L33" i="26"/>
  <c r="Q36" i="15"/>
  <c r="Q36" i="18" s="1"/>
  <c r="Q36" i="20" s="1"/>
  <c r="E14" i="27" s="1"/>
  <c r="L15" i="32" s="1"/>
  <c r="D19" i="97" s="1"/>
  <c r="D2" i="14"/>
  <c r="D35" i="14"/>
  <c r="G18" i="29"/>
  <c r="B20" i="25"/>
  <c r="G30" i="25"/>
  <c r="T3" i="22"/>
  <c r="H23" i="27" s="1"/>
  <c r="O24" i="32" s="1"/>
  <c r="G28" i="97" s="1"/>
  <c r="C3" i="18"/>
  <c r="C3" i="20"/>
  <c r="C3" i="15"/>
  <c r="P3" i="15" s="1"/>
  <c r="J30" i="26"/>
  <c r="J29" i="29" s="1"/>
  <c r="AG35" i="97"/>
  <c r="F35" i="20"/>
  <c r="F35" i="18"/>
  <c r="F35" i="15"/>
  <c r="Z37" i="97"/>
  <c r="C32" i="26"/>
  <c r="C31" i="29" s="1"/>
  <c r="D43" i="22"/>
  <c r="D30" i="22" s="1"/>
  <c r="D17" i="22" s="1"/>
  <c r="AB36" i="97"/>
  <c r="E31" i="26"/>
  <c r="E30" i="29" s="1"/>
  <c r="B44" i="22"/>
  <c r="B31" i="22" s="1"/>
  <c r="B18" i="22" s="1"/>
  <c r="U35" i="15"/>
  <c r="U35" i="18" s="1"/>
  <c r="U35" i="20" s="1"/>
  <c r="H34" i="14"/>
  <c r="C31" i="25"/>
  <c r="P4" i="22"/>
  <c r="D24" i="27" s="1"/>
  <c r="K25" i="32" s="1"/>
  <c r="C29" i="97" s="1"/>
  <c r="E35" i="20"/>
  <c r="E35" i="15"/>
  <c r="E35" i="18"/>
  <c r="F2" i="20"/>
  <c r="F2" i="18"/>
  <c r="F2" i="15"/>
  <c r="S2" i="15" s="1"/>
  <c r="C5" i="22"/>
  <c r="I29" i="25"/>
  <c r="V2" i="22"/>
  <c r="J22" i="27" s="1"/>
  <c r="Q23" i="32" s="1"/>
  <c r="I27" i="97" s="1"/>
  <c r="I30" i="26"/>
  <c r="I29" i="29" s="1"/>
  <c r="AF35" i="97"/>
  <c r="U2" i="18"/>
  <c r="U2" i="20" s="1"/>
  <c r="O37" i="15"/>
  <c r="O37" i="18" s="1"/>
  <c r="O37" i="20" s="1"/>
  <c r="C15" i="27" s="1"/>
  <c r="J16" i="32" s="1"/>
  <c r="B20" i="97" s="1"/>
  <c r="B3" i="14"/>
  <c r="B36" i="14"/>
  <c r="B32" i="25"/>
  <c r="O5" i="22"/>
  <c r="C25" i="27" s="1"/>
  <c r="J26" i="32" s="1"/>
  <c r="B30" i="97" s="1"/>
  <c r="E19" i="26"/>
  <c r="AB24" i="97"/>
  <c r="C20" i="26"/>
  <c r="C19" i="29" s="1"/>
  <c r="Z25" i="97"/>
  <c r="F19" i="26"/>
  <c r="AC24" i="97"/>
  <c r="H54" i="22"/>
  <c r="E2" i="20"/>
  <c r="E2" i="18"/>
  <c r="E2" i="15"/>
  <c r="R2" i="15" s="1"/>
  <c r="J29" i="25"/>
  <c r="W2" i="22"/>
  <c r="K22" i="27" s="1"/>
  <c r="R23" i="32" s="1"/>
  <c r="J27" i="97" s="1"/>
  <c r="D43" i="26"/>
  <c r="B2" i="29"/>
  <c r="L3" i="26"/>
  <c r="J34" i="15"/>
  <c r="W34" i="15" s="1"/>
  <c r="J34" i="18"/>
  <c r="J34" i="20"/>
  <c r="I34" i="15"/>
  <c r="V34" i="15" s="1"/>
  <c r="I34" i="20"/>
  <c r="I34" i="18"/>
  <c r="H30" i="25"/>
  <c r="U3" i="22"/>
  <c r="I23" i="27" s="1"/>
  <c r="P24" i="32" s="1"/>
  <c r="H28" i="97" s="1"/>
  <c r="O4" i="18"/>
  <c r="O4" i="20" s="1"/>
  <c r="T35" i="15"/>
  <c r="T35" i="18" s="1"/>
  <c r="T35" i="20" s="1"/>
  <c r="G34" i="14"/>
  <c r="K28" i="29"/>
  <c r="K39" i="26"/>
  <c r="H18" i="29"/>
  <c r="D31" i="25"/>
  <c r="Q4" i="22"/>
  <c r="E24" i="27" s="1"/>
  <c r="L25" i="32" s="1"/>
  <c r="D29" i="97" s="1"/>
  <c r="V34" i="18" l="1"/>
  <c r="V34" i="20" s="1"/>
  <c r="P3" i="18"/>
  <c r="P3" i="20" s="1"/>
  <c r="B56" i="22"/>
  <c r="B5" i="22"/>
  <c r="D55" i="22"/>
  <c r="D4" i="22"/>
  <c r="F54" i="22"/>
  <c r="B20" i="26"/>
  <c r="Y25" i="97"/>
  <c r="K41" i="29"/>
  <c r="K39" i="29"/>
  <c r="K40" i="29" s="1"/>
  <c r="E18" i="29"/>
  <c r="G34" i="15"/>
  <c r="T34" i="15" s="1"/>
  <c r="G34" i="20"/>
  <c r="G34" i="18"/>
  <c r="H29" i="25"/>
  <c r="U2" i="22"/>
  <c r="I22" i="27" s="1"/>
  <c r="P23" i="32" s="1"/>
  <c r="H27" i="97" s="1"/>
  <c r="Y37" i="97"/>
  <c r="B32" i="26"/>
  <c r="R35" i="15"/>
  <c r="R35" i="18" s="1"/>
  <c r="R35" i="20" s="1"/>
  <c r="E34" i="14"/>
  <c r="C19" i="25"/>
  <c r="E54" i="22"/>
  <c r="P36" i="15"/>
  <c r="C2" i="14"/>
  <c r="C35" i="14"/>
  <c r="D31" i="26"/>
  <c r="D30" i="29" s="1"/>
  <c r="AA36" i="97"/>
  <c r="W34" i="18"/>
  <c r="W34" i="20" s="1"/>
  <c r="F18" i="29"/>
  <c r="B36" i="15"/>
  <c r="B36" i="18"/>
  <c r="B36" i="20"/>
  <c r="I29" i="26"/>
  <c r="AF34" i="97"/>
  <c r="P36" i="18"/>
  <c r="P36" i="20" s="1"/>
  <c r="D14" i="27" s="1"/>
  <c r="K15" i="32" s="1"/>
  <c r="C19" i="97" s="1"/>
  <c r="C43" i="22"/>
  <c r="C30" i="22" s="1"/>
  <c r="C17" i="22" s="1"/>
  <c r="J29" i="26"/>
  <c r="AG34" i="97"/>
  <c r="Z36" i="97"/>
  <c r="C31" i="26"/>
  <c r="C30" i="29" s="1"/>
  <c r="H34" i="18"/>
  <c r="H34" i="15"/>
  <c r="U34" i="15" s="1"/>
  <c r="H34" i="20"/>
  <c r="S35" i="15"/>
  <c r="S35" i="18" s="1"/>
  <c r="S35" i="20" s="1"/>
  <c r="F34" i="14"/>
  <c r="D2" i="20"/>
  <c r="D2" i="15"/>
  <c r="Q2" i="15" s="1"/>
  <c r="D2" i="18"/>
  <c r="G29" i="25"/>
  <c r="T2" i="22"/>
  <c r="H22" i="27" s="1"/>
  <c r="O23" i="32" s="1"/>
  <c r="G27" i="97" s="1"/>
  <c r="F30" i="25"/>
  <c r="S3" i="22"/>
  <c r="G23" i="27" s="1"/>
  <c r="N24" i="32" s="1"/>
  <c r="F28" i="97" s="1"/>
  <c r="B3" i="15"/>
  <c r="O3" i="15" s="1"/>
  <c r="B3" i="20"/>
  <c r="B3" i="18"/>
  <c r="D35" i="20"/>
  <c r="D35" i="15"/>
  <c r="D35" i="18"/>
  <c r="D19" i="26"/>
  <c r="AA24" i="97"/>
  <c r="H30" i="26"/>
  <c r="H29" i="29" s="1"/>
  <c r="AE35" i="97"/>
  <c r="R2" i="18"/>
  <c r="R2" i="20" s="1"/>
  <c r="S2" i="18"/>
  <c r="S2" i="20" s="1"/>
  <c r="G30" i="26"/>
  <c r="G29" i="29" s="1"/>
  <c r="AD35" i="97"/>
  <c r="E30" i="25"/>
  <c r="R3" i="22"/>
  <c r="F23" i="27" s="1"/>
  <c r="M24" i="32" s="1"/>
  <c r="E28" i="97" s="1"/>
  <c r="T34" i="18" l="1"/>
  <c r="T34" i="20" s="1"/>
  <c r="Q2" i="18"/>
  <c r="Q2" i="20" s="1"/>
  <c r="C55" i="22"/>
  <c r="C4" i="22"/>
  <c r="AB35" i="97"/>
  <c r="E30" i="26"/>
  <c r="E29" i="29" s="1"/>
  <c r="J28" i="29"/>
  <c r="J39" i="26"/>
  <c r="C19" i="26"/>
  <c r="Z24" i="97"/>
  <c r="AE34" i="97"/>
  <c r="H29" i="26"/>
  <c r="F29" i="25"/>
  <c r="S2" i="22"/>
  <c r="G22" i="27" s="1"/>
  <c r="N23" i="32" s="1"/>
  <c r="F27" i="97" s="1"/>
  <c r="B19" i="25"/>
  <c r="E34" i="20"/>
  <c r="E34" i="18"/>
  <c r="E34" i="15"/>
  <c r="R34" i="15" s="1"/>
  <c r="K42" i="29"/>
  <c r="K44" i="29"/>
  <c r="K43" i="29"/>
  <c r="D18" i="29"/>
  <c r="F30" i="26"/>
  <c r="F29" i="29" s="1"/>
  <c r="AC35" i="97"/>
  <c r="B43" i="22"/>
  <c r="B30" i="22" s="1"/>
  <c r="B17" i="22" s="1"/>
  <c r="C35" i="20"/>
  <c r="C35" i="18"/>
  <c r="C35" i="15"/>
  <c r="O36" i="15"/>
  <c r="O36" i="18" s="1"/>
  <c r="O36" i="20" s="1"/>
  <c r="C14" i="27" s="1"/>
  <c r="J15" i="32" s="1"/>
  <c r="B19" i="97" s="1"/>
  <c r="B2" i="14"/>
  <c r="B35" i="14"/>
  <c r="C2" i="18"/>
  <c r="C2" i="20"/>
  <c r="C2" i="15"/>
  <c r="P2" i="15" s="1"/>
  <c r="B31" i="29"/>
  <c r="L32" i="26"/>
  <c r="B19" i="29"/>
  <c r="L20" i="26"/>
  <c r="F34" i="20"/>
  <c r="F34" i="15"/>
  <c r="S34" i="15" s="1"/>
  <c r="F34" i="18"/>
  <c r="I28" i="29"/>
  <c r="I39" i="26"/>
  <c r="Q35" i="15"/>
  <c r="Q35" i="18" s="1"/>
  <c r="Q35" i="20" s="1"/>
  <c r="D34" i="14"/>
  <c r="AD34" i="97"/>
  <c r="G29" i="26"/>
  <c r="U34" i="18"/>
  <c r="U34" i="20" s="1"/>
  <c r="D30" i="25"/>
  <c r="Q3" i="22"/>
  <c r="E23" i="27" s="1"/>
  <c r="L24" i="32" s="1"/>
  <c r="D28" i="97" s="1"/>
  <c r="D54" i="22"/>
  <c r="E29" i="25"/>
  <c r="R2" i="22"/>
  <c r="F22" i="27" s="1"/>
  <c r="M23" i="32" s="1"/>
  <c r="E27" i="97" s="1"/>
  <c r="O3" i="18"/>
  <c r="O3" i="20" s="1"/>
  <c r="B31" i="25"/>
  <c r="O4" i="22"/>
  <c r="C24" i="27" s="1"/>
  <c r="J25" i="32" s="1"/>
  <c r="B29" i="97" s="1"/>
  <c r="S34" i="18" l="1"/>
  <c r="B55" i="22"/>
  <c r="B4" i="22"/>
  <c r="R34" i="18"/>
  <c r="R34" i="20" s="1"/>
  <c r="AA35" i="97"/>
  <c r="D30" i="26"/>
  <c r="D29" i="29" s="1"/>
  <c r="C30" i="25"/>
  <c r="P3" i="22"/>
  <c r="D23" i="27" s="1"/>
  <c r="K24" i="32" s="1"/>
  <c r="C28" i="97" s="1"/>
  <c r="B31" i="26"/>
  <c r="Y36" i="97"/>
  <c r="G28" i="29"/>
  <c r="G39" i="26"/>
  <c r="S34" i="20"/>
  <c r="P2" i="18"/>
  <c r="P2" i="20" s="1"/>
  <c r="C54" i="22"/>
  <c r="C18" i="29"/>
  <c r="P35" i="15"/>
  <c r="P35" i="18" s="1"/>
  <c r="P35" i="20" s="1"/>
  <c r="C34" i="14"/>
  <c r="B35" i="20"/>
  <c r="B35" i="15"/>
  <c r="B35" i="18"/>
  <c r="E29" i="26"/>
  <c r="AB34" i="97"/>
  <c r="D34" i="20"/>
  <c r="D34" i="15"/>
  <c r="Q34" i="15" s="1"/>
  <c r="D34" i="18"/>
  <c r="B2" i="18"/>
  <c r="B2" i="15"/>
  <c r="O2" i="15" s="1"/>
  <c r="B2" i="20"/>
  <c r="B19" i="26"/>
  <c r="N10" i="25"/>
  <c r="O10" i="25"/>
  <c r="Y24" i="97"/>
  <c r="J39" i="29"/>
  <c r="J40" i="29" s="1"/>
  <c r="J41" i="29"/>
  <c r="F29" i="26"/>
  <c r="AC34" i="97"/>
  <c r="D29" i="25"/>
  <c r="Q2" i="22"/>
  <c r="E22" i="27" s="1"/>
  <c r="L23" i="32" s="1"/>
  <c r="D27" i="97" s="1"/>
  <c r="I39" i="29"/>
  <c r="I40" i="29" s="1"/>
  <c r="I41" i="29"/>
  <c r="H28" i="29"/>
  <c r="H39" i="26"/>
  <c r="O2" i="18" l="1"/>
  <c r="O2" i="20" s="1"/>
  <c r="O35" i="15"/>
  <c r="O35" i="18" s="1"/>
  <c r="O35" i="20" s="1"/>
  <c r="B34" i="14"/>
  <c r="Z35" i="97"/>
  <c r="C30" i="26"/>
  <c r="C29" i="29" s="1"/>
  <c r="B54" i="22"/>
  <c r="H41" i="29"/>
  <c r="H39" i="29"/>
  <c r="H40" i="29" s="1"/>
  <c r="Q34" i="18"/>
  <c r="Q34" i="20" s="1"/>
  <c r="C34" i="20"/>
  <c r="C34" i="15"/>
  <c r="P34" i="15" s="1"/>
  <c r="C34" i="18"/>
  <c r="P34" i="18" s="1"/>
  <c r="J44" i="29"/>
  <c r="J43" i="29"/>
  <c r="J42" i="29"/>
  <c r="I42" i="29"/>
  <c r="I43" i="29"/>
  <c r="I44" i="29"/>
  <c r="F28" i="29"/>
  <c r="F39" i="26"/>
  <c r="G41" i="29"/>
  <c r="G39" i="29"/>
  <c r="G40" i="29" s="1"/>
  <c r="P10" i="25"/>
  <c r="D29" i="26"/>
  <c r="AA34" i="97"/>
  <c r="D44" i="26"/>
  <c r="B18" i="29"/>
  <c r="L19" i="26"/>
  <c r="E28" i="29"/>
  <c r="E39" i="26"/>
  <c r="B30" i="29"/>
  <c r="L31" i="26"/>
  <c r="C29" i="25"/>
  <c r="P2" i="22"/>
  <c r="D22" i="27" s="1"/>
  <c r="K23" i="32" s="1"/>
  <c r="C27" i="97" s="1"/>
  <c r="B30" i="25"/>
  <c r="O3" i="22"/>
  <c r="C23" i="27" s="1"/>
  <c r="J24" i="32" s="1"/>
  <c r="B28" i="97" s="1"/>
  <c r="C29" i="26" l="1"/>
  <c r="Z34" i="97"/>
  <c r="H44" i="29"/>
  <c r="H43" i="29"/>
  <c r="H42" i="29"/>
  <c r="G42" i="29"/>
  <c r="G43" i="29"/>
  <c r="G44" i="29"/>
  <c r="B29" i="25"/>
  <c r="O2" i="22"/>
  <c r="C22" i="27" s="1"/>
  <c r="J23" i="32" s="1"/>
  <c r="B27" i="97" s="1"/>
  <c r="Y35" i="97"/>
  <c r="B30" i="26"/>
  <c r="E39" i="29"/>
  <c r="E40" i="29" s="1"/>
  <c r="E41" i="29"/>
  <c r="D28" i="29"/>
  <c r="D39" i="26"/>
  <c r="F41" i="29"/>
  <c r="F39" i="29"/>
  <c r="F40" i="29" s="1"/>
  <c r="P34" i="20"/>
  <c r="B34" i="15"/>
  <c r="O34" i="15" s="1"/>
  <c r="B34" i="20"/>
  <c r="B34" i="18"/>
  <c r="O34" i="18" s="1"/>
  <c r="O34" i="20" l="1"/>
  <c r="C28" i="29"/>
  <c r="C39" i="26"/>
  <c r="B29" i="29"/>
  <c r="L30" i="26"/>
  <c r="F44" i="29"/>
  <c r="F43" i="29"/>
  <c r="F42" i="29"/>
  <c r="E43" i="29"/>
  <c r="E44" i="29"/>
  <c r="E42" i="29"/>
  <c r="D41" i="29"/>
  <c r="D39" i="29"/>
  <c r="D40" i="29" s="1"/>
  <c r="O11" i="25"/>
  <c r="O12" i="25" s="1"/>
  <c r="N11" i="25"/>
  <c r="B29" i="26"/>
  <c r="Y34" i="97"/>
  <c r="P4" i="25"/>
  <c r="P5" i="25"/>
  <c r="O3" i="25"/>
  <c r="P3" i="25"/>
  <c r="O4" i="25"/>
  <c r="O5" i="25"/>
  <c r="N4" i="25"/>
  <c r="R14" i="29" s="1"/>
  <c r="N3" i="25"/>
  <c r="N5" i="25" l="1"/>
  <c r="Q3" i="25" s="1"/>
  <c r="P14" i="29"/>
  <c r="D45" i="26"/>
  <c r="B28" i="29"/>
  <c r="L29" i="26"/>
  <c r="L39" i="26" s="1"/>
  <c r="L44" i="26"/>
  <c r="R13" i="29" s="1"/>
  <c r="L43" i="26"/>
  <c r="B39" i="26"/>
  <c r="C39" i="29"/>
  <c r="C40" i="29" s="1"/>
  <c r="C41" i="29"/>
  <c r="P11" i="25"/>
  <c r="P12" i="25" s="1"/>
  <c r="N12" i="25"/>
  <c r="D42" i="29"/>
  <c r="D44" i="29"/>
  <c r="D43" i="29"/>
  <c r="B39" i="29" l="1"/>
  <c r="B40" i="29" s="1"/>
  <c r="B41" i="29"/>
  <c r="O5" i="29"/>
  <c r="O4" i="29"/>
  <c r="L45" i="26"/>
  <c r="P13" i="29"/>
  <c r="N13" i="29" s="1"/>
  <c r="J43" i="26"/>
  <c r="H46" i="26"/>
  <c r="Q4" i="25"/>
  <c r="Q5" i="25" s="1"/>
  <c r="C44" i="29"/>
  <c r="C42" i="29"/>
  <c r="C43" i="29"/>
  <c r="P15" i="29" l="1"/>
  <c r="R15" i="29"/>
  <c r="F20" i="32"/>
  <c r="E20" i="32"/>
  <c r="Q4" i="29"/>
  <c r="R4" i="29" s="1"/>
  <c r="P4" i="29"/>
  <c r="O6" i="29"/>
  <c r="B20" i="32"/>
  <c r="O7" i="29"/>
  <c r="C20" i="32"/>
  <c r="Q5" i="29"/>
  <c r="R5" i="29" s="1"/>
  <c r="P5" i="29"/>
  <c r="B43" i="29"/>
  <c r="L43" i="29" s="1"/>
  <c r="B44" i="29"/>
  <c r="B42" i="29"/>
  <c r="C21" i="32"/>
  <c r="B32" i="27"/>
  <c r="B33" i="27"/>
  <c r="H47" i="26"/>
  <c r="G21" i="32" l="1"/>
  <c r="Q6" i="29"/>
  <c r="R6" i="29" s="1"/>
  <c r="P6" i="29"/>
  <c r="K2" i="35"/>
  <c r="E21" i="32"/>
  <c r="L44" i="29"/>
  <c r="C47" i="29"/>
  <c r="C48" i="29" s="1"/>
  <c r="A38" i="97"/>
  <c r="I34" i="32"/>
  <c r="E2" i="35"/>
  <c r="M3" i="97"/>
  <c r="R16" i="29"/>
  <c r="P7" i="29"/>
  <c r="A37" i="97"/>
  <c r="I33" i="32"/>
  <c r="C2" i="35"/>
  <c r="E3" i="97"/>
  <c r="P16" i="29"/>
  <c r="S15" i="29"/>
  <c r="B36" i="35" l="1"/>
  <c r="B21" i="35"/>
  <c r="B5" i="35"/>
  <c r="G2" i="35"/>
  <c r="R3" i="97"/>
  <c r="J36" i="35"/>
  <c r="J21" i="35"/>
  <c r="J5" i="35"/>
  <c r="S16" i="29"/>
  <c r="D5" i="35"/>
  <c r="D36" i="35"/>
  <c r="D21" i="35"/>
  <c r="F5" i="35" l="1"/>
  <c r="S8" i="35" s="1"/>
  <c r="F21" i="35"/>
  <c r="AB3" i="97"/>
  <c r="F36" i="35"/>
  <c r="F40" i="35"/>
  <c r="G40" i="35" s="1"/>
  <c r="F39" i="35"/>
  <c r="B8" i="35"/>
  <c r="T8" i="35"/>
  <c r="D8" i="35"/>
  <c r="W8" i="35" s="1"/>
  <c r="D25" i="35"/>
  <c r="F47" i="35"/>
  <c r="G47" i="35" s="1"/>
  <c r="H47" i="35" s="1"/>
  <c r="I47" i="35" s="1"/>
  <c r="J47" i="35" s="1"/>
  <c r="K47" i="35" s="1"/>
  <c r="L47" i="35" s="1"/>
  <c r="M47" i="35" s="1"/>
  <c r="N47" i="35" s="1"/>
  <c r="F44" i="35"/>
  <c r="G44" i="35" s="1"/>
  <c r="H44" i="35" s="1"/>
  <c r="I44" i="35" s="1"/>
  <c r="J44" i="35" s="1"/>
  <c r="K44" i="35" s="1"/>
  <c r="F43" i="35"/>
  <c r="G43" i="35" s="1"/>
  <c r="H43" i="35" s="1"/>
  <c r="I43" i="35" s="1"/>
  <c r="J43" i="35" s="1"/>
  <c r="F42" i="35"/>
  <c r="G42" i="35" s="1"/>
  <c r="H42" i="35" s="1"/>
  <c r="I42" i="35" s="1"/>
  <c r="F46" i="35"/>
  <c r="G46" i="35" s="1"/>
  <c r="H46" i="35" s="1"/>
  <c r="I46" i="35" s="1"/>
  <c r="J46" i="35" s="1"/>
  <c r="K46" i="35" s="1"/>
  <c r="L46" i="35" s="1"/>
  <c r="M46" i="35" s="1"/>
  <c r="F45" i="35"/>
  <c r="G45" i="35" s="1"/>
  <c r="H45" i="35" s="1"/>
  <c r="I45" i="35" s="1"/>
  <c r="J45" i="35" s="1"/>
  <c r="K45" i="35" s="1"/>
  <c r="L45" i="35" s="1"/>
  <c r="F48" i="35"/>
  <c r="G48" i="35" s="1"/>
  <c r="H48" i="35" s="1"/>
  <c r="I48" i="35" s="1"/>
  <c r="J48" i="35" s="1"/>
  <c r="K48" i="35" s="1"/>
  <c r="L48" i="35" s="1"/>
  <c r="M48" i="35" s="1"/>
  <c r="N48" i="35" s="1"/>
  <c r="O48" i="35" s="1"/>
  <c r="F41" i="35"/>
  <c r="G41" i="35" s="1"/>
  <c r="H41" i="35" s="1"/>
  <c r="U8" i="35" l="1"/>
  <c r="V8" i="35" s="1"/>
  <c r="C28" i="35"/>
  <c r="B13" i="35"/>
  <c r="D13" i="35"/>
  <c r="D39" i="35"/>
  <c r="C39" i="35" s="1"/>
  <c r="C31" i="35"/>
  <c r="D43" i="35"/>
  <c r="C43" i="35" s="1"/>
  <c r="D44" i="35"/>
  <c r="C44" i="35" s="1"/>
  <c r="D14" i="35"/>
  <c r="D47" i="35"/>
  <c r="C47" i="35" s="1"/>
  <c r="C27" i="35"/>
  <c r="B10" i="35"/>
  <c r="B14" i="35" s="1"/>
  <c r="R8" i="35"/>
  <c r="N8" i="35"/>
  <c r="D40" i="35"/>
  <c r="C40" i="35" s="1"/>
  <c r="D41" i="35"/>
  <c r="C41" i="35" s="1"/>
  <c r="D46" i="35"/>
  <c r="C46" i="35" s="1"/>
  <c r="C24" i="35"/>
  <c r="C26" i="35"/>
  <c r="C32" i="35"/>
  <c r="D48" i="35"/>
  <c r="C48" i="35" s="1"/>
  <c r="B9" i="35"/>
  <c r="D9" i="35"/>
  <c r="B12" i="35"/>
  <c r="D12" i="35"/>
  <c r="D42" i="35"/>
  <c r="C42" i="35" s="1"/>
  <c r="C29" i="35"/>
  <c r="D45" i="35"/>
  <c r="C45" i="35" s="1"/>
  <c r="C25" i="35"/>
  <c r="E25" i="35"/>
  <c r="C33" i="35"/>
  <c r="C30" i="35"/>
  <c r="B11" i="35"/>
  <c r="B15" i="35" s="1"/>
  <c r="D11" i="35"/>
  <c r="D15" i="35" l="1"/>
  <c r="E15" i="35" s="1"/>
  <c r="F15" i="35" s="1"/>
  <c r="G15" i="35" s="1"/>
  <c r="H15" i="35" s="1"/>
  <c r="I15" i="35" s="1"/>
  <c r="J15" i="35" s="1"/>
  <c r="K15" i="35" s="1"/>
  <c r="E2" i="93" s="1"/>
  <c r="D4" i="93" s="1"/>
  <c r="E2" i="80"/>
  <c r="D4" i="80" s="1"/>
  <c r="T9" i="35"/>
  <c r="I2" i="80" s="1"/>
  <c r="H4" i="80" s="1"/>
  <c r="I29" i="35"/>
  <c r="J29" i="35" s="1"/>
  <c r="M33" i="35"/>
  <c r="N33" i="35" s="1"/>
  <c r="B29" i="35"/>
  <c r="C2" i="80"/>
  <c r="N9" i="35"/>
  <c r="B46" i="35"/>
  <c r="S9" i="35"/>
  <c r="E13" i="35"/>
  <c r="C2" i="92"/>
  <c r="C2" i="91"/>
  <c r="F25" i="35"/>
  <c r="W25" i="35" s="1"/>
  <c r="B41" i="35"/>
  <c r="C2" i="87"/>
  <c r="E14" i="35"/>
  <c r="K31" i="35"/>
  <c r="L31" i="35" s="1"/>
  <c r="B28" i="35"/>
  <c r="C2" i="93"/>
  <c r="B25" i="35"/>
  <c r="T25" i="35"/>
  <c r="S25" i="35"/>
  <c r="F26" i="35"/>
  <c r="G26" i="35" s="1"/>
  <c r="E10" i="35"/>
  <c r="B31" i="35"/>
  <c r="H28" i="35"/>
  <c r="I28" i="35" s="1"/>
  <c r="B42" i="35"/>
  <c r="F11" i="35"/>
  <c r="G11" i="35" s="1"/>
  <c r="E2" i="88" s="1"/>
  <c r="D4" i="88" s="1"/>
  <c r="C2" i="88"/>
  <c r="B27" i="35"/>
  <c r="B44" i="35"/>
  <c r="W39" i="35"/>
  <c r="B33" i="35"/>
  <c r="B45" i="35"/>
  <c r="E12" i="35"/>
  <c r="F12" i="35" s="1"/>
  <c r="G12" i="35" s="1"/>
  <c r="H12" i="35" s="1"/>
  <c r="E2" i="90" s="1"/>
  <c r="D4" i="90" s="1"/>
  <c r="B48" i="35"/>
  <c r="B26" i="35"/>
  <c r="C2" i="90"/>
  <c r="B32" i="35"/>
  <c r="W24" i="35"/>
  <c r="G27" i="35"/>
  <c r="H27" i="35" s="1"/>
  <c r="B39" i="35"/>
  <c r="R39" i="35" s="1"/>
  <c r="T39" i="35"/>
  <c r="S39" i="35"/>
  <c r="B30" i="35"/>
  <c r="J30" i="35"/>
  <c r="K30" i="35" s="1"/>
  <c r="L32" i="35"/>
  <c r="M32" i="35" s="1"/>
  <c r="B24" i="35"/>
  <c r="R24" i="35" s="1"/>
  <c r="S24" i="35"/>
  <c r="T24" i="35"/>
  <c r="B40" i="35"/>
  <c r="T40" i="35"/>
  <c r="S40" i="35"/>
  <c r="B47" i="35"/>
  <c r="B43" i="35"/>
  <c r="B16" i="35" l="1"/>
  <c r="C2" i="94" s="1"/>
  <c r="D16" i="35"/>
  <c r="E16" i="35" s="1"/>
  <c r="B17" i="35"/>
  <c r="C2" i="96" s="1"/>
  <c r="D17" i="35"/>
  <c r="E17" i="35" s="1"/>
  <c r="F17" i="35" s="1"/>
  <c r="G17" i="35" s="1"/>
  <c r="H17" i="35" s="1"/>
  <c r="I17" i="35" s="1"/>
  <c r="J17" i="35" s="1"/>
  <c r="K17" i="35" s="1"/>
  <c r="L17" i="35" s="1"/>
  <c r="M17" i="35" s="1"/>
  <c r="E2" i="96" s="1"/>
  <c r="D4" i="96" s="1"/>
  <c r="S43" i="35"/>
  <c r="G2" i="107" s="1"/>
  <c r="F4" i="107" s="1"/>
  <c r="U40" i="35"/>
  <c r="R25" i="35"/>
  <c r="T15" i="35"/>
  <c r="I2" i="93" s="1"/>
  <c r="H4" i="93" s="1"/>
  <c r="T7" i="93" s="1"/>
  <c r="R41" i="35"/>
  <c r="T12" i="35"/>
  <c r="I2" i="90" s="1"/>
  <c r="H4" i="90" s="1"/>
  <c r="T7" i="90" s="1"/>
  <c r="S12" i="35"/>
  <c r="G2" i="90" s="1"/>
  <c r="F4" i="90" s="1"/>
  <c r="W12" i="35"/>
  <c r="P40" i="35"/>
  <c r="S42" i="35"/>
  <c r="G2" i="99" s="1"/>
  <c r="F4" i="99" s="1"/>
  <c r="S47" i="35"/>
  <c r="G2" i="111" s="1"/>
  <c r="F4" i="111" s="1"/>
  <c r="T42" i="35"/>
  <c r="I2" i="99" s="1"/>
  <c r="H4" i="99" s="1"/>
  <c r="U25" i="35"/>
  <c r="V25" i="35" s="1"/>
  <c r="T41" i="35"/>
  <c r="W41" i="35"/>
  <c r="S29" i="35"/>
  <c r="G2" i="102" s="1"/>
  <c r="F4" i="102" s="1"/>
  <c r="T47" i="35"/>
  <c r="I2" i="111" s="1"/>
  <c r="H4" i="111" s="1"/>
  <c r="W29" i="35"/>
  <c r="T28" i="35"/>
  <c r="I2" i="101" s="1"/>
  <c r="H4" i="101" s="1"/>
  <c r="T30" i="35"/>
  <c r="I2" i="103" s="1"/>
  <c r="H4" i="103" s="1"/>
  <c r="R12" i="35"/>
  <c r="T43" i="35"/>
  <c r="I2" i="107" s="1"/>
  <c r="H4" i="107" s="1"/>
  <c r="N12" i="35"/>
  <c r="W11" i="35"/>
  <c r="W46" i="35"/>
  <c r="W42" i="35"/>
  <c r="T11" i="35"/>
  <c r="I2" i="88" s="1"/>
  <c r="H4" i="88" s="1"/>
  <c r="T7" i="88" s="1"/>
  <c r="S44" i="35"/>
  <c r="G2" i="108" s="1"/>
  <c r="F4" i="108" s="1"/>
  <c r="S11" i="35"/>
  <c r="G2" i="88" s="1"/>
  <c r="F4" i="88" s="1"/>
  <c r="W44" i="35"/>
  <c r="N15" i="35"/>
  <c r="S41" i="35"/>
  <c r="S33" i="35"/>
  <c r="G2" i="106" s="1"/>
  <c r="F4" i="106" s="1"/>
  <c r="S48" i="35"/>
  <c r="G2" i="112" s="1"/>
  <c r="F4" i="112" s="1"/>
  <c r="N11" i="35"/>
  <c r="R9" i="35"/>
  <c r="T33" i="35"/>
  <c r="I2" i="106" s="1"/>
  <c r="H4" i="106" s="1"/>
  <c r="R11" i="35"/>
  <c r="W9" i="35"/>
  <c r="P39" i="35"/>
  <c r="C2" i="107"/>
  <c r="R43" i="35"/>
  <c r="U24" i="35"/>
  <c r="V24" i="35" s="1"/>
  <c r="C2" i="103"/>
  <c r="R30" i="35"/>
  <c r="W40" i="35"/>
  <c r="T48" i="35"/>
  <c r="I2" i="112" s="1"/>
  <c r="H4" i="112" s="1"/>
  <c r="W48" i="35"/>
  <c r="E2" i="108"/>
  <c r="D4" i="108" s="1"/>
  <c r="P44" i="35"/>
  <c r="C2" i="101"/>
  <c r="R28" i="35"/>
  <c r="E2" i="89"/>
  <c r="D4" i="89" s="1"/>
  <c r="O26" i="35"/>
  <c r="E2" i="112"/>
  <c r="D4" i="112" s="1"/>
  <c r="P48" i="35"/>
  <c r="T44" i="35"/>
  <c r="I2" i="108" s="1"/>
  <c r="H4" i="108" s="1"/>
  <c r="C2" i="99"/>
  <c r="R42" i="35"/>
  <c r="W31" i="35"/>
  <c r="B4" i="91"/>
  <c r="P41" i="35"/>
  <c r="F13" i="35"/>
  <c r="E2" i="102"/>
  <c r="D4" i="102" s="1"/>
  <c r="O29" i="35"/>
  <c r="W32" i="35"/>
  <c r="U39" i="35"/>
  <c r="V39" i="35" s="1"/>
  <c r="O24" i="35"/>
  <c r="W45" i="35"/>
  <c r="C2" i="112"/>
  <c r="R48" i="35"/>
  <c r="C2" i="108"/>
  <c r="R44" i="35"/>
  <c r="B4" i="88"/>
  <c r="C8" i="88" s="1"/>
  <c r="D1" i="88"/>
  <c r="W28" i="35"/>
  <c r="F10" i="35"/>
  <c r="S10" i="35"/>
  <c r="E2" i="104"/>
  <c r="D4" i="104" s="1"/>
  <c r="O31" i="35"/>
  <c r="W15" i="35"/>
  <c r="B4" i="80"/>
  <c r="C8" i="80" s="1"/>
  <c r="D1" i="80"/>
  <c r="W43" i="35"/>
  <c r="C2" i="89"/>
  <c r="R26" i="35"/>
  <c r="E2" i="109"/>
  <c r="D4" i="109" s="1"/>
  <c r="P45" i="35"/>
  <c r="T27" i="35"/>
  <c r="I2" i="100" s="1"/>
  <c r="H4" i="100" s="1"/>
  <c r="E2" i="101"/>
  <c r="D4" i="101" s="1"/>
  <c r="O28" i="35"/>
  <c r="D7" i="93"/>
  <c r="E2" i="107"/>
  <c r="D4" i="107" s="1"/>
  <c r="P43" i="35"/>
  <c r="E2" i="105"/>
  <c r="D4" i="105" s="1"/>
  <c r="O32" i="35"/>
  <c r="W30" i="35"/>
  <c r="S32" i="35"/>
  <c r="D7" i="90"/>
  <c r="W7" i="90" s="1"/>
  <c r="C2" i="106"/>
  <c r="R33" i="35"/>
  <c r="S27" i="35"/>
  <c r="T31" i="35"/>
  <c r="I2" i="104" s="1"/>
  <c r="H4" i="104" s="1"/>
  <c r="R15" i="35"/>
  <c r="F14" i="35"/>
  <c r="O25" i="35"/>
  <c r="B4" i="96"/>
  <c r="G2" i="80"/>
  <c r="F4" i="80" s="1"/>
  <c r="U9" i="35"/>
  <c r="T29" i="35"/>
  <c r="I2" i="102" s="1"/>
  <c r="H4" i="102" s="1"/>
  <c r="C2" i="109"/>
  <c r="R45" i="35"/>
  <c r="B4" i="90"/>
  <c r="C8" i="90" s="1"/>
  <c r="D1" i="90"/>
  <c r="C2" i="111"/>
  <c r="R47" i="35"/>
  <c r="E2" i="103"/>
  <c r="D4" i="103" s="1"/>
  <c r="O30" i="35"/>
  <c r="T32" i="35"/>
  <c r="I2" i="105" s="1"/>
  <c r="H4" i="105" s="1"/>
  <c r="S26" i="35"/>
  <c r="S45" i="35"/>
  <c r="T10" i="35"/>
  <c r="I2" i="87" s="1"/>
  <c r="H4" i="87" s="1"/>
  <c r="C2" i="100"/>
  <c r="R27" i="35"/>
  <c r="S31" i="35"/>
  <c r="B4" i="94"/>
  <c r="B4" i="93"/>
  <c r="C8" i="93" s="1"/>
  <c r="D1" i="93"/>
  <c r="E2" i="99"/>
  <c r="P42" i="35"/>
  <c r="S46" i="35"/>
  <c r="C2" i="102"/>
  <c r="R29" i="35"/>
  <c r="R40" i="35"/>
  <c r="S30" i="35"/>
  <c r="W27" i="35"/>
  <c r="C2" i="105"/>
  <c r="R32" i="35"/>
  <c r="T26" i="35"/>
  <c r="I2" i="89" s="1"/>
  <c r="H4" i="89" s="1"/>
  <c r="T45" i="35"/>
  <c r="I2" i="109" s="1"/>
  <c r="H4" i="109" s="1"/>
  <c r="D7" i="88"/>
  <c r="W7" i="88" s="1"/>
  <c r="C2" i="104"/>
  <c r="R31" i="35"/>
  <c r="W26" i="35"/>
  <c r="S28" i="35"/>
  <c r="E2" i="110"/>
  <c r="D4" i="110" s="1"/>
  <c r="P46" i="35"/>
  <c r="W47" i="35"/>
  <c r="T46" i="35"/>
  <c r="I2" i="110" s="1"/>
  <c r="H4" i="110" s="1"/>
  <c r="W33" i="35"/>
  <c r="D7" i="80"/>
  <c r="W7" i="80" s="1"/>
  <c r="T7" i="80"/>
  <c r="E2" i="100"/>
  <c r="D4" i="100" s="1"/>
  <c r="O27" i="35"/>
  <c r="F16" i="35"/>
  <c r="G16" i="35" s="1"/>
  <c r="H16" i="35" s="1"/>
  <c r="I16" i="35" s="1"/>
  <c r="J16" i="35" s="1"/>
  <c r="K16" i="35" s="1"/>
  <c r="L16" i="35" s="1"/>
  <c r="B4" i="87"/>
  <c r="B4" i="92"/>
  <c r="E2" i="111"/>
  <c r="D4" i="111" s="1"/>
  <c r="P47" i="35"/>
  <c r="C2" i="110"/>
  <c r="R46" i="35"/>
  <c r="E2" i="106"/>
  <c r="D4" i="106" s="1"/>
  <c r="O33" i="35"/>
  <c r="S15" i="35"/>
  <c r="U43" i="35" l="1"/>
  <c r="V43" i="35" s="1"/>
  <c r="C8" i="96"/>
  <c r="D7" i="96"/>
  <c r="W7" i="96" s="1"/>
  <c r="C9" i="96"/>
  <c r="C10" i="96" s="1"/>
  <c r="C11" i="96" s="1"/>
  <c r="C12" i="96" s="1"/>
  <c r="C13" i="96" s="1"/>
  <c r="C14" i="96" s="1"/>
  <c r="C15" i="96" s="1"/>
  <c r="C16" i="96" s="1"/>
  <c r="B16" i="96" s="1"/>
  <c r="C9" i="93"/>
  <c r="C10" i="93" s="1"/>
  <c r="C11" i="93" s="1"/>
  <c r="C12" i="93" s="1"/>
  <c r="C13" i="93" s="1"/>
  <c r="C14" i="93" s="1"/>
  <c r="C15" i="93" s="1"/>
  <c r="C16" i="93" s="1"/>
  <c r="D16" i="93" s="1"/>
  <c r="C9" i="80"/>
  <c r="C10" i="80" s="1"/>
  <c r="C11" i="80" s="1"/>
  <c r="C12" i="80" s="1"/>
  <c r="C13" i="80" s="1"/>
  <c r="C14" i="80" s="1"/>
  <c r="C15" i="80" s="1"/>
  <c r="C16" i="80" s="1"/>
  <c r="C9" i="90"/>
  <c r="C10" i="90" s="1"/>
  <c r="C11" i="90" s="1"/>
  <c r="C12" i="90" s="1"/>
  <c r="C13" i="90" s="1"/>
  <c r="C14" i="90" s="1"/>
  <c r="C15" i="90" s="1"/>
  <c r="C16" i="90" s="1"/>
  <c r="C9" i="88"/>
  <c r="C10" i="88" s="1"/>
  <c r="C11" i="88" s="1"/>
  <c r="C12" i="88" s="1"/>
  <c r="C13" i="88" s="1"/>
  <c r="C14" i="88" s="1"/>
  <c r="C15" i="88" s="1"/>
  <c r="C16" i="88" s="1"/>
  <c r="B16" i="88" s="1"/>
  <c r="S17" i="35"/>
  <c r="G2" i="96" s="1"/>
  <c r="F4" i="96" s="1"/>
  <c r="S7" i="96" s="1"/>
  <c r="R17" i="35"/>
  <c r="N17" i="35"/>
  <c r="T17" i="35"/>
  <c r="I2" i="96" s="1"/>
  <c r="H4" i="96" s="1"/>
  <c r="T7" i="96" s="1"/>
  <c r="D1" i="96"/>
  <c r="W17" i="35"/>
  <c r="U12" i="35"/>
  <c r="V12" i="35"/>
  <c r="V40" i="35"/>
  <c r="U17" i="35"/>
  <c r="B13" i="80"/>
  <c r="U47" i="35"/>
  <c r="V47" i="35" s="1"/>
  <c r="B16" i="80"/>
  <c r="B12" i="80"/>
  <c r="B15" i="80"/>
  <c r="D11" i="80"/>
  <c r="D10" i="80"/>
  <c r="B14" i="80"/>
  <c r="U42" i="35"/>
  <c r="V42" i="35" s="1"/>
  <c r="U11" i="35"/>
  <c r="V11" i="35" s="1"/>
  <c r="U41" i="35"/>
  <c r="V41" i="35" s="1"/>
  <c r="S16" i="35"/>
  <c r="G2" i="94" s="1"/>
  <c r="B12" i="90"/>
  <c r="U33" i="35"/>
  <c r="V33" i="35" s="1"/>
  <c r="T16" i="35"/>
  <c r="I2" i="94" s="1"/>
  <c r="H4" i="94" s="1"/>
  <c r="V9" i="35"/>
  <c r="S7" i="80"/>
  <c r="U7" i="80" s="1"/>
  <c r="U48" i="35"/>
  <c r="V48" i="35" s="1"/>
  <c r="K2" i="99"/>
  <c r="J4" i="99" s="1"/>
  <c r="D4" i="99"/>
  <c r="B4" i="109"/>
  <c r="C8" i="109" s="1"/>
  <c r="D1" i="109"/>
  <c r="B4" i="89"/>
  <c r="C8" i="89" s="1"/>
  <c r="C9" i="89" s="1"/>
  <c r="C10" i="89" s="1"/>
  <c r="C11" i="89" s="1"/>
  <c r="C12" i="89" s="1"/>
  <c r="C13" i="89" s="1"/>
  <c r="C14" i="89" s="1"/>
  <c r="C15" i="89" s="1"/>
  <c r="C16" i="89" s="1"/>
  <c r="D1" i="89"/>
  <c r="G13" i="35"/>
  <c r="H13" i="35" s="1"/>
  <c r="I13" i="35" s="1"/>
  <c r="B4" i="103"/>
  <c r="C8" i="103" s="1"/>
  <c r="C9" i="103" s="1"/>
  <c r="C10" i="103" s="1"/>
  <c r="C11" i="103" s="1"/>
  <c r="C12" i="103" s="1"/>
  <c r="C13" i="103" s="1"/>
  <c r="C14" i="103" s="1"/>
  <c r="C15" i="103" s="1"/>
  <c r="C16" i="103" s="1"/>
  <c r="D1" i="103"/>
  <c r="B7" i="92"/>
  <c r="T7" i="106"/>
  <c r="D7" i="106"/>
  <c r="W7" i="106" s="1"/>
  <c r="G2" i="101"/>
  <c r="F4" i="101" s="1"/>
  <c r="U28" i="35"/>
  <c r="V28" i="35" s="1"/>
  <c r="B4" i="111"/>
  <c r="C8" i="111" s="1"/>
  <c r="K2" i="111"/>
  <c r="J4" i="111" s="1"/>
  <c r="D1" i="111"/>
  <c r="B4" i="106"/>
  <c r="C8" i="106" s="1"/>
  <c r="C9" i="106" s="1"/>
  <c r="C10" i="106" s="1"/>
  <c r="C11" i="106" s="1"/>
  <c r="C12" i="106" s="1"/>
  <c r="C13" i="106" s="1"/>
  <c r="C14" i="106" s="1"/>
  <c r="C15" i="106" s="1"/>
  <c r="C16" i="106" s="1"/>
  <c r="K2" i="106"/>
  <c r="J4" i="106" s="1"/>
  <c r="D1" i="106"/>
  <c r="K2" i="90"/>
  <c r="J4" i="90" s="1"/>
  <c r="G14" i="35"/>
  <c r="U29" i="35"/>
  <c r="V29" i="35" s="1"/>
  <c r="K2" i="80"/>
  <c r="J4" i="80" s="1"/>
  <c r="G2" i="87"/>
  <c r="U10" i="35"/>
  <c r="T7" i="112"/>
  <c r="D7" i="112"/>
  <c r="W7" i="112" s="1"/>
  <c r="U44" i="35"/>
  <c r="V44" i="35" s="1"/>
  <c r="T7" i="110"/>
  <c r="D7" i="110"/>
  <c r="W7" i="110" s="1"/>
  <c r="B7" i="87"/>
  <c r="G2" i="103"/>
  <c r="F4" i="103" s="1"/>
  <c r="U30" i="35"/>
  <c r="V30" i="35" s="1"/>
  <c r="B7" i="93"/>
  <c r="N7" i="93" s="1"/>
  <c r="G2" i="109"/>
  <c r="F4" i="109" s="1"/>
  <c r="U45" i="35"/>
  <c r="V45" i="35" s="1"/>
  <c r="D7" i="101"/>
  <c r="W7" i="101" s="1"/>
  <c r="T7" i="101"/>
  <c r="E2" i="87"/>
  <c r="N10" i="35"/>
  <c r="R10" i="35"/>
  <c r="B7" i="91"/>
  <c r="B4" i="107"/>
  <c r="D1" i="107"/>
  <c r="K2" i="107"/>
  <c r="J4" i="107" s="1"/>
  <c r="D7" i="100"/>
  <c r="W7" i="100" s="1"/>
  <c r="T7" i="100"/>
  <c r="B4" i="100"/>
  <c r="C8" i="100" s="1"/>
  <c r="C9" i="100" s="1"/>
  <c r="C10" i="100" s="1"/>
  <c r="C11" i="100" s="1"/>
  <c r="C12" i="100" s="1"/>
  <c r="C13" i="100" s="1"/>
  <c r="C14" i="100" s="1"/>
  <c r="C15" i="100" s="1"/>
  <c r="C16" i="100" s="1"/>
  <c r="D1" i="100"/>
  <c r="B10" i="80"/>
  <c r="B4" i="104"/>
  <c r="C8" i="104" s="1"/>
  <c r="C9" i="104" s="1"/>
  <c r="C10" i="104" s="1"/>
  <c r="C11" i="104" s="1"/>
  <c r="C12" i="104" s="1"/>
  <c r="C13" i="104" s="1"/>
  <c r="C14" i="104" s="1"/>
  <c r="C15" i="104" s="1"/>
  <c r="C16" i="104" s="1"/>
  <c r="D1" i="104"/>
  <c r="G2" i="89"/>
  <c r="F4" i="89" s="1"/>
  <c r="U26" i="35"/>
  <c r="V26" i="35" s="1"/>
  <c r="S7" i="90"/>
  <c r="U7" i="90" s="1"/>
  <c r="B7" i="90"/>
  <c r="G2" i="105"/>
  <c r="F4" i="105" s="1"/>
  <c r="U32" i="35"/>
  <c r="V32" i="35" s="1"/>
  <c r="B7" i="80"/>
  <c r="T7" i="89"/>
  <c r="D7" i="89"/>
  <c r="W7" i="89" s="1"/>
  <c r="B4" i="105"/>
  <c r="C8" i="105" s="1"/>
  <c r="C9" i="105" s="1"/>
  <c r="C10" i="105" s="1"/>
  <c r="C11" i="105" s="1"/>
  <c r="C12" i="105" s="1"/>
  <c r="C13" i="105" s="1"/>
  <c r="C14" i="105" s="1"/>
  <c r="C15" i="105" s="1"/>
  <c r="C16" i="105" s="1"/>
  <c r="D1" i="105"/>
  <c r="W7" i="93"/>
  <c r="T7" i="104"/>
  <c r="D7" i="104"/>
  <c r="W7" i="104" s="1"/>
  <c r="B4" i="108"/>
  <c r="C8" i="108" s="1"/>
  <c r="K2" i="108"/>
  <c r="J4" i="108" s="1"/>
  <c r="D1" i="108"/>
  <c r="B4" i="110"/>
  <c r="C8" i="110" s="1"/>
  <c r="D1" i="110"/>
  <c r="B4" i="102"/>
  <c r="C8" i="102" s="1"/>
  <c r="C9" i="102" s="1"/>
  <c r="C10" i="102" s="1"/>
  <c r="C11" i="102" s="1"/>
  <c r="C12" i="102" s="1"/>
  <c r="C13" i="102" s="1"/>
  <c r="C14" i="102" s="1"/>
  <c r="C15" i="102" s="1"/>
  <c r="C16" i="102" s="1"/>
  <c r="K2" i="102"/>
  <c r="J4" i="102" s="1"/>
  <c r="D1" i="102"/>
  <c r="B4" i="112"/>
  <c r="C8" i="112" s="1"/>
  <c r="K2" i="112"/>
  <c r="J4" i="112" s="1"/>
  <c r="D1" i="112"/>
  <c r="T7" i="102"/>
  <c r="D7" i="102"/>
  <c r="W7" i="102" s="1"/>
  <c r="D7" i="111"/>
  <c r="W7" i="111" s="1"/>
  <c r="T7" i="111"/>
  <c r="E2" i="94"/>
  <c r="R16" i="35"/>
  <c r="N16" i="35"/>
  <c r="G2" i="110"/>
  <c r="F4" i="110" s="1"/>
  <c r="U46" i="35"/>
  <c r="V46" i="35" s="1"/>
  <c r="B7" i="94"/>
  <c r="B7" i="96"/>
  <c r="D7" i="109"/>
  <c r="W7" i="109" s="1"/>
  <c r="T7" i="109"/>
  <c r="K2" i="88"/>
  <c r="J4" i="88" s="1"/>
  <c r="B4" i="101"/>
  <c r="C8" i="101" s="1"/>
  <c r="C9" i="101" s="1"/>
  <c r="C10" i="101" s="1"/>
  <c r="C11" i="101" s="1"/>
  <c r="C12" i="101" s="1"/>
  <c r="C13" i="101" s="1"/>
  <c r="C14" i="101" s="1"/>
  <c r="C15" i="101" s="1"/>
  <c r="C16" i="101" s="1"/>
  <c r="D1" i="101"/>
  <c r="W16" i="35"/>
  <c r="D7" i="107"/>
  <c r="W7" i="107" s="1"/>
  <c r="T7" i="107"/>
  <c r="T7" i="108"/>
  <c r="D7" i="108"/>
  <c r="W7" i="108" s="1"/>
  <c r="G2" i="93"/>
  <c r="U15" i="35"/>
  <c r="V15" i="35" s="1"/>
  <c r="G2" i="104"/>
  <c r="F4" i="104" s="1"/>
  <c r="U31" i="35"/>
  <c r="V31" i="35" s="1"/>
  <c r="T7" i="103"/>
  <c r="D7" i="103"/>
  <c r="W7" i="103" s="1"/>
  <c r="G2" i="100"/>
  <c r="F4" i="100" s="1"/>
  <c r="U27" i="35"/>
  <c r="V27" i="35" s="1"/>
  <c r="T7" i="105"/>
  <c r="D7" i="105"/>
  <c r="W7" i="105" s="1"/>
  <c r="B7" i="88"/>
  <c r="S7" i="88"/>
  <c r="U7" i="88" s="1"/>
  <c r="B4" i="99"/>
  <c r="D1" i="99"/>
  <c r="W10" i="35"/>
  <c r="B14" i="90" l="1"/>
  <c r="B13" i="90"/>
  <c r="C8" i="99"/>
  <c r="C9" i="99" s="1"/>
  <c r="C10" i="99" s="1"/>
  <c r="C11" i="99" s="1"/>
  <c r="C12" i="99" s="1"/>
  <c r="C13" i="99" s="1"/>
  <c r="C14" i="99" s="1"/>
  <c r="C15" i="99" s="1"/>
  <c r="C16" i="99" s="1"/>
  <c r="K2" i="96"/>
  <c r="J4" i="96" s="1"/>
  <c r="B9" i="96"/>
  <c r="B10" i="88"/>
  <c r="D16" i="96"/>
  <c r="E16" i="96" s="1"/>
  <c r="F16" i="96" s="1"/>
  <c r="G16" i="96" s="1"/>
  <c r="H16" i="96" s="1"/>
  <c r="I16" i="96" s="1"/>
  <c r="J16" i="96" s="1"/>
  <c r="K16" i="96" s="1"/>
  <c r="L16" i="96" s="1"/>
  <c r="M16" i="96" s="1"/>
  <c r="N16" i="96" s="1"/>
  <c r="U7" i="96"/>
  <c r="J3" i="95" s="1"/>
  <c r="V8" i="97" s="1"/>
  <c r="B16" i="93"/>
  <c r="B9" i="93"/>
  <c r="B13" i="96"/>
  <c r="B14" i="88"/>
  <c r="B9" i="88"/>
  <c r="B13" i="88"/>
  <c r="C9" i="108"/>
  <c r="C10" i="108" s="1"/>
  <c r="C11" i="108" s="1"/>
  <c r="C12" i="108" s="1"/>
  <c r="C13" i="108" s="1"/>
  <c r="C14" i="108" s="1"/>
  <c r="C15" i="108" s="1"/>
  <c r="C16" i="108" s="1"/>
  <c r="B16" i="108" s="1"/>
  <c r="C9" i="109"/>
  <c r="C10" i="109" s="1"/>
  <c r="C11" i="109" s="1"/>
  <c r="C12" i="109" s="1"/>
  <c r="C13" i="109" s="1"/>
  <c r="C14" i="109" s="1"/>
  <c r="C15" i="109" s="1"/>
  <c r="C16" i="109" s="1"/>
  <c r="B16" i="109" s="1"/>
  <c r="B12" i="88"/>
  <c r="C9" i="110"/>
  <c r="C10" i="110" s="1"/>
  <c r="C11" i="110" s="1"/>
  <c r="C12" i="110" s="1"/>
  <c r="C13" i="110" s="1"/>
  <c r="C14" i="110" s="1"/>
  <c r="C15" i="110" s="1"/>
  <c r="C16" i="110" s="1"/>
  <c r="C8" i="107"/>
  <c r="C9" i="107" s="1"/>
  <c r="C9" i="111"/>
  <c r="C10" i="111" s="1"/>
  <c r="C11" i="111" s="1"/>
  <c r="C12" i="111" s="1"/>
  <c r="C13" i="111" s="1"/>
  <c r="C14" i="111" s="1"/>
  <c r="C15" i="111" s="1"/>
  <c r="C16" i="111" s="1"/>
  <c r="B16" i="111" s="1"/>
  <c r="C9" i="112"/>
  <c r="C10" i="112" s="1"/>
  <c r="C11" i="112" s="1"/>
  <c r="C12" i="112" s="1"/>
  <c r="C13" i="112" s="1"/>
  <c r="C14" i="112" s="1"/>
  <c r="C15" i="112" s="1"/>
  <c r="C16" i="112" s="1"/>
  <c r="B16" i="103"/>
  <c r="V17" i="35"/>
  <c r="D15" i="88"/>
  <c r="E15" i="88" s="1"/>
  <c r="D16" i="88"/>
  <c r="B15" i="88"/>
  <c r="D14" i="88"/>
  <c r="E14" i="88" s="1"/>
  <c r="D13" i="88"/>
  <c r="D10" i="88"/>
  <c r="E10" i="88" s="1"/>
  <c r="D12" i="88"/>
  <c r="E12" i="88" s="1"/>
  <c r="F12" i="88" s="1"/>
  <c r="G12" i="88" s="1"/>
  <c r="B11" i="88"/>
  <c r="B16" i="89"/>
  <c r="D11" i="104"/>
  <c r="D13" i="80"/>
  <c r="E13" i="80" s="1"/>
  <c r="B13" i="104"/>
  <c r="D11" i="88"/>
  <c r="E11" i="88" s="1"/>
  <c r="B10" i="89"/>
  <c r="D16" i="80"/>
  <c r="E16" i="80" s="1"/>
  <c r="D9" i="93"/>
  <c r="E9" i="93" s="1"/>
  <c r="R7" i="93"/>
  <c r="S21" i="93" s="1"/>
  <c r="B13" i="105"/>
  <c r="B11" i="80"/>
  <c r="D12" i="80"/>
  <c r="E12" i="80" s="1"/>
  <c r="F12" i="80" s="1"/>
  <c r="G12" i="80" s="1"/>
  <c r="H12" i="80" s="1"/>
  <c r="I12" i="80" s="1"/>
  <c r="R12" i="80" s="1"/>
  <c r="B9" i="80"/>
  <c r="D14" i="90"/>
  <c r="E14" i="90" s="1"/>
  <c r="D15" i="80"/>
  <c r="E15" i="80" s="1"/>
  <c r="D13" i="90"/>
  <c r="E13" i="90" s="1"/>
  <c r="D14" i="80"/>
  <c r="E14" i="80" s="1"/>
  <c r="D10" i="104"/>
  <c r="B14" i="103"/>
  <c r="D16" i="103"/>
  <c r="D12" i="90"/>
  <c r="E12" i="90" s="1"/>
  <c r="F12" i="90" s="1"/>
  <c r="G12" i="90" s="1"/>
  <c r="H12" i="90" s="1"/>
  <c r="I12" i="90" s="1"/>
  <c r="N12" i="90" s="1"/>
  <c r="B12" i="103"/>
  <c r="B10" i="103"/>
  <c r="B11" i="103"/>
  <c r="B16" i="104"/>
  <c r="U16" i="35"/>
  <c r="V16" i="35" s="1"/>
  <c r="D11" i="106"/>
  <c r="K2" i="101"/>
  <c r="J4" i="101" s="1"/>
  <c r="B13" i="106"/>
  <c r="K2" i="105"/>
  <c r="J4" i="105" s="1"/>
  <c r="B15" i="106"/>
  <c r="B10" i="102"/>
  <c r="B12" i="102"/>
  <c r="B16" i="102"/>
  <c r="B15" i="102"/>
  <c r="B3" i="113"/>
  <c r="B3" i="95"/>
  <c r="N8" i="97" s="1"/>
  <c r="V7" i="80"/>
  <c r="B12" i="100"/>
  <c r="K2" i="109"/>
  <c r="J4" i="109" s="1"/>
  <c r="D16" i="101"/>
  <c r="D13" i="100"/>
  <c r="S13" i="35"/>
  <c r="G2" i="91" s="1"/>
  <c r="D11" i="100"/>
  <c r="T13" i="35"/>
  <c r="I2" i="91" s="1"/>
  <c r="H4" i="91" s="1"/>
  <c r="B12" i="106"/>
  <c r="B15" i="100"/>
  <c r="W13" i="35"/>
  <c r="E16" i="93"/>
  <c r="F16" i="93" s="1"/>
  <c r="G16" i="93" s="1"/>
  <c r="H16" i="93" s="1"/>
  <c r="I16" i="93" s="1"/>
  <c r="J16" i="93" s="1"/>
  <c r="K16" i="93" s="1"/>
  <c r="L16" i="93" s="1"/>
  <c r="M16" i="93" s="1"/>
  <c r="R16" i="93" s="1"/>
  <c r="S30" i="93" s="1"/>
  <c r="B12" i="110"/>
  <c r="B16" i="101"/>
  <c r="B15" i="105"/>
  <c r="B14" i="102"/>
  <c r="B13" i="89"/>
  <c r="D3" i="95"/>
  <c r="P8" i="97" s="1"/>
  <c r="D3" i="113"/>
  <c r="V7" i="88"/>
  <c r="B7" i="99"/>
  <c r="S7" i="99"/>
  <c r="D12" i="96"/>
  <c r="B12" i="96"/>
  <c r="B7" i="112"/>
  <c r="S7" i="112"/>
  <c r="U7" i="112" s="1"/>
  <c r="B7" i="108"/>
  <c r="S7" i="108"/>
  <c r="U7" i="108" s="1"/>
  <c r="B10" i="104"/>
  <c r="E3" i="95"/>
  <c r="Q8" i="97" s="1"/>
  <c r="E3" i="113"/>
  <c r="V7" i="90"/>
  <c r="B7" i="104"/>
  <c r="S7" i="104"/>
  <c r="U7" i="104" s="1"/>
  <c r="B11" i="100"/>
  <c r="B16" i="90"/>
  <c r="D16" i="90"/>
  <c r="K2" i="89"/>
  <c r="J4" i="89" s="1"/>
  <c r="N7" i="96"/>
  <c r="R7" i="96"/>
  <c r="S21" i="96" s="1"/>
  <c r="U21" i="96" s="1"/>
  <c r="B15" i="90"/>
  <c r="D15" i="90"/>
  <c r="B7" i="105"/>
  <c r="S7" i="105"/>
  <c r="U7" i="105" s="1"/>
  <c r="F4" i="93"/>
  <c r="K2" i="93"/>
  <c r="J4" i="93" s="1"/>
  <c r="B8" i="96"/>
  <c r="D8" i="96"/>
  <c r="T8" i="96" s="1"/>
  <c r="D14" i="102"/>
  <c r="F4" i="94"/>
  <c r="K2" i="94"/>
  <c r="J4" i="94" s="1"/>
  <c r="E10" i="80"/>
  <c r="F10" i="80" s="1"/>
  <c r="G10" i="80" s="1"/>
  <c r="R10" i="80" s="1"/>
  <c r="D15" i="96"/>
  <c r="B15" i="96"/>
  <c r="B7" i="111"/>
  <c r="S7" i="111"/>
  <c r="U7" i="111" s="1"/>
  <c r="K2" i="103"/>
  <c r="J4" i="103" s="1"/>
  <c r="D13" i="93"/>
  <c r="B12" i="93"/>
  <c r="D12" i="93"/>
  <c r="S7" i="109"/>
  <c r="U7" i="109" s="1"/>
  <c r="B7" i="109"/>
  <c r="E13" i="88"/>
  <c r="F13" i="88" s="1"/>
  <c r="G13" i="88" s="1"/>
  <c r="H13" i="88" s="1"/>
  <c r="I13" i="88" s="1"/>
  <c r="J13" i="88" s="1"/>
  <c r="R13" i="88" s="1"/>
  <c r="D15" i="105"/>
  <c r="D13" i="89"/>
  <c r="V10" i="35"/>
  <c r="H14" i="35"/>
  <c r="I14" i="35" s="1"/>
  <c r="J14" i="35" s="1"/>
  <c r="B11" i="106"/>
  <c r="D11" i="93"/>
  <c r="B10" i="93"/>
  <c r="D10" i="93"/>
  <c r="T7" i="99"/>
  <c r="D7" i="99"/>
  <c r="B8" i="88"/>
  <c r="D8" i="88"/>
  <c r="E16" i="88"/>
  <c r="D14" i="93"/>
  <c r="B14" i="93"/>
  <c r="K2" i="110"/>
  <c r="J4" i="110" s="1"/>
  <c r="B8" i="80"/>
  <c r="D8" i="80"/>
  <c r="T8" i="80" s="1"/>
  <c r="B11" i="90"/>
  <c r="D11" i="90"/>
  <c r="F4" i="87"/>
  <c r="K2" i="87"/>
  <c r="J4" i="87" s="1"/>
  <c r="D9" i="80"/>
  <c r="S7" i="103"/>
  <c r="U7" i="103" s="1"/>
  <c r="B7" i="103"/>
  <c r="E11" i="80"/>
  <c r="F11" i="80" s="1"/>
  <c r="G11" i="80" s="1"/>
  <c r="H11" i="80" s="1"/>
  <c r="D10" i="96"/>
  <c r="B10" i="96"/>
  <c r="S7" i="102"/>
  <c r="U7" i="102" s="1"/>
  <c r="B7" i="102"/>
  <c r="S7" i="110"/>
  <c r="U7" i="110" s="1"/>
  <c r="B7" i="110"/>
  <c r="N7" i="80"/>
  <c r="R7" i="80"/>
  <c r="K2" i="100"/>
  <c r="J4" i="100" s="1"/>
  <c r="D4" i="87"/>
  <c r="C8" i="87" s="1"/>
  <c r="C9" i="87" s="1"/>
  <c r="C10" i="87" s="1"/>
  <c r="C11" i="87" s="1"/>
  <c r="C12" i="87" s="1"/>
  <c r="C13" i="87" s="1"/>
  <c r="C14" i="87" s="1"/>
  <c r="C15" i="87" s="1"/>
  <c r="C16" i="87" s="1"/>
  <c r="D1" i="87"/>
  <c r="D8" i="93"/>
  <c r="T8" i="93" s="1"/>
  <c r="B8" i="93"/>
  <c r="D9" i="96"/>
  <c r="B11" i="93"/>
  <c r="D9" i="90"/>
  <c r="B9" i="90"/>
  <c r="N7" i="88"/>
  <c r="R7" i="88"/>
  <c r="S7" i="101"/>
  <c r="U7" i="101" s="1"/>
  <c r="B7" i="101"/>
  <c r="D14" i="96"/>
  <c r="B14" i="96"/>
  <c r="D4" i="94"/>
  <c r="C8" i="94" s="1"/>
  <c r="C9" i="94" s="1"/>
  <c r="C10" i="94" s="1"/>
  <c r="C11" i="94" s="1"/>
  <c r="C12" i="94" s="1"/>
  <c r="C13" i="94" s="1"/>
  <c r="C14" i="94" s="1"/>
  <c r="C15" i="94" s="1"/>
  <c r="C16" i="94" s="1"/>
  <c r="D1" i="94"/>
  <c r="B13" i="93"/>
  <c r="N7" i="90"/>
  <c r="R7" i="90"/>
  <c r="K2" i="104"/>
  <c r="J4" i="104" s="1"/>
  <c r="D11" i="96"/>
  <c r="B11" i="96"/>
  <c r="D9" i="88"/>
  <c r="E2" i="91"/>
  <c r="N13" i="35"/>
  <c r="R13" i="35"/>
  <c r="B15" i="101"/>
  <c r="S7" i="89"/>
  <c r="U7" i="89" s="1"/>
  <c r="B7" i="89"/>
  <c r="B15" i="93"/>
  <c r="D15" i="93"/>
  <c r="D10" i="90"/>
  <c r="B10" i="90"/>
  <c r="D13" i="96"/>
  <c r="B8" i="90"/>
  <c r="D8" i="90"/>
  <c r="T8" i="90" s="1"/>
  <c r="B7" i="100"/>
  <c r="S7" i="100"/>
  <c r="U7" i="100" s="1"/>
  <c r="B7" i="107"/>
  <c r="S7" i="107"/>
  <c r="U7" i="107" s="1"/>
  <c r="B7" i="106"/>
  <c r="S7" i="106"/>
  <c r="U7" i="106" s="1"/>
  <c r="J3" i="113" l="1"/>
  <c r="V7" i="96"/>
  <c r="B9" i="108"/>
  <c r="B10" i="109"/>
  <c r="B13" i="111"/>
  <c r="D13" i="111"/>
  <c r="E13" i="111" s="1"/>
  <c r="B11" i="111"/>
  <c r="B15" i="109"/>
  <c r="B9" i="109"/>
  <c r="B15" i="111"/>
  <c r="D14" i="111"/>
  <c r="B12" i="109"/>
  <c r="B14" i="109"/>
  <c r="B10" i="111"/>
  <c r="B11" i="108"/>
  <c r="B15" i="108"/>
  <c r="B12" i="112"/>
  <c r="B11" i="112"/>
  <c r="D15" i="108"/>
  <c r="E15" i="108" s="1"/>
  <c r="B10" i="108"/>
  <c r="C10" i="107"/>
  <c r="C11" i="107" s="1"/>
  <c r="C12" i="107" s="1"/>
  <c r="B9" i="107"/>
  <c r="B14" i="108"/>
  <c r="B11" i="104"/>
  <c r="D16" i="89"/>
  <c r="B14" i="111"/>
  <c r="D9" i="107"/>
  <c r="D15" i="102"/>
  <c r="E15" i="102" s="1"/>
  <c r="B10" i="100"/>
  <c r="B9" i="104"/>
  <c r="D13" i="108"/>
  <c r="E13" i="108" s="1"/>
  <c r="F13" i="108" s="1"/>
  <c r="G13" i="108" s="1"/>
  <c r="H13" i="108" s="1"/>
  <c r="I13" i="108" s="1"/>
  <c r="J13" i="108" s="1"/>
  <c r="D10" i="103"/>
  <c r="E10" i="103" s="1"/>
  <c r="F10" i="103" s="1"/>
  <c r="G10" i="103" s="1"/>
  <c r="R10" i="103" s="1"/>
  <c r="S24" i="103" s="1"/>
  <c r="U7" i="99"/>
  <c r="U3" i="95" s="1"/>
  <c r="D10" i="89"/>
  <c r="E10" i="89" s="1"/>
  <c r="D15" i="106"/>
  <c r="E15" i="106" s="1"/>
  <c r="B9" i="103"/>
  <c r="D9" i="108"/>
  <c r="E9" i="108" s="1"/>
  <c r="S9" i="108" s="1"/>
  <c r="D12" i="100"/>
  <c r="E12" i="100" s="1"/>
  <c r="R11" i="80"/>
  <c r="S37" i="80" s="1"/>
  <c r="B12" i="111"/>
  <c r="B13" i="100"/>
  <c r="D13" i="104"/>
  <c r="E13" i="104" s="1"/>
  <c r="F13" i="104" s="1"/>
  <c r="G13" i="104" s="1"/>
  <c r="H13" i="104" s="1"/>
  <c r="I13" i="104" s="1"/>
  <c r="J13" i="104" s="1"/>
  <c r="N13" i="104" s="1"/>
  <c r="D14" i="109"/>
  <c r="B13" i="108"/>
  <c r="B14" i="106"/>
  <c r="D12" i="111"/>
  <c r="E12" i="111" s="1"/>
  <c r="B15" i="103"/>
  <c r="D14" i="108"/>
  <c r="E14" i="108" s="1"/>
  <c r="F14" i="108" s="1"/>
  <c r="G14" i="108" s="1"/>
  <c r="H14" i="108" s="1"/>
  <c r="I14" i="108" s="1"/>
  <c r="J14" i="108" s="1"/>
  <c r="K14" i="108" s="1"/>
  <c r="R14" i="108" s="1"/>
  <c r="S28" i="108" s="1"/>
  <c r="B13" i="109"/>
  <c r="D16" i="102"/>
  <c r="E16" i="102" s="1"/>
  <c r="H15" i="95"/>
  <c r="S33" i="93"/>
  <c r="H39" i="113" s="1"/>
  <c r="E21" i="93"/>
  <c r="H27" i="95" s="1"/>
  <c r="E45" i="93"/>
  <c r="E33" i="93"/>
  <c r="H39" i="95" s="1"/>
  <c r="S45" i="93"/>
  <c r="H51" i="113" s="1"/>
  <c r="H15" i="113"/>
  <c r="D11" i="109"/>
  <c r="E11" i="109" s="1"/>
  <c r="T12" i="90"/>
  <c r="D13" i="105"/>
  <c r="E13" i="105" s="1"/>
  <c r="F13" i="105" s="1"/>
  <c r="G13" i="105" s="1"/>
  <c r="H13" i="105" s="1"/>
  <c r="I13" i="105" s="1"/>
  <c r="J13" i="105" s="1"/>
  <c r="R13" i="105" s="1"/>
  <c r="S27" i="105" s="1"/>
  <c r="D9" i="104"/>
  <c r="E9" i="104" s="1"/>
  <c r="S9" i="104" s="1"/>
  <c r="B11" i="109"/>
  <c r="D10" i="108"/>
  <c r="E10" i="108" s="1"/>
  <c r="F10" i="108" s="1"/>
  <c r="G10" i="108" s="1"/>
  <c r="R16" i="96"/>
  <c r="S30" i="96" s="1"/>
  <c r="D10" i="100"/>
  <c r="E10" i="100" s="1"/>
  <c r="D12" i="109"/>
  <c r="E12" i="109" s="1"/>
  <c r="F12" i="109" s="1"/>
  <c r="G12" i="109" s="1"/>
  <c r="H12" i="109" s="1"/>
  <c r="I12" i="109" s="1"/>
  <c r="N16" i="93"/>
  <c r="D13" i="109"/>
  <c r="E13" i="109" s="1"/>
  <c r="F13" i="109" s="1"/>
  <c r="G13" i="109" s="1"/>
  <c r="H13" i="109" s="1"/>
  <c r="I13" i="109" s="1"/>
  <c r="J13" i="109" s="1"/>
  <c r="B10" i="106"/>
  <c r="D15" i="103"/>
  <c r="D11" i="108"/>
  <c r="E11" i="108" s="1"/>
  <c r="F11" i="108" s="1"/>
  <c r="G11" i="108" s="1"/>
  <c r="H11" i="108" s="1"/>
  <c r="N11" i="108" s="1"/>
  <c r="D10" i="106"/>
  <c r="E10" i="106" s="1"/>
  <c r="D10" i="109"/>
  <c r="E10" i="109" s="1"/>
  <c r="F10" i="109" s="1"/>
  <c r="G10" i="109" s="1"/>
  <c r="D16" i="108"/>
  <c r="E16" i="108" s="1"/>
  <c r="F16" i="108" s="1"/>
  <c r="G16" i="108" s="1"/>
  <c r="H16" i="108" s="1"/>
  <c r="I16" i="108" s="1"/>
  <c r="J16" i="108" s="1"/>
  <c r="K16" i="108" s="1"/>
  <c r="L16" i="108" s="1"/>
  <c r="M16" i="108" s="1"/>
  <c r="N16" i="108" s="1"/>
  <c r="B9" i="106"/>
  <c r="B9" i="100"/>
  <c r="D9" i="109"/>
  <c r="E9" i="109" s="1"/>
  <c r="U13" i="35"/>
  <c r="V13" i="35" s="1"/>
  <c r="S13" i="88"/>
  <c r="D9" i="106"/>
  <c r="E9" i="106" s="1"/>
  <c r="F9" i="106" s="1"/>
  <c r="D16" i="109"/>
  <c r="E16" i="109" s="1"/>
  <c r="T10" i="80"/>
  <c r="N10" i="80"/>
  <c r="D11" i="107"/>
  <c r="E11" i="107" s="1"/>
  <c r="F11" i="107" s="1"/>
  <c r="G11" i="107" s="1"/>
  <c r="H11" i="107" s="1"/>
  <c r="W11" i="107" s="1"/>
  <c r="D15" i="109"/>
  <c r="E15" i="109" s="1"/>
  <c r="D9" i="111"/>
  <c r="E9" i="111" s="1"/>
  <c r="F9" i="111" s="1"/>
  <c r="D14" i="103"/>
  <c r="E14" i="103" s="1"/>
  <c r="B13" i="103"/>
  <c r="D13" i="103"/>
  <c r="E13" i="103" s="1"/>
  <c r="B9" i="111"/>
  <c r="D10" i="111"/>
  <c r="E10" i="111" s="1"/>
  <c r="D16" i="104"/>
  <c r="E16" i="104" s="1"/>
  <c r="D12" i="108"/>
  <c r="E12" i="108" s="1"/>
  <c r="D11" i="112"/>
  <c r="E11" i="112" s="1"/>
  <c r="F11" i="112" s="1"/>
  <c r="G11" i="112" s="1"/>
  <c r="H11" i="112" s="1"/>
  <c r="D11" i="103"/>
  <c r="E11" i="103" s="1"/>
  <c r="D12" i="103"/>
  <c r="E12" i="103" s="1"/>
  <c r="F12" i="103" s="1"/>
  <c r="G12" i="103" s="1"/>
  <c r="H12" i="103" s="1"/>
  <c r="I12" i="103" s="1"/>
  <c r="N12" i="103" s="1"/>
  <c r="D11" i="111"/>
  <c r="E11" i="111" s="1"/>
  <c r="D10" i="102"/>
  <c r="E10" i="102" s="1"/>
  <c r="F10" i="102" s="1"/>
  <c r="G10" i="102" s="1"/>
  <c r="N10" i="102" s="1"/>
  <c r="D15" i="100"/>
  <c r="E15" i="100" s="1"/>
  <c r="F15" i="100" s="1"/>
  <c r="G15" i="100" s="1"/>
  <c r="H15" i="100" s="1"/>
  <c r="I15" i="100" s="1"/>
  <c r="J15" i="100" s="1"/>
  <c r="K15" i="100" s="1"/>
  <c r="L15" i="100" s="1"/>
  <c r="B15" i="104"/>
  <c r="B12" i="108"/>
  <c r="D14" i="106"/>
  <c r="E14" i="106" s="1"/>
  <c r="F14" i="106" s="1"/>
  <c r="G14" i="106" s="1"/>
  <c r="H14" i="106" s="1"/>
  <c r="I14" i="106" s="1"/>
  <c r="J14" i="106" s="1"/>
  <c r="K14" i="106" s="1"/>
  <c r="D12" i="112"/>
  <c r="E12" i="112" s="1"/>
  <c r="D13" i="106"/>
  <c r="E13" i="106" s="1"/>
  <c r="D12" i="106"/>
  <c r="E12" i="106" s="1"/>
  <c r="D16" i="100"/>
  <c r="E16" i="100" s="1"/>
  <c r="S16" i="96"/>
  <c r="S10" i="80"/>
  <c r="R12" i="90"/>
  <c r="S38" i="90" s="1"/>
  <c r="D15" i="111"/>
  <c r="E15" i="111" s="1"/>
  <c r="D16" i="111"/>
  <c r="E16" i="111" s="1"/>
  <c r="F16" i="111" s="1"/>
  <c r="G16" i="111" s="1"/>
  <c r="H16" i="111" s="1"/>
  <c r="I16" i="111" s="1"/>
  <c r="J16" i="111" s="1"/>
  <c r="K16" i="111" s="1"/>
  <c r="L16" i="111" s="1"/>
  <c r="M16" i="111" s="1"/>
  <c r="N16" i="111" s="1"/>
  <c r="W13" i="88"/>
  <c r="B16" i="100"/>
  <c r="W10" i="80"/>
  <c r="D21" i="113"/>
  <c r="S39" i="88"/>
  <c r="E39" i="88"/>
  <c r="E27" i="88"/>
  <c r="D21" i="95"/>
  <c r="E51" i="88"/>
  <c r="S27" i="88"/>
  <c r="S51" i="88"/>
  <c r="V3" i="95"/>
  <c r="V3" i="113"/>
  <c r="V7" i="107"/>
  <c r="E15" i="105"/>
  <c r="F15" i="105" s="1"/>
  <c r="G15" i="105" s="1"/>
  <c r="H15" i="105" s="1"/>
  <c r="I15" i="105" s="1"/>
  <c r="J15" i="105" s="1"/>
  <c r="K15" i="105" s="1"/>
  <c r="L15" i="105" s="1"/>
  <c r="N15" i="105" s="1"/>
  <c r="M3" i="95"/>
  <c r="M3" i="113"/>
  <c r="V7" i="100"/>
  <c r="L3" i="95"/>
  <c r="L3" i="113"/>
  <c r="V7" i="89"/>
  <c r="D15" i="95"/>
  <c r="S33" i="88"/>
  <c r="U33" i="88" s="1"/>
  <c r="D15" i="113"/>
  <c r="S21" i="88"/>
  <c r="U21" i="88" s="1"/>
  <c r="S45" i="88"/>
  <c r="U45" i="88" s="1"/>
  <c r="E21" i="88"/>
  <c r="G21" i="88" s="1"/>
  <c r="E45" i="88"/>
  <c r="G45" i="88" s="1"/>
  <c r="E33" i="88"/>
  <c r="G33" i="88" s="1"/>
  <c r="B8" i="110"/>
  <c r="D8" i="110"/>
  <c r="E8" i="110" s="1"/>
  <c r="W8" i="110" s="1"/>
  <c r="D14" i="104"/>
  <c r="B14" i="104"/>
  <c r="B12" i="105"/>
  <c r="D12" i="105"/>
  <c r="F13" i="80"/>
  <c r="G13" i="80" s="1"/>
  <c r="H13" i="80" s="1"/>
  <c r="I13" i="80" s="1"/>
  <c r="J13" i="80" s="1"/>
  <c r="B12" i="99"/>
  <c r="D12" i="99"/>
  <c r="E2" i="92"/>
  <c r="R14" i="35"/>
  <c r="N14" i="35"/>
  <c r="R7" i="109"/>
  <c r="S21" i="109" s="1"/>
  <c r="U21" i="109" s="1"/>
  <c r="N7" i="109"/>
  <c r="E13" i="100"/>
  <c r="Q3" i="95"/>
  <c r="Q3" i="113"/>
  <c r="V7" i="104"/>
  <c r="D11" i="89"/>
  <c r="B11" i="89"/>
  <c r="F15" i="88"/>
  <c r="B8" i="112"/>
  <c r="D8" i="112"/>
  <c r="T8" i="112" s="1"/>
  <c r="S3" i="95"/>
  <c r="S3" i="113"/>
  <c r="V7" i="106"/>
  <c r="R7" i="100"/>
  <c r="S21" i="100" s="1"/>
  <c r="U21" i="100" s="1"/>
  <c r="N7" i="100"/>
  <c r="Y3" i="95"/>
  <c r="Y3" i="113"/>
  <c r="V7" i="110"/>
  <c r="E11" i="90"/>
  <c r="F11" i="90" s="1"/>
  <c r="G11" i="90" s="1"/>
  <c r="H11" i="90" s="1"/>
  <c r="N11" i="90" s="1"/>
  <c r="E11" i="93"/>
  <c r="F11" i="93" s="1"/>
  <c r="G11" i="93" s="1"/>
  <c r="H11" i="93" s="1"/>
  <c r="N11" i="93" s="1"/>
  <c r="S8" i="96"/>
  <c r="U8" i="96" s="1"/>
  <c r="E8" i="96"/>
  <c r="W8" i="96" s="1"/>
  <c r="E10" i="104"/>
  <c r="F10" i="104" s="1"/>
  <c r="G10" i="104" s="1"/>
  <c r="R10" i="104" s="1"/>
  <c r="S24" i="104" s="1"/>
  <c r="AA3" i="95"/>
  <c r="AA3" i="113"/>
  <c r="V7" i="112"/>
  <c r="R7" i="106"/>
  <c r="S21" i="106" s="1"/>
  <c r="U21" i="106" s="1"/>
  <c r="N7" i="106"/>
  <c r="D15" i="101"/>
  <c r="W12" i="90"/>
  <c r="B14" i="112"/>
  <c r="D14" i="112"/>
  <c r="S8" i="93"/>
  <c r="U8" i="93" s="1"/>
  <c r="E8" i="93"/>
  <c r="W8" i="93" s="1"/>
  <c r="E14" i="93"/>
  <c r="B9" i="99"/>
  <c r="D9" i="99"/>
  <c r="B13" i="112"/>
  <c r="D13" i="112"/>
  <c r="T13" i="88"/>
  <c r="B8" i="109"/>
  <c r="D8" i="109"/>
  <c r="T8" i="109" s="1"/>
  <c r="D16" i="112"/>
  <c r="B16" i="112"/>
  <c r="B9" i="101"/>
  <c r="D9" i="101"/>
  <c r="S7" i="94"/>
  <c r="E16" i="103"/>
  <c r="R7" i="105"/>
  <c r="S21" i="105" s="1"/>
  <c r="U21" i="105" s="1"/>
  <c r="N7" i="105"/>
  <c r="D10" i="110"/>
  <c r="B10" i="110"/>
  <c r="B8" i="104"/>
  <c r="D8" i="104"/>
  <c r="T8" i="104" s="1"/>
  <c r="R7" i="112"/>
  <c r="S21" i="112" s="1"/>
  <c r="U21" i="112" s="1"/>
  <c r="N7" i="112"/>
  <c r="E12" i="96"/>
  <c r="S12" i="80"/>
  <c r="D8" i="106"/>
  <c r="E8" i="106" s="1"/>
  <c r="W8" i="106" s="1"/>
  <c r="B8" i="106"/>
  <c r="E13" i="96"/>
  <c r="F13" i="96" s="1"/>
  <c r="G13" i="96" s="1"/>
  <c r="H13" i="96" s="1"/>
  <c r="I13" i="96" s="1"/>
  <c r="J13" i="96" s="1"/>
  <c r="B10" i="101"/>
  <c r="D10" i="101"/>
  <c r="D10" i="99"/>
  <c r="B10" i="99"/>
  <c r="X3" i="95"/>
  <c r="X3" i="113"/>
  <c r="V7" i="109"/>
  <c r="E15" i="96"/>
  <c r="F15" i="96" s="1"/>
  <c r="G15" i="96" s="1"/>
  <c r="H15" i="96" s="1"/>
  <c r="I15" i="96" s="1"/>
  <c r="J15" i="96" s="1"/>
  <c r="K15" i="96" s="1"/>
  <c r="L15" i="96" s="1"/>
  <c r="R15" i="96" s="1"/>
  <c r="S29" i="96" s="1"/>
  <c r="R7" i="104"/>
  <c r="S21" i="104" s="1"/>
  <c r="U21" i="104" s="1"/>
  <c r="N7" i="104"/>
  <c r="D8" i="107"/>
  <c r="T8" i="107" s="1"/>
  <c r="B8" i="107"/>
  <c r="B16" i="105"/>
  <c r="D16" i="105"/>
  <c r="E9" i="88"/>
  <c r="F9" i="88" s="1"/>
  <c r="R7" i="101"/>
  <c r="S21" i="101" s="1"/>
  <c r="U21" i="101" s="1"/>
  <c r="N7" i="101"/>
  <c r="E16" i="89"/>
  <c r="F16" i="89" s="1"/>
  <c r="G16" i="89" s="1"/>
  <c r="H16" i="89" s="1"/>
  <c r="I16" i="89" s="1"/>
  <c r="J16" i="89" s="1"/>
  <c r="K16" i="89" s="1"/>
  <c r="L16" i="89" s="1"/>
  <c r="M16" i="89" s="1"/>
  <c r="R16" i="89" s="1"/>
  <c r="S30" i="89" s="1"/>
  <c r="B16" i="110"/>
  <c r="D16" i="110"/>
  <c r="N7" i="102"/>
  <c r="R7" i="102"/>
  <c r="S21" i="102" s="1"/>
  <c r="U21" i="102" s="1"/>
  <c r="B18" i="113"/>
  <c r="S36" i="80"/>
  <c r="S48" i="80"/>
  <c r="S24" i="80"/>
  <c r="B18" i="95"/>
  <c r="N16" i="97" s="1"/>
  <c r="E48" i="80"/>
  <c r="E36" i="80"/>
  <c r="E24" i="80"/>
  <c r="B11" i="99"/>
  <c r="D11" i="99"/>
  <c r="E11" i="106"/>
  <c r="B13" i="110"/>
  <c r="D13" i="110"/>
  <c r="B11" i="110"/>
  <c r="D11" i="110"/>
  <c r="D9" i="89"/>
  <c r="B9" i="89"/>
  <c r="B13" i="102"/>
  <c r="D13" i="102"/>
  <c r="D10" i="105"/>
  <c r="B10" i="105"/>
  <c r="D8" i="105"/>
  <c r="T8" i="105" s="1"/>
  <c r="B8" i="105"/>
  <c r="B12" i="101"/>
  <c r="D12" i="101"/>
  <c r="T16" i="96"/>
  <c r="W14" i="35"/>
  <c r="H51" i="95"/>
  <c r="F16" i="80"/>
  <c r="G16" i="80" s="1"/>
  <c r="H16" i="80" s="1"/>
  <c r="I16" i="80" s="1"/>
  <c r="J16" i="80" s="1"/>
  <c r="K16" i="80" s="1"/>
  <c r="L16" i="80" s="1"/>
  <c r="M16" i="80" s="1"/>
  <c r="R3" i="95"/>
  <c r="R3" i="113"/>
  <c r="V7" i="105"/>
  <c r="E14" i="102"/>
  <c r="F14" i="102" s="1"/>
  <c r="G14" i="102" s="1"/>
  <c r="H14" i="102" s="1"/>
  <c r="I14" i="102" s="1"/>
  <c r="J14" i="102" s="1"/>
  <c r="K14" i="102" s="1"/>
  <c r="N14" i="102" s="1"/>
  <c r="D8" i="100"/>
  <c r="E8" i="100" s="1"/>
  <c r="W8" i="100" s="1"/>
  <c r="B8" i="100"/>
  <c r="F13" i="90"/>
  <c r="D9" i="112"/>
  <c r="B9" i="112"/>
  <c r="E10" i="90"/>
  <c r="F10" i="90" s="1"/>
  <c r="B9" i="105"/>
  <c r="D9" i="105"/>
  <c r="N3" i="95"/>
  <c r="N3" i="113"/>
  <c r="V7" i="101"/>
  <c r="N12" i="80"/>
  <c r="D14" i="110"/>
  <c r="B14" i="110"/>
  <c r="B13" i="87"/>
  <c r="T7" i="87"/>
  <c r="B11" i="87"/>
  <c r="D7" i="87"/>
  <c r="D15" i="104"/>
  <c r="O3" i="95"/>
  <c r="O3" i="113"/>
  <c r="V7" i="102"/>
  <c r="E9" i="80"/>
  <c r="F9" i="80" s="1"/>
  <c r="E8" i="80"/>
  <c r="R8" i="80" s="1"/>
  <c r="S8" i="80"/>
  <c r="U8" i="80" s="1"/>
  <c r="H27" i="113"/>
  <c r="T24" i="97" s="1"/>
  <c r="E14" i="109"/>
  <c r="D9" i="100"/>
  <c r="D16" i="99"/>
  <c r="B16" i="99"/>
  <c r="E12" i="93"/>
  <c r="B8" i="111"/>
  <c r="D8" i="111"/>
  <c r="B14" i="89"/>
  <c r="D14" i="89"/>
  <c r="N11" i="80"/>
  <c r="W16" i="96"/>
  <c r="D11" i="101"/>
  <c r="B11" i="101"/>
  <c r="D8" i="108"/>
  <c r="B8" i="108"/>
  <c r="B8" i="99"/>
  <c r="D8" i="99"/>
  <c r="D12" i="110"/>
  <c r="F14" i="80"/>
  <c r="G14" i="80" s="1"/>
  <c r="H14" i="80" s="1"/>
  <c r="I14" i="80" s="1"/>
  <c r="J14" i="80" s="1"/>
  <c r="K14" i="80" s="1"/>
  <c r="H24" i="113"/>
  <c r="H24" i="95"/>
  <c r="E54" i="93"/>
  <c r="E30" i="93"/>
  <c r="S42" i="93"/>
  <c r="S54" i="93"/>
  <c r="E42" i="93"/>
  <c r="E15" i="93"/>
  <c r="B8" i="103"/>
  <c r="D8" i="103"/>
  <c r="S8" i="103" s="1"/>
  <c r="T8" i="88"/>
  <c r="E8" i="88"/>
  <c r="W8" i="88" s="1"/>
  <c r="S8" i="88"/>
  <c r="E13" i="89"/>
  <c r="B16" i="106"/>
  <c r="D16" i="106"/>
  <c r="D15" i="110"/>
  <c r="B15" i="110"/>
  <c r="R7" i="107"/>
  <c r="S21" i="107" s="1"/>
  <c r="U21" i="107" s="1"/>
  <c r="N7" i="107"/>
  <c r="E8" i="90"/>
  <c r="N8" i="90" s="1"/>
  <c r="S8" i="90"/>
  <c r="U8" i="90" s="1"/>
  <c r="D11" i="102"/>
  <c r="B11" i="102"/>
  <c r="T12" i="80"/>
  <c r="D4" i="91"/>
  <c r="C8" i="91" s="1"/>
  <c r="C9" i="91" s="1"/>
  <c r="C10" i="91" s="1"/>
  <c r="C11" i="91" s="1"/>
  <c r="C12" i="91" s="1"/>
  <c r="C13" i="91" s="1"/>
  <c r="C14" i="91" s="1"/>
  <c r="C15" i="91" s="1"/>
  <c r="C16" i="91" s="1"/>
  <c r="D1" i="91"/>
  <c r="E15" i="95"/>
  <c r="S45" i="90"/>
  <c r="U45" i="90" s="1"/>
  <c r="E15" i="113"/>
  <c r="S21" i="90"/>
  <c r="U21" i="90" s="1"/>
  <c r="S33" i="90"/>
  <c r="U33" i="90" s="1"/>
  <c r="E21" i="90"/>
  <c r="G21" i="90" s="1"/>
  <c r="E33" i="90"/>
  <c r="G33" i="90" s="1"/>
  <c r="E45" i="90"/>
  <c r="G45" i="90" s="1"/>
  <c r="B9" i="102"/>
  <c r="D9" i="102"/>
  <c r="D8" i="101"/>
  <c r="B8" i="101"/>
  <c r="D11" i="105"/>
  <c r="B11" i="105"/>
  <c r="D8" i="102"/>
  <c r="S8" i="102" s="1"/>
  <c r="B8" i="102"/>
  <c r="E10" i="96"/>
  <c r="T11" i="80"/>
  <c r="F16" i="88"/>
  <c r="R7" i="99"/>
  <c r="S21" i="99" s="1"/>
  <c r="W7" i="99"/>
  <c r="B14" i="99"/>
  <c r="D14" i="99"/>
  <c r="F9" i="93"/>
  <c r="T9" i="93"/>
  <c r="F14" i="88"/>
  <c r="Z3" i="95"/>
  <c r="Z3" i="113"/>
  <c r="V7" i="111"/>
  <c r="E15" i="90"/>
  <c r="W3" i="95"/>
  <c r="W3" i="113"/>
  <c r="V7" i="108"/>
  <c r="S11" i="80"/>
  <c r="T16" i="93"/>
  <c r="D14" i="101"/>
  <c r="B14" i="101"/>
  <c r="E11" i="104"/>
  <c r="F11" i="104" s="1"/>
  <c r="G11" i="104" s="1"/>
  <c r="H11" i="104" s="1"/>
  <c r="D15" i="112"/>
  <c r="B15" i="112"/>
  <c r="B14" i="100"/>
  <c r="D14" i="100"/>
  <c r="W12" i="80"/>
  <c r="R7" i="89"/>
  <c r="S21" i="89" s="1"/>
  <c r="U21" i="89" s="1"/>
  <c r="N7" i="89"/>
  <c r="E11" i="96"/>
  <c r="E14" i="96"/>
  <c r="E9" i="90"/>
  <c r="S9" i="90" s="1"/>
  <c r="F14" i="90"/>
  <c r="G14" i="90" s="1"/>
  <c r="H14" i="90" s="1"/>
  <c r="I14" i="90" s="1"/>
  <c r="J14" i="90" s="1"/>
  <c r="D12" i="102"/>
  <c r="W11" i="80"/>
  <c r="R7" i="103"/>
  <c r="S21" i="103" s="1"/>
  <c r="U21" i="103" s="1"/>
  <c r="N7" i="103"/>
  <c r="S7" i="87"/>
  <c r="D15" i="99"/>
  <c r="B15" i="99"/>
  <c r="T14" i="35"/>
  <c r="I2" i="92" s="1"/>
  <c r="H4" i="92" s="1"/>
  <c r="F10" i="88"/>
  <c r="S10" i="88" s="1"/>
  <c r="E13" i="93"/>
  <c r="R7" i="111"/>
  <c r="S21" i="111" s="1"/>
  <c r="U21" i="111" s="1"/>
  <c r="N7" i="111"/>
  <c r="N13" i="88"/>
  <c r="E11" i="100"/>
  <c r="R7" i="108"/>
  <c r="S21" i="108" s="1"/>
  <c r="U21" i="108" s="1"/>
  <c r="N7" i="108"/>
  <c r="N7" i="99"/>
  <c r="E16" i="101"/>
  <c r="W16" i="93"/>
  <c r="D12" i="104"/>
  <c r="E12" i="104" s="1"/>
  <c r="F12" i="104" s="1"/>
  <c r="G12" i="104" s="1"/>
  <c r="H12" i="104" s="1"/>
  <c r="B12" i="104"/>
  <c r="D7" i="94"/>
  <c r="T7" i="94"/>
  <c r="D14" i="105"/>
  <c r="B14" i="105"/>
  <c r="E9" i="107"/>
  <c r="K2" i="91"/>
  <c r="J4" i="91" s="1"/>
  <c r="F4" i="91"/>
  <c r="E38" i="80"/>
  <c r="B20" i="113"/>
  <c r="E50" i="80"/>
  <c r="S50" i="80"/>
  <c r="B20" i="95"/>
  <c r="E26" i="80"/>
  <c r="S38" i="80"/>
  <c r="S26" i="80"/>
  <c r="D9" i="103"/>
  <c r="D8" i="89"/>
  <c r="B8" i="89"/>
  <c r="D9" i="110"/>
  <c r="B9" i="110"/>
  <c r="S12" i="90"/>
  <c r="E14" i="111"/>
  <c r="F14" i="111" s="1"/>
  <c r="G14" i="111" s="1"/>
  <c r="H14" i="111" s="1"/>
  <c r="I14" i="111" s="1"/>
  <c r="J14" i="111" s="1"/>
  <c r="K14" i="111" s="1"/>
  <c r="E9" i="96"/>
  <c r="F9" i="96" s="1"/>
  <c r="F15" i="80"/>
  <c r="G15" i="80" s="1"/>
  <c r="H15" i="80" s="1"/>
  <c r="I15" i="80" s="1"/>
  <c r="J15" i="80" s="1"/>
  <c r="K15" i="80" s="1"/>
  <c r="L15" i="80" s="1"/>
  <c r="B15" i="95"/>
  <c r="B15" i="113"/>
  <c r="S45" i="80"/>
  <c r="U45" i="80" s="1"/>
  <c r="S21" i="80"/>
  <c r="U21" i="80" s="1"/>
  <c r="S33" i="80"/>
  <c r="U33" i="80" s="1"/>
  <c r="E33" i="80"/>
  <c r="G33" i="80" s="1"/>
  <c r="E45" i="80"/>
  <c r="G45" i="80" s="1"/>
  <c r="E21" i="80"/>
  <c r="G21" i="80" s="1"/>
  <c r="R7" i="110"/>
  <c r="S21" i="110" s="1"/>
  <c r="U21" i="110" s="1"/>
  <c r="N7" i="110"/>
  <c r="P3" i="95"/>
  <c r="P3" i="113"/>
  <c r="V7" i="103"/>
  <c r="B10" i="112"/>
  <c r="D10" i="112"/>
  <c r="E10" i="112" s="1"/>
  <c r="F10" i="112" s="1"/>
  <c r="F11" i="88"/>
  <c r="G11" i="88" s="1"/>
  <c r="H11" i="88" s="1"/>
  <c r="B15" i="89"/>
  <c r="D15" i="89"/>
  <c r="D13" i="99"/>
  <c r="B13" i="99"/>
  <c r="E10" i="93"/>
  <c r="F10" i="93" s="1"/>
  <c r="G10" i="93" s="1"/>
  <c r="N10" i="93" s="1"/>
  <c r="S14" i="35"/>
  <c r="B13" i="101"/>
  <c r="D13" i="101"/>
  <c r="B12" i="89"/>
  <c r="D12" i="89"/>
  <c r="S9" i="93"/>
  <c r="S7" i="93"/>
  <c r="U7" i="93" s="1"/>
  <c r="S16" i="93"/>
  <c r="J15" i="95"/>
  <c r="S33" i="96"/>
  <c r="U33" i="96" s="1"/>
  <c r="J15" i="113"/>
  <c r="S45" i="96"/>
  <c r="U45" i="96" s="1"/>
  <c r="E33" i="96"/>
  <c r="G33" i="96" s="1"/>
  <c r="E45" i="96"/>
  <c r="G45" i="96" s="1"/>
  <c r="E21" i="96"/>
  <c r="G21" i="96" s="1"/>
  <c r="E16" i="90"/>
  <c r="F16" i="90" s="1"/>
  <c r="G16" i="90" s="1"/>
  <c r="H16" i="90" s="1"/>
  <c r="I16" i="90" s="1"/>
  <c r="J16" i="90" s="1"/>
  <c r="K16" i="90" s="1"/>
  <c r="L16" i="90" s="1"/>
  <c r="M16" i="90" s="1"/>
  <c r="R16" i="90" s="1"/>
  <c r="H12" i="88"/>
  <c r="S12" i="88" s="1"/>
  <c r="N12" i="109" l="1"/>
  <c r="B10" i="107"/>
  <c r="N10" i="108"/>
  <c r="R14" i="106"/>
  <c r="S28" i="106" s="1"/>
  <c r="R11" i="112"/>
  <c r="S25" i="112" s="1"/>
  <c r="R14" i="111"/>
  <c r="S28" i="111" s="1"/>
  <c r="D10" i="107"/>
  <c r="E10" i="107" s="1"/>
  <c r="F10" i="107" s="1"/>
  <c r="S10" i="107" s="1"/>
  <c r="B11" i="107"/>
  <c r="N11" i="107" s="1"/>
  <c r="C13" i="107"/>
  <c r="D12" i="107"/>
  <c r="E12" i="107" s="1"/>
  <c r="B12" i="107"/>
  <c r="S10" i="104"/>
  <c r="U10" i="104" s="1"/>
  <c r="U24" i="104" s="1"/>
  <c r="R11" i="104"/>
  <c r="S25" i="104" s="1"/>
  <c r="T10" i="104"/>
  <c r="S49" i="80"/>
  <c r="B55" i="113" s="1"/>
  <c r="U3" i="113"/>
  <c r="V7" i="99"/>
  <c r="U21" i="99"/>
  <c r="N13" i="108"/>
  <c r="E26" i="90"/>
  <c r="E32" i="95" s="1"/>
  <c r="S13" i="80"/>
  <c r="G21" i="93"/>
  <c r="S50" i="90"/>
  <c r="E56" i="113" s="1"/>
  <c r="E38" i="90"/>
  <c r="E20" i="95"/>
  <c r="E50" i="90"/>
  <c r="E56" i="95" s="1"/>
  <c r="S26" i="90"/>
  <c r="E32" i="113" s="1"/>
  <c r="E20" i="113"/>
  <c r="B19" i="113"/>
  <c r="S25" i="80"/>
  <c r="B31" i="113" s="1"/>
  <c r="S13" i="105"/>
  <c r="E49" i="80"/>
  <c r="B55" i="95" s="1"/>
  <c r="E25" i="80"/>
  <c r="S42" i="96"/>
  <c r="J48" i="113" s="1"/>
  <c r="B19" i="95"/>
  <c r="U7" i="87"/>
  <c r="C3" i="95" s="1"/>
  <c r="O8" i="97" s="1"/>
  <c r="E42" i="96"/>
  <c r="J48" i="95" s="1"/>
  <c r="E37" i="80"/>
  <c r="B43" i="95" s="1"/>
  <c r="S54" i="96"/>
  <c r="J60" i="113" s="1"/>
  <c r="E15" i="103"/>
  <c r="F15" i="103" s="1"/>
  <c r="G15" i="103" s="1"/>
  <c r="H15" i="103" s="1"/>
  <c r="I15" i="103" s="1"/>
  <c r="J15" i="103" s="1"/>
  <c r="K15" i="103" s="1"/>
  <c r="L15" i="103" s="1"/>
  <c r="N15" i="103" s="1"/>
  <c r="E30" i="96"/>
  <c r="J36" i="95" s="1"/>
  <c r="J24" i="113"/>
  <c r="J24" i="95"/>
  <c r="E54" i="96"/>
  <c r="J60" i="95" s="1"/>
  <c r="N13" i="109"/>
  <c r="S13" i="108"/>
  <c r="R13" i="108"/>
  <c r="S27" i="108" s="1"/>
  <c r="W10" i="109"/>
  <c r="R10" i="109"/>
  <c r="S24" i="109" s="1"/>
  <c r="N10" i="109"/>
  <c r="U13" i="88"/>
  <c r="T39" i="88" s="1"/>
  <c r="T10" i="103"/>
  <c r="S10" i="103"/>
  <c r="U12" i="90"/>
  <c r="S8" i="106"/>
  <c r="R16" i="108"/>
  <c r="S30" i="108" s="1"/>
  <c r="T14" i="102"/>
  <c r="S14" i="102"/>
  <c r="T13" i="105"/>
  <c r="R9" i="106"/>
  <c r="S23" i="106" s="1"/>
  <c r="T16" i="89"/>
  <c r="S16" i="89"/>
  <c r="U10" i="80"/>
  <c r="V10" i="80" s="1"/>
  <c r="U16" i="93"/>
  <c r="U30" i="93" s="1"/>
  <c r="N16" i="89"/>
  <c r="F11" i="103"/>
  <c r="G11" i="103" s="1"/>
  <c r="H11" i="103" s="1"/>
  <c r="R11" i="103" s="1"/>
  <c r="S25" i="103" s="1"/>
  <c r="R11" i="90"/>
  <c r="E37" i="90" s="1"/>
  <c r="N9" i="111"/>
  <c r="T12" i="109"/>
  <c r="U16" i="96"/>
  <c r="U30" i="96" s="1"/>
  <c r="T16" i="80"/>
  <c r="R8" i="93"/>
  <c r="S22" i="93" s="1"/>
  <c r="U22" i="93" s="1"/>
  <c r="W13" i="80"/>
  <c r="S10" i="108"/>
  <c r="S8" i="110"/>
  <c r="N9" i="106"/>
  <c r="R15" i="100"/>
  <c r="S29" i="100" s="1"/>
  <c r="N15" i="100"/>
  <c r="T9" i="106"/>
  <c r="N10" i="103"/>
  <c r="S9" i="106"/>
  <c r="T11" i="107"/>
  <c r="S14" i="108"/>
  <c r="S11" i="107"/>
  <c r="W9" i="111"/>
  <c r="N10" i="104"/>
  <c r="T15" i="96"/>
  <c r="W13" i="108"/>
  <c r="T8" i="110"/>
  <c r="R13" i="104"/>
  <c r="S27" i="104" s="1"/>
  <c r="W10" i="103"/>
  <c r="T11" i="93"/>
  <c r="S9" i="80"/>
  <c r="S11" i="93"/>
  <c r="W15" i="96"/>
  <c r="F12" i="112"/>
  <c r="G12" i="112" s="1"/>
  <c r="H12" i="112" s="1"/>
  <c r="I12" i="112" s="1"/>
  <c r="W12" i="112" s="1"/>
  <c r="S9" i="96"/>
  <c r="T14" i="90"/>
  <c r="W14" i="106"/>
  <c r="W13" i="96"/>
  <c r="S10" i="93"/>
  <c r="W11" i="93"/>
  <c r="W16" i="111"/>
  <c r="W9" i="106"/>
  <c r="S14" i="106"/>
  <c r="S8" i="112"/>
  <c r="U8" i="112" s="1"/>
  <c r="AA4" i="113" s="1"/>
  <c r="S15" i="80"/>
  <c r="N13" i="105"/>
  <c r="S13" i="96"/>
  <c r="W14" i="111"/>
  <c r="T12" i="103"/>
  <c r="W9" i="80"/>
  <c r="W16" i="89"/>
  <c r="W14" i="108"/>
  <c r="U8" i="88"/>
  <c r="D4" i="113" s="1"/>
  <c r="S16" i="80"/>
  <c r="W15" i="100"/>
  <c r="T8" i="103"/>
  <c r="U8" i="103" s="1"/>
  <c r="P4" i="113" s="1"/>
  <c r="W12" i="109"/>
  <c r="B44" i="95"/>
  <c r="T8" i="102"/>
  <c r="U8" i="102" s="1"/>
  <c r="T10" i="112"/>
  <c r="N8" i="93"/>
  <c r="B54" i="95"/>
  <c r="W9" i="88"/>
  <c r="B31" i="95"/>
  <c r="W10" i="102"/>
  <c r="D57" i="95"/>
  <c r="W11" i="112"/>
  <c r="F33" i="93"/>
  <c r="U21" i="93"/>
  <c r="R8" i="90"/>
  <c r="E22" i="90" s="1"/>
  <c r="H48" i="95"/>
  <c r="T16" i="108"/>
  <c r="T13" i="109"/>
  <c r="R8" i="96"/>
  <c r="S22" i="96" s="1"/>
  <c r="U22" i="96" s="1"/>
  <c r="S13" i="104"/>
  <c r="D33" i="95"/>
  <c r="G33" i="93"/>
  <c r="U9" i="93"/>
  <c r="H5" i="113" s="1"/>
  <c r="H60" i="113"/>
  <c r="S14" i="80"/>
  <c r="T9" i="80"/>
  <c r="W16" i="108"/>
  <c r="W13" i="109"/>
  <c r="B54" i="113"/>
  <c r="T13" i="96"/>
  <c r="N8" i="96"/>
  <c r="B43" i="113"/>
  <c r="T13" i="104"/>
  <c r="D45" i="95"/>
  <c r="G45" i="93"/>
  <c r="B32" i="95"/>
  <c r="D45" i="113"/>
  <c r="U33" i="93"/>
  <c r="N11" i="112"/>
  <c r="W14" i="80"/>
  <c r="S13" i="109"/>
  <c r="T14" i="80"/>
  <c r="H36" i="95"/>
  <c r="R13" i="109"/>
  <c r="S27" i="109" s="1"/>
  <c r="T10" i="108"/>
  <c r="E44" i="113"/>
  <c r="R10" i="102"/>
  <c r="S24" i="102" s="1"/>
  <c r="S11" i="90"/>
  <c r="U45" i="93"/>
  <c r="H48" i="113"/>
  <c r="T11" i="108"/>
  <c r="S14" i="111"/>
  <c r="W10" i="93"/>
  <c r="S11" i="88"/>
  <c r="B56" i="113"/>
  <c r="H60" i="95"/>
  <c r="B30" i="95"/>
  <c r="N21" i="97" s="1"/>
  <c r="W10" i="108"/>
  <c r="S15" i="96"/>
  <c r="T8" i="106"/>
  <c r="W11" i="90"/>
  <c r="T10" i="102"/>
  <c r="D57" i="113"/>
  <c r="S11" i="112"/>
  <c r="B56" i="95"/>
  <c r="B42" i="95"/>
  <c r="T9" i="88"/>
  <c r="S10" i="102"/>
  <c r="T11" i="112"/>
  <c r="Q18" i="113"/>
  <c r="S36" i="104"/>
  <c r="Q18" i="95"/>
  <c r="E48" i="104"/>
  <c r="E36" i="104"/>
  <c r="E24" i="104"/>
  <c r="S48" i="104"/>
  <c r="E24" i="113"/>
  <c r="E30" i="90"/>
  <c r="E24" i="95"/>
  <c r="E54" i="90"/>
  <c r="E42" i="90"/>
  <c r="S30" i="90"/>
  <c r="S42" i="90"/>
  <c r="S54" i="90"/>
  <c r="H4" i="113"/>
  <c r="V8" i="93"/>
  <c r="H4" i="95"/>
  <c r="R21" i="113"/>
  <c r="R21" i="95"/>
  <c r="E27" i="105"/>
  <c r="E51" i="105"/>
  <c r="E39" i="105"/>
  <c r="S39" i="105"/>
  <c r="S51" i="105"/>
  <c r="S22" i="95"/>
  <c r="J4" i="113"/>
  <c r="V8" i="96"/>
  <c r="J4" i="95"/>
  <c r="E12" i="89"/>
  <c r="F12" i="89" s="1"/>
  <c r="G12" i="89" s="1"/>
  <c r="H12" i="89" s="1"/>
  <c r="I12" i="89" s="1"/>
  <c r="N12" i="89" s="1"/>
  <c r="D9" i="94"/>
  <c r="B9" i="94"/>
  <c r="E15" i="99"/>
  <c r="F15" i="99" s="1"/>
  <c r="G15" i="99" s="1"/>
  <c r="H15" i="99" s="1"/>
  <c r="I15" i="99" s="1"/>
  <c r="J15" i="99" s="1"/>
  <c r="K15" i="99" s="1"/>
  <c r="L15" i="99" s="1"/>
  <c r="R15" i="99" s="1"/>
  <c r="S29" i="99" s="1"/>
  <c r="F15" i="102"/>
  <c r="G15" i="102" s="1"/>
  <c r="H15" i="102" s="1"/>
  <c r="I15" i="102" s="1"/>
  <c r="J15" i="102" s="1"/>
  <c r="K15" i="102" s="1"/>
  <c r="E14" i="99"/>
  <c r="T11" i="104"/>
  <c r="E8" i="101"/>
  <c r="R8" i="101" s="1"/>
  <c r="S22" i="101" s="1"/>
  <c r="S8" i="101"/>
  <c r="F21" i="90"/>
  <c r="E27" i="95"/>
  <c r="F13" i="89"/>
  <c r="G13" i="89" s="1"/>
  <c r="H13" i="89" s="1"/>
  <c r="I13" i="89" s="1"/>
  <c r="J13" i="89" s="1"/>
  <c r="E8" i="108"/>
  <c r="W8" i="108" s="1"/>
  <c r="S8" i="108"/>
  <c r="E9" i="100"/>
  <c r="F9" i="100" s="1"/>
  <c r="T21" i="93"/>
  <c r="D8" i="87"/>
  <c r="T8" i="87" s="1"/>
  <c r="B8" i="87"/>
  <c r="D14" i="87"/>
  <c r="B14" i="87"/>
  <c r="L24" i="113"/>
  <c r="E30" i="89"/>
  <c r="L24" i="95"/>
  <c r="E54" i="89"/>
  <c r="E42" i="89"/>
  <c r="S42" i="89"/>
  <c r="S54" i="89"/>
  <c r="T10" i="90"/>
  <c r="G10" i="90"/>
  <c r="W10" i="90" s="1"/>
  <c r="B30" i="113"/>
  <c r="E16" i="105"/>
  <c r="F16" i="105" s="1"/>
  <c r="G16" i="105" s="1"/>
  <c r="H16" i="105" s="1"/>
  <c r="I16" i="105" s="1"/>
  <c r="J16" i="105" s="1"/>
  <c r="K16" i="105" s="1"/>
  <c r="L16" i="105" s="1"/>
  <c r="M16" i="105" s="1"/>
  <c r="N16" i="105" s="1"/>
  <c r="F13" i="106"/>
  <c r="G13" i="106" s="1"/>
  <c r="H13" i="106" s="1"/>
  <c r="I13" i="106" s="1"/>
  <c r="J13" i="106" s="1"/>
  <c r="M15" i="95"/>
  <c r="S33" i="100"/>
  <c r="M15" i="113"/>
  <c r="S45" i="100"/>
  <c r="U45" i="100" s="1"/>
  <c r="E45" i="100"/>
  <c r="G45" i="100" s="1"/>
  <c r="E21" i="100"/>
  <c r="G21" i="100" s="1"/>
  <c r="E33" i="100"/>
  <c r="F16" i="104"/>
  <c r="G16" i="104" s="1"/>
  <c r="H16" i="104" s="1"/>
  <c r="I16" i="104" s="1"/>
  <c r="J16" i="104" s="1"/>
  <c r="K16" i="104" s="1"/>
  <c r="L16" i="104" s="1"/>
  <c r="M16" i="104" s="1"/>
  <c r="F33" i="88"/>
  <c r="D39" i="95"/>
  <c r="W11" i="88"/>
  <c r="B39" i="113"/>
  <c r="T33" i="80"/>
  <c r="B8" i="94"/>
  <c r="D8" i="94"/>
  <c r="E8" i="94" s="1"/>
  <c r="W8" i="94" s="1"/>
  <c r="J27" i="95"/>
  <c r="F21" i="96"/>
  <c r="E13" i="99"/>
  <c r="F13" i="99" s="1"/>
  <c r="G13" i="99" s="1"/>
  <c r="H13" i="99" s="1"/>
  <c r="I13" i="99" s="1"/>
  <c r="J13" i="99" s="1"/>
  <c r="N13" i="99" s="1"/>
  <c r="E15" i="89"/>
  <c r="B27" i="113"/>
  <c r="T21" i="80"/>
  <c r="W9" i="96"/>
  <c r="R9" i="96"/>
  <c r="S23" i="96" s="1"/>
  <c r="N9" i="96"/>
  <c r="Z22" i="113"/>
  <c r="Z22" i="95"/>
  <c r="E40" i="111"/>
  <c r="T8" i="89"/>
  <c r="E8" i="89"/>
  <c r="N8" i="89" s="1"/>
  <c r="W7" i="94"/>
  <c r="N7" i="94"/>
  <c r="R7" i="94"/>
  <c r="S21" i="94" s="1"/>
  <c r="F13" i="93"/>
  <c r="T9" i="109"/>
  <c r="S14" i="90"/>
  <c r="K14" i="90"/>
  <c r="W14" i="90" s="1"/>
  <c r="F14" i="96"/>
  <c r="E15" i="112"/>
  <c r="G16" i="88"/>
  <c r="T15" i="80"/>
  <c r="E39" i="113"/>
  <c r="T33" i="90"/>
  <c r="D7" i="91"/>
  <c r="T7" i="91"/>
  <c r="E11" i="102"/>
  <c r="E15" i="110"/>
  <c r="R14" i="80"/>
  <c r="N14" i="80"/>
  <c r="F14" i="109"/>
  <c r="B4" i="113"/>
  <c r="B4" i="95"/>
  <c r="W11" i="108"/>
  <c r="E9" i="105"/>
  <c r="W14" i="102"/>
  <c r="E12" i="101"/>
  <c r="E10" i="105"/>
  <c r="F10" i="105" s="1"/>
  <c r="G10" i="105" s="1"/>
  <c r="N10" i="105" s="1"/>
  <c r="E11" i="110"/>
  <c r="F11" i="106"/>
  <c r="T45" i="93"/>
  <c r="E16" i="110"/>
  <c r="S9" i="88"/>
  <c r="Q15" i="95"/>
  <c r="S33" i="104"/>
  <c r="Q15" i="113"/>
  <c r="S45" i="104"/>
  <c r="U45" i="104" s="1"/>
  <c r="E45" i="104"/>
  <c r="G45" i="104" s="1"/>
  <c r="E33" i="104"/>
  <c r="E21" i="104"/>
  <c r="G21" i="104" s="1"/>
  <c r="E10" i="101"/>
  <c r="R8" i="106"/>
  <c r="S22" i="106" s="1"/>
  <c r="N8" i="106"/>
  <c r="E9" i="101"/>
  <c r="S9" i="101" s="1"/>
  <c r="F14" i="93"/>
  <c r="R10" i="108"/>
  <c r="S24" i="108" s="1"/>
  <c r="R12" i="109"/>
  <c r="S26" i="109" s="1"/>
  <c r="F45" i="88"/>
  <c r="D51" i="95"/>
  <c r="T10" i="93"/>
  <c r="S9" i="111"/>
  <c r="S16" i="108"/>
  <c r="S8" i="89"/>
  <c r="S12" i="103"/>
  <c r="F45" i="96"/>
  <c r="J51" i="95"/>
  <c r="B51" i="113"/>
  <c r="T45" i="80"/>
  <c r="E9" i="103"/>
  <c r="F9" i="103" s="1"/>
  <c r="F9" i="107"/>
  <c r="S9" i="107"/>
  <c r="B12" i="94"/>
  <c r="D12" i="94"/>
  <c r="D14" i="94"/>
  <c r="B14" i="94"/>
  <c r="W15" i="95"/>
  <c r="S45" i="108"/>
  <c r="U45" i="108" s="1"/>
  <c r="W15" i="113"/>
  <c r="S33" i="108"/>
  <c r="U33" i="108" s="1"/>
  <c r="E21" i="108"/>
  <c r="G21" i="108" s="1"/>
  <c r="E45" i="108"/>
  <c r="G45" i="108" s="1"/>
  <c r="E33" i="108"/>
  <c r="G33" i="108" s="1"/>
  <c r="F15" i="109"/>
  <c r="G15" i="109" s="1"/>
  <c r="H15" i="109" s="1"/>
  <c r="I15" i="109" s="1"/>
  <c r="J15" i="109" s="1"/>
  <c r="K15" i="109" s="1"/>
  <c r="L15" i="109" s="1"/>
  <c r="T33" i="93"/>
  <c r="N14" i="111"/>
  <c r="L15" i="95"/>
  <c r="L15" i="113"/>
  <c r="S45" i="89"/>
  <c r="U45" i="89" s="1"/>
  <c r="S33" i="89"/>
  <c r="E21" i="89"/>
  <c r="G21" i="89" s="1"/>
  <c r="E45" i="89"/>
  <c r="G45" i="89" s="1"/>
  <c r="E33" i="89"/>
  <c r="E14" i="100"/>
  <c r="F14" i="100" s="1"/>
  <c r="G14" i="100" s="1"/>
  <c r="H14" i="100" s="1"/>
  <c r="I14" i="100" s="1"/>
  <c r="J14" i="100" s="1"/>
  <c r="K14" i="100" s="1"/>
  <c r="N14" i="100" s="1"/>
  <c r="W11" i="104"/>
  <c r="F12" i="108"/>
  <c r="T21" i="90"/>
  <c r="E27" i="113"/>
  <c r="E4" i="113"/>
  <c r="E4" i="95"/>
  <c r="E12" i="110"/>
  <c r="F12" i="110" s="1"/>
  <c r="G12" i="110" s="1"/>
  <c r="H12" i="110" s="1"/>
  <c r="I12" i="110" s="1"/>
  <c r="F16" i="109"/>
  <c r="F12" i="93"/>
  <c r="W8" i="80"/>
  <c r="V8" i="80" s="1"/>
  <c r="D15" i="87"/>
  <c r="B15" i="87"/>
  <c r="F16" i="100"/>
  <c r="T14" i="106"/>
  <c r="E11" i="99"/>
  <c r="B42" i="113"/>
  <c r="AA15" i="95"/>
  <c r="AA15" i="113"/>
  <c r="S45" i="112"/>
  <c r="S33" i="112"/>
  <c r="U33" i="112" s="1"/>
  <c r="E33" i="112"/>
  <c r="G33" i="112" s="1"/>
  <c r="E21" i="112"/>
  <c r="G21" i="112" s="1"/>
  <c r="E45" i="112"/>
  <c r="E9" i="99"/>
  <c r="F9" i="99" s="1"/>
  <c r="R9" i="99" s="1"/>
  <c r="S23" i="99" s="1"/>
  <c r="W10" i="104"/>
  <c r="G15" i="88"/>
  <c r="F12" i="106"/>
  <c r="T13" i="80"/>
  <c r="U13" i="80" s="1"/>
  <c r="N8" i="110"/>
  <c r="R8" i="110"/>
  <c r="S22" i="110" s="1"/>
  <c r="F21" i="88"/>
  <c r="D27" i="95"/>
  <c r="T10" i="109"/>
  <c r="S8" i="100"/>
  <c r="W16" i="80"/>
  <c r="J39" i="95"/>
  <c r="F33" i="96"/>
  <c r="B32" i="113"/>
  <c r="S7" i="91"/>
  <c r="D10" i="94"/>
  <c r="B10" i="94"/>
  <c r="B15" i="94"/>
  <c r="D15" i="94"/>
  <c r="F13" i="111"/>
  <c r="G13" i="111" s="1"/>
  <c r="H13" i="111" s="1"/>
  <c r="I13" i="111" s="1"/>
  <c r="J13" i="111" s="1"/>
  <c r="F9" i="109"/>
  <c r="S9" i="109"/>
  <c r="F9" i="90"/>
  <c r="W9" i="90" s="1"/>
  <c r="T9" i="90"/>
  <c r="U9" i="90" s="1"/>
  <c r="Q19" i="113"/>
  <c r="E37" i="104"/>
  <c r="Q19" i="95"/>
  <c r="E25" i="104"/>
  <c r="S49" i="104"/>
  <c r="E14" i="101"/>
  <c r="F14" i="101" s="1"/>
  <c r="G14" i="101" s="1"/>
  <c r="H14" i="101" s="1"/>
  <c r="I14" i="101" s="1"/>
  <c r="J14" i="101" s="1"/>
  <c r="K14" i="101" s="1"/>
  <c r="R14" i="101" s="1"/>
  <c r="S28" i="101" s="1"/>
  <c r="U15" i="95"/>
  <c r="S45" i="99"/>
  <c r="U45" i="99" s="1"/>
  <c r="U15" i="113"/>
  <c r="S33" i="99"/>
  <c r="E33" i="99"/>
  <c r="E21" i="99"/>
  <c r="G21" i="99" s="1"/>
  <c r="E45" i="99"/>
  <c r="G45" i="99" s="1"/>
  <c r="F10" i="96"/>
  <c r="G10" i="96" s="1"/>
  <c r="E16" i="106"/>
  <c r="F16" i="106" s="1"/>
  <c r="G16" i="106" s="1"/>
  <c r="H16" i="106" s="1"/>
  <c r="I16" i="106" s="1"/>
  <c r="J16" i="106" s="1"/>
  <c r="K16" i="106" s="1"/>
  <c r="L16" i="106" s="1"/>
  <c r="M16" i="106" s="1"/>
  <c r="N16" i="106" s="1"/>
  <c r="B16" i="113"/>
  <c r="S22" i="80"/>
  <c r="S46" i="80"/>
  <c r="S34" i="80"/>
  <c r="U34" i="80" s="1"/>
  <c r="E46" i="80"/>
  <c r="E22" i="80"/>
  <c r="E34" i="80"/>
  <c r="B16" i="95"/>
  <c r="N14" i="97" s="1"/>
  <c r="D13" i="87"/>
  <c r="B12" i="87"/>
  <c r="D12" i="87"/>
  <c r="E9" i="112"/>
  <c r="T9" i="112" s="1"/>
  <c r="F9" i="108"/>
  <c r="W9" i="108" s="1"/>
  <c r="T9" i="108"/>
  <c r="U9" i="108" s="1"/>
  <c r="R16" i="111"/>
  <c r="S30" i="111" s="1"/>
  <c r="E10" i="110"/>
  <c r="F10" i="110" s="1"/>
  <c r="G10" i="110" s="1"/>
  <c r="R10" i="110" s="1"/>
  <c r="S24" i="110" s="1"/>
  <c r="F16" i="103"/>
  <c r="G16" i="103" s="1"/>
  <c r="H16" i="103" s="1"/>
  <c r="I16" i="103" s="1"/>
  <c r="J16" i="103" s="1"/>
  <c r="K16" i="103" s="1"/>
  <c r="L16" i="103" s="1"/>
  <c r="M16" i="103" s="1"/>
  <c r="F12" i="107"/>
  <c r="G12" i="107" s="1"/>
  <c r="H12" i="107" s="1"/>
  <c r="I12" i="107" s="1"/>
  <c r="F15" i="108"/>
  <c r="G15" i="108" s="1"/>
  <c r="H15" i="108" s="1"/>
  <c r="I15" i="108" s="1"/>
  <c r="J15" i="108" s="1"/>
  <c r="K15" i="108" s="1"/>
  <c r="L15" i="108" s="1"/>
  <c r="S12" i="104"/>
  <c r="F9" i="104"/>
  <c r="T9" i="104"/>
  <c r="U9" i="104" s="1"/>
  <c r="N13" i="80"/>
  <c r="R13" i="80"/>
  <c r="T45" i="88"/>
  <c r="D51" i="113"/>
  <c r="S11" i="108"/>
  <c r="W15" i="80"/>
  <c r="F14" i="103"/>
  <c r="R11" i="88"/>
  <c r="N11" i="88"/>
  <c r="Y15" i="95"/>
  <c r="S45" i="110"/>
  <c r="U45" i="110" s="1"/>
  <c r="Y15" i="113"/>
  <c r="S33" i="110"/>
  <c r="U33" i="110" s="1"/>
  <c r="E21" i="110"/>
  <c r="G21" i="110" s="1"/>
  <c r="E33" i="110"/>
  <c r="G33" i="110" s="1"/>
  <c r="E45" i="110"/>
  <c r="G45" i="110" s="1"/>
  <c r="B44" i="113"/>
  <c r="D13" i="94"/>
  <c r="B13" i="94"/>
  <c r="F16" i="101"/>
  <c r="F13" i="103"/>
  <c r="E12" i="102"/>
  <c r="F12" i="102" s="1"/>
  <c r="G12" i="102" s="1"/>
  <c r="H12" i="102" s="1"/>
  <c r="I12" i="102" s="1"/>
  <c r="J36" i="113"/>
  <c r="E9" i="102"/>
  <c r="T45" i="90"/>
  <c r="E51" i="113"/>
  <c r="W8" i="90"/>
  <c r="V8" i="90" s="1"/>
  <c r="F15" i="93"/>
  <c r="E11" i="101"/>
  <c r="F11" i="101" s="1"/>
  <c r="G11" i="101" s="1"/>
  <c r="H11" i="101" s="1"/>
  <c r="R11" i="101" s="1"/>
  <c r="S25" i="101" s="1"/>
  <c r="W7" i="87"/>
  <c r="N7" i="87"/>
  <c r="R7" i="87"/>
  <c r="E13" i="102"/>
  <c r="R11" i="108"/>
  <c r="S25" i="108" s="1"/>
  <c r="N9" i="88"/>
  <c r="R9" i="88"/>
  <c r="U12" i="80"/>
  <c r="T26" i="80" s="1"/>
  <c r="S15" i="95"/>
  <c r="S33" i="106"/>
  <c r="S15" i="113"/>
  <c r="S45" i="106"/>
  <c r="U45" i="106" s="1"/>
  <c r="E33" i="106"/>
  <c r="E21" i="106"/>
  <c r="G21" i="106" s="1"/>
  <c r="E45" i="106"/>
  <c r="G45" i="106" s="1"/>
  <c r="F11" i="109"/>
  <c r="N16" i="90"/>
  <c r="X15" i="95"/>
  <c r="S33" i="109"/>
  <c r="U33" i="109" s="1"/>
  <c r="X15" i="113"/>
  <c r="S45" i="109"/>
  <c r="U45" i="109" s="1"/>
  <c r="E33" i="109"/>
  <c r="G33" i="109" s="1"/>
  <c r="E45" i="109"/>
  <c r="G45" i="109" s="1"/>
  <c r="E21" i="109"/>
  <c r="G21" i="109" s="1"/>
  <c r="D4" i="92"/>
  <c r="C8" i="92" s="1"/>
  <c r="C9" i="92" s="1"/>
  <c r="C10" i="92" s="1"/>
  <c r="C11" i="92" s="1"/>
  <c r="C12" i="92" s="1"/>
  <c r="C13" i="92" s="1"/>
  <c r="C14" i="92" s="1"/>
  <c r="C15" i="92" s="1"/>
  <c r="C16" i="92" s="1"/>
  <c r="D1" i="92"/>
  <c r="E14" i="104"/>
  <c r="N14" i="106"/>
  <c r="T21" i="88"/>
  <c r="D27" i="113"/>
  <c r="S16" i="111"/>
  <c r="T14" i="108"/>
  <c r="W13" i="104"/>
  <c r="S37" i="112"/>
  <c r="T45" i="96"/>
  <c r="J51" i="113"/>
  <c r="G2" i="92"/>
  <c r="U14" i="35"/>
  <c r="V14" i="35" s="1"/>
  <c r="B27" i="95"/>
  <c r="F21" i="80"/>
  <c r="E9" i="110"/>
  <c r="E14" i="105"/>
  <c r="B11" i="94"/>
  <c r="D11" i="94"/>
  <c r="F11" i="100"/>
  <c r="G11" i="100" s="1"/>
  <c r="H11" i="100" s="1"/>
  <c r="G10" i="88"/>
  <c r="T10" i="88"/>
  <c r="U10" i="88" s="1"/>
  <c r="F11" i="96"/>
  <c r="F10" i="106"/>
  <c r="S10" i="106" s="1"/>
  <c r="G14" i="88"/>
  <c r="E11" i="105"/>
  <c r="H36" i="113"/>
  <c r="E14" i="89"/>
  <c r="D16" i="87"/>
  <c r="B16" i="87"/>
  <c r="G13" i="90"/>
  <c r="E8" i="105"/>
  <c r="N8" i="105" s="1"/>
  <c r="S8" i="105"/>
  <c r="U8" i="105" s="1"/>
  <c r="O15" i="95"/>
  <c r="S33" i="102"/>
  <c r="O15" i="113"/>
  <c r="S45" i="102"/>
  <c r="U45" i="102" s="1"/>
  <c r="E45" i="102"/>
  <c r="G45" i="102" s="1"/>
  <c r="E33" i="102"/>
  <c r="E21" i="102"/>
  <c r="G21" i="102" s="1"/>
  <c r="E10" i="99"/>
  <c r="P18" i="113"/>
  <c r="S36" i="103"/>
  <c r="P18" i="95"/>
  <c r="E36" i="103"/>
  <c r="E24" i="103"/>
  <c r="E48" i="103"/>
  <c r="S48" i="103"/>
  <c r="U7" i="94"/>
  <c r="E16" i="112"/>
  <c r="F10" i="100"/>
  <c r="G10" i="100" s="1"/>
  <c r="E15" i="101"/>
  <c r="F15" i="101" s="1"/>
  <c r="G15" i="101" s="1"/>
  <c r="H15" i="101" s="1"/>
  <c r="I15" i="101" s="1"/>
  <c r="J15" i="101" s="1"/>
  <c r="K15" i="101" s="1"/>
  <c r="L15" i="101" s="1"/>
  <c r="R12" i="103"/>
  <c r="S26" i="103" s="1"/>
  <c r="R15" i="105"/>
  <c r="S29" i="105" s="1"/>
  <c r="E11" i="89"/>
  <c r="S10" i="109"/>
  <c r="R10" i="93"/>
  <c r="S24" i="93" s="1"/>
  <c r="E12" i="105"/>
  <c r="F12" i="105" s="1"/>
  <c r="G12" i="105" s="1"/>
  <c r="H12" i="105" s="1"/>
  <c r="I12" i="105" s="1"/>
  <c r="R12" i="105" s="1"/>
  <c r="S26" i="105" s="1"/>
  <c r="S15" i="105"/>
  <c r="T16" i="90"/>
  <c r="H3" i="95"/>
  <c r="T8" i="97" s="1"/>
  <c r="T44" i="97" s="1"/>
  <c r="H3" i="113"/>
  <c r="H63" i="113" s="1"/>
  <c r="T34" i="97" s="1"/>
  <c r="V7" i="93"/>
  <c r="S16" i="90"/>
  <c r="W22" i="113"/>
  <c r="E28" i="108"/>
  <c r="W22" i="95"/>
  <c r="E40" i="108"/>
  <c r="S40" i="108"/>
  <c r="E52" i="108"/>
  <c r="S52" i="108"/>
  <c r="S10" i="112"/>
  <c r="G10" i="112"/>
  <c r="W10" i="112" s="1"/>
  <c r="F45" i="80"/>
  <c r="B51" i="95"/>
  <c r="R15" i="80"/>
  <c r="N15" i="80"/>
  <c r="E48" i="109"/>
  <c r="B16" i="94"/>
  <c r="D16" i="94"/>
  <c r="T12" i="104"/>
  <c r="I12" i="104"/>
  <c r="W12" i="104" s="1"/>
  <c r="P15" i="95"/>
  <c r="S45" i="103"/>
  <c r="U45" i="103" s="1"/>
  <c r="P15" i="113"/>
  <c r="S33" i="103"/>
  <c r="E21" i="103"/>
  <c r="G21" i="103" s="1"/>
  <c r="E45" i="103"/>
  <c r="G45" i="103" s="1"/>
  <c r="E33" i="103"/>
  <c r="F12" i="100"/>
  <c r="N8" i="80"/>
  <c r="E8" i="102"/>
  <c r="N8" i="102" s="1"/>
  <c r="T8" i="101"/>
  <c r="F45" i="90"/>
  <c r="E51" i="95"/>
  <c r="V15" i="95"/>
  <c r="S33" i="107"/>
  <c r="U33" i="107" s="1"/>
  <c r="V15" i="113"/>
  <c r="S45" i="107"/>
  <c r="U45" i="107" s="1"/>
  <c r="E33" i="107"/>
  <c r="G33" i="107" s="1"/>
  <c r="E21" i="107"/>
  <c r="G21" i="107" s="1"/>
  <c r="E45" i="107"/>
  <c r="G45" i="107" s="1"/>
  <c r="E8" i="99"/>
  <c r="N8" i="99" s="1"/>
  <c r="S8" i="99"/>
  <c r="T8" i="99"/>
  <c r="T8" i="108"/>
  <c r="F12" i="111"/>
  <c r="D11" i="87"/>
  <c r="D10" i="87"/>
  <c r="B10" i="87"/>
  <c r="E14" i="110"/>
  <c r="S10" i="90"/>
  <c r="T8" i="100"/>
  <c r="F45" i="93"/>
  <c r="F16" i="102"/>
  <c r="E13" i="110"/>
  <c r="F10" i="89"/>
  <c r="S10" i="89" s="1"/>
  <c r="J23" i="113"/>
  <c r="E29" i="96"/>
  <c r="J23" i="95"/>
  <c r="S41" i="96"/>
  <c r="S53" i="96"/>
  <c r="E41" i="96"/>
  <c r="E53" i="96"/>
  <c r="F12" i="96"/>
  <c r="S8" i="104"/>
  <c r="U8" i="104" s="1"/>
  <c r="E8" i="104"/>
  <c r="R8" i="104" s="1"/>
  <c r="S22" i="104" s="1"/>
  <c r="N8" i="88"/>
  <c r="R14" i="102"/>
  <c r="S28" i="102" s="1"/>
  <c r="F13" i="100"/>
  <c r="N14" i="108"/>
  <c r="F21" i="93"/>
  <c r="R9" i="111"/>
  <c r="S23" i="111" s="1"/>
  <c r="R11" i="93"/>
  <c r="S25" i="93" s="1"/>
  <c r="T33" i="88"/>
  <c r="D39" i="113"/>
  <c r="T15" i="105"/>
  <c r="S15" i="100"/>
  <c r="S11" i="104"/>
  <c r="E13" i="101"/>
  <c r="F13" i="101" s="1"/>
  <c r="G13" i="101" s="1"/>
  <c r="H13" i="101" s="1"/>
  <c r="I13" i="101" s="1"/>
  <c r="J13" i="101" s="1"/>
  <c r="R13" i="101" s="1"/>
  <c r="S27" i="101" s="1"/>
  <c r="T21" i="96"/>
  <c r="J27" i="113"/>
  <c r="T12" i="88"/>
  <c r="U12" i="88" s="1"/>
  <c r="I12" i="88"/>
  <c r="F15" i="111"/>
  <c r="W16" i="90"/>
  <c r="T33" i="96"/>
  <c r="J39" i="113"/>
  <c r="T9" i="107"/>
  <c r="F33" i="80"/>
  <c r="B39" i="95"/>
  <c r="T9" i="96"/>
  <c r="T14" i="111"/>
  <c r="F15" i="106"/>
  <c r="T16" i="111"/>
  <c r="F11" i="111"/>
  <c r="Z15" i="95"/>
  <c r="S33" i="111"/>
  <c r="U33" i="111" s="1"/>
  <c r="Z15" i="113"/>
  <c r="S45" i="111"/>
  <c r="U45" i="111" s="1"/>
  <c r="E21" i="111"/>
  <c r="G21" i="111" s="1"/>
  <c r="E45" i="111"/>
  <c r="G45" i="111" s="1"/>
  <c r="E33" i="111"/>
  <c r="G33" i="111" s="1"/>
  <c r="F10" i="111"/>
  <c r="U11" i="80"/>
  <c r="F15" i="90"/>
  <c r="G15" i="90" s="1"/>
  <c r="H15" i="90" s="1"/>
  <c r="I15" i="90" s="1"/>
  <c r="J15" i="90" s="1"/>
  <c r="K15" i="90" s="1"/>
  <c r="L15" i="90" s="1"/>
  <c r="W9" i="93"/>
  <c r="R9" i="93"/>
  <c r="S23" i="93" s="1"/>
  <c r="N9" i="93"/>
  <c r="T11" i="88"/>
  <c r="F33" i="90"/>
  <c r="E39" i="95"/>
  <c r="E8" i="103"/>
  <c r="W8" i="103" s="1"/>
  <c r="W12" i="103"/>
  <c r="T8" i="111"/>
  <c r="E8" i="111"/>
  <c r="R8" i="111" s="1"/>
  <c r="S22" i="111" s="1"/>
  <c r="S8" i="111"/>
  <c r="E16" i="99"/>
  <c r="F16" i="99" s="1"/>
  <c r="G16" i="99" s="1"/>
  <c r="H16" i="99" s="1"/>
  <c r="I16" i="99" s="1"/>
  <c r="J16" i="99" s="1"/>
  <c r="K16" i="99" s="1"/>
  <c r="L16" i="99" s="1"/>
  <c r="M16" i="99" s="1"/>
  <c r="N16" i="99" s="1"/>
  <c r="R9" i="80"/>
  <c r="N9" i="80"/>
  <c r="E15" i="104"/>
  <c r="F15" i="104" s="1"/>
  <c r="G15" i="104" s="1"/>
  <c r="H15" i="104" s="1"/>
  <c r="I15" i="104" s="1"/>
  <c r="J15" i="104" s="1"/>
  <c r="K15" i="104" s="1"/>
  <c r="L15" i="104" s="1"/>
  <c r="B9" i="87"/>
  <c r="D9" i="87"/>
  <c r="N8" i="100"/>
  <c r="R8" i="100"/>
  <c r="S22" i="100" s="1"/>
  <c r="N16" i="80"/>
  <c r="R16" i="80"/>
  <c r="T9" i="111"/>
  <c r="E9" i="89"/>
  <c r="N15" i="95"/>
  <c r="S45" i="101"/>
  <c r="U45" i="101" s="1"/>
  <c r="N15" i="113"/>
  <c r="S33" i="101"/>
  <c r="E21" i="101"/>
  <c r="G21" i="101" s="1"/>
  <c r="E33" i="101"/>
  <c r="E45" i="101"/>
  <c r="G45" i="101" s="1"/>
  <c r="E8" i="107"/>
  <c r="R8" i="107" s="1"/>
  <c r="S22" i="107" s="1"/>
  <c r="S8" i="107"/>
  <c r="U8" i="107" s="1"/>
  <c r="N13" i="96"/>
  <c r="R13" i="96"/>
  <c r="S27" i="96" s="1"/>
  <c r="R15" i="95"/>
  <c r="R15" i="113"/>
  <c r="S33" i="105"/>
  <c r="S45" i="105"/>
  <c r="U45" i="105" s="1"/>
  <c r="E33" i="105"/>
  <c r="E21" i="105"/>
  <c r="G21" i="105" s="1"/>
  <c r="E45" i="105"/>
  <c r="G45" i="105" s="1"/>
  <c r="E8" i="109"/>
  <c r="R8" i="109" s="1"/>
  <c r="S22" i="109" s="1"/>
  <c r="S8" i="109"/>
  <c r="U8" i="109" s="1"/>
  <c r="E13" i="112"/>
  <c r="R8" i="88"/>
  <c r="E14" i="112"/>
  <c r="E8" i="112"/>
  <c r="R8" i="112" s="1"/>
  <c r="S22" i="112" s="1"/>
  <c r="N15" i="96"/>
  <c r="N11" i="104"/>
  <c r="E12" i="99"/>
  <c r="T13" i="108"/>
  <c r="W13" i="105"/>
  <c r="W15" i="105"/>
  <c r="S12" i="109"/>
  <c r="T15" i="100"/>
  <c r="T11" i="90"/>
  <c r="D33" i="113"/>
  <c r="E52" i="106" l="1"/>
  <c r="E28" i="106"/>
  <c r="E40" i="106"/>
  <c r="S22" i="113"/>
  <c r="S52" i="106"/>
  <c r="S58" i="113" s="1"/>
  <c r="S40" i="106"/>
  <c r="R11" i="107"/>
  <c r="S25" i="107" s="1"/>
  <c r="S49" i="112"/>
  <c r="AA19" i="113"/>
  <c r="E37" i="112"/>
  <c r="E24" i="109"/>
  <c r="X30" i="95" s="1"/>
  <c r="E49" i="112"/>
  <c r="E36" i="109"/>
  <c r="X42" i="95" s="1"/>
  <c r="S36" i="109"/>
  <c r="X42" i="113" s="1"/>
  <c r="S48" i="109"/>
  <c r="X54" i="113" s="1"/>
  <c r="X18" i="113"/>
  <c r="X18" i="95"/>
  <c r="E25" i="112"/>
  <c r="AA31" i="95" s="1"/>
  <c r="AA19" i="95"/>
  <c r="U49" i="80"/>
  <c r="S52" i="111"/>
  <c r="Z58" i="113" s="1"/>
  <c r="E28" i="111"/>
  <c r="Z34" i="95" s="1"/>
  <c r="S40" i="111"/>
  <c r="Z46" i="113" s="1"/>
  <c r="E52" i="111"/>
  <c r="Z58" i="95" s="1"/>
  <c r="C14" i="107"/>
  <c r="B13" i="107"/>
  <c r="D13" i="107"/>
  <c r="E13" i="107" s="1"/>
  <c r="F13" i="107" s="1"/>
  <c r="G13" i="107" s="1"/>
  <c r="H13" i="107" s="1"/>
  <c r="I13" i="107" s="1"/>
  <c r="J13" i="107" s="1"/>
  <c r="E49" i="104"/>
  <c r="S37" i="104"/>
  <c r="W13" i="106"/>
  <c r="R15" i="103"/>
  <c r="S29" i="103" s="1"/>
  <c r="W15" i="103"/>
  <c r="E30" i="108"/>
  <c r="S51" i="108"/>
  <c r="W57" i="113" s="1"/>
  <c r="E27" i="108"/>
  <c r="W33" i="95" s="1"/>
  <c r="F39" i="88"/>
  <c r="E51" i="108"/>
  <c r="W57" i="95" s="1"/>
  <c r="W21" i="95"/>
  <c r="F36" i="80"/>
  <c r="F51" i="88"/>
  <c r="G39" i="88"/>
  <c r="T26" i="90"/>
  <c r="T27" i="88"/>
  <c r="S39" i="108"/>
  <c r="W45" i="113" s="1"/>
  <c r="W21" i="113"/>
  <c r="M23" i="95"/>
  <c r="T51" i="88"/>
  <c r="V13" i="88"/>
  <c r="E39" i="108"/>
  <c r="W45" i="95" s="1"/>
  <c r="T30" i="96"/>
  <c r="F27" i="88"/>
  <c r="D9" i="113"/>
  <c r="D69" i="113" s="1"/>
  <c r="U27" i="88"/>
  <c r="E25" i="103"/>
  <c r="P31" i="95" s="1"/>
  <c r="S37" i="103"/>
  <c r="E37" i="103"/>
  <c r="P19" i="113"/>
  <c r="E49" i="103"/>
  <c r="P55" i="95" s="1"/>
  <c r="F38" i="90"/>
  <c r="P19" i="95"/>
  <c r="S49" i="103"/>
  <c r="P55" i="113" s="1"/>
  <c r="S42" i="108"/>
  <c r="W48" i="113" s="1"/>
  <c r="W24" i="95"/>
  <c r="E44" i="95"/>
  <c r="S54" i="108"/>
  <c r="W60" i="113" s="1"/>
  <c r="E42" i="108"/>
  <c r="W48" i="95" s="1"/>
  <c r="E35" i="106"/>
  <c r="E54" i="108"/>
  <c r="W24" i="113"/>
  <c r="G38" i="90"/>
  <c r="D4" i="95"/>
  <c r="P9" i="97" s="1"/>
  <c r="V8" i="88"/>
  <c r="F50" i="90"/>
  <c r="H5" i="95"/>
  <c r="T10" i="97" s="1"/>
  <c r="F26" i="90"/>
  <c r="G26" i="90"/>
  <c r="V12" i="90"/>
  <c r="U13" i="105"/>
  <c r="U27" i="105" s="1"/>
  <c r="E8" i="95"/>
  <c r="E67" i="95" s="1"/>
  <c r="T38" i="90"/>
  <c r="E53" i="100"/>
  <c r="M59" i="95" s="1"/>
  <c r="U13" i="108"/>
  <c r="U27" i="108" s="1"/>
  <c r="E8" i="113"/>
  <c r="E68" i="113" s="1"/>
  <c r="E41" i="100"/>
  <c r="T50" i="90"/>
  <c r="U50" i="90"/>
  <c r="V7" i="87"/>
  <c r="E29" i="100"/>
  <c r="M47" i="95" s="1"/>
  <c r="T15" i="103"/>
  <c r="C3" i="113"/>
  <c r="M23" i="113"/>
  <c r="U8" i="89"/>
  <c r="L4" i="113" s="1"/>
  <c r="W16" i="104"/>
  <c r="T13" i="106"/>
  <c r="S53" i="100"/>
  <c r="M59" i="113" s="1"/>
  <c r="S37" i="90"/>
  <c r="E43" i="113" s="1"/>
  <c r="S41" i="100"/>
  <c r="E25" i="90"/>
  <c r="S17" i="95"/>
  <c r="E49" i="90"/>
  <c r="E55" i="95" s="1"/>
  <c r="E23" i="106"/>
  <c r="S29" i="95" s="1"/>
  <c r="S8" i="94"/>
  <c r="N8" i="104"/>
  <c r="T8" i="94"/>
  <c r="S35" i="106"/>
  <c r="E19" i="95"/>
  <c r="U9" i="106"/>
  <c r="U23" i="106" s="1"/>
  <c r="S17" i="113"/>
  <c r="S25" i="90"/>
  <c r="E19" i="113"/>
  <c r="S47" i="106"/>
  <c r="S53" i="113" s="1"/>
  <c r="S49" i="90"/>
  <c r="E55" i="113" s="1"/>
  <c r="E51" i="109"/>
  <c r="X57" i="95" s="1"/>
  <c r="E47" i="106"/>
  <c r="U10" i="108"/>
  <c r="W6" i="95" s="1"/>
  <c r="S15" i="103"/>
  <c r="E22" i="93"/>
  <c r="H28" i="95" s="1"/>
  <c r="T19" i="97" s="1"/>
  <c r="U10" i="103"/>
  <c r="G24" i="103" s="1"/>
  <c r="U36" i="80"/>
  <c r="G36" i="80"/>
  <c r="U9" i="80"/>
  <c r="B5" i="113" s="1"/>
  <c r="U14" i="102"/>
  <c r="V14" i="102" s="1"/>
  <c r="U8" i="106"/>
  <c r="V8" i="106" s="1"/>
  <c r="G30" i="93"/>
  <c r="V16" i="93"/>
  <c r="U16" i="80"/>
  <c r="B12" i="113" s="1"/>
  <c r="F42" i="93"/>
  <c r="F42" i="96"/>
  <c r="D9" i="95"/>
  <c r="D68" i="95" s="1"/>
  <c r="U39" i="88"/>
  <c r="G27" i="88"/>
  <c r="H12" i="95"/>
  <c r="H71" i="95" s="1"/>
  <c r="T30" i="93"/>
  <c r="U26" i="90"/>
  <c r="U13" i="104"/>
  <c r="U27" i="104" s="1"/>
  <c r="G42" i="93"/>
  <c r="G51" i="88"/>
  <c r="U8" i="110"/>
  <c r="Y4" i="113" s="1"/>
  <c r="U16" i="89"/>
  <c r="U30" i="89" s="1"/>
  <c r="F30" i="93"/>
  <c r="F54" i="93"/>
  <c r="U51" i="88"/>
  <c r="U38" i="90"/>
  <c r="G50" i="90"/>
  <c r="W11" i="103"/>
  <c r="H12" i="113"/>
  <c r="H72" i="113" s="1"/>
  <c r="T11" i="103"/>
  <c r="U54" i="93"/>
  <c r="N11" i="103"/>
  <c r="S11" i="103"/>
  <c r="G54" i="93"/>
  <c r="S13" i="111"/>
  <c r="T42" i="93"/>
  <c r="T54" i="93"/>
  <c r="U42" i="93"/>
  <c r="U12" i="109"/>
  <c r="U26" i="109" s="1"/>
  <c r="U10" i="90"/>
  <c r="V10" i="90" s="1"/>
  <c r="N12" i="105"/>
  <c r="R8" i="108"/>
  <c r="S22" i="108" s="1"/>
  <c r="N8" i="108"/>
  <c r="T24" i="80"/>
  <c r="B6" i="95"/>
  <c r="N11" i="97" s="1"/>
  <c r="N41" i="97" s="1"/>
  <c r="V19" i="95"/>
  <c r="N8" i="101"/>
  <c r="U11" i="108"/>
  <c r="W7" i="113" s="1"/>
  <c r="T48" i="80"/>
  <c r="U48" i="80"/>
  <c r="F48" i="80"/>
  <c r="B6" i="113"/>
  <c r="B66" i="113" s="1"/>
  <c r="R12" i="112"/>
  <c r="S26" i="112" s="1"/>
  <c r="U24" i="80"/>
  <c r="U16" i="90"/>
  <c r="G30" i="90" s="1"/>
  <c r="U13" i="109"/>
  <c r="X9" i="95" s="1"/>
  <c r="T10" i="105"/>
  <c r="U14" i="111"/>
  <c r="U28" i="111" s="1"/>
  <c r="T36" i="80"/>
  <c r="G24" i="80"/>
  <c r="G48" i="80"/>
  <c r="F24" i="80"/>
  <c r="N12" i="112"/>
  <c r="S46" i="93"/>
  <c r="T46" i="93" s="1"/>
  <c r="E46" i="93"/>
  <c r="G46" i="93" s="1"/>
  <c r="E34" i="93"/>
  <c r="H40" i="95" s="1"/>
  <c r="H16" i="95"/>
  <c r="T14" i="97" s="1"/>
  <c r="S34" i="93"/>
  <c r="U34" i="93" s="1"/>
  <c r="H16" i="113"/>
  <c r="E49" i="107"/>
  <c r="V55" i="95" s="1"/>
  <c r="E39" i="104"/>
  <c r="S39" i="109"/>
  <c r="X45" i="113" s="1"/>
  <c r="J12" i="113"/>
  <c r="J72" i="113" s="1"/>
  <c r="G54" i="96"/>
  <c r="N15" i="99"/>
  <c r="U10" i="109"/>
  <c r="U24" i="109" s="1"/>
  <c r="X21" i="113"/>
  <c r="T54" i="96"/>
  <c r="F48" i="104"/>
  <c r="U42" i="96"/>
  <c r="G30" i="96"/>
  <c r="T42" i="96"/>
  <c r="F30" i="96"/>
  <c r="T48" i="104"/>
  <c r="J12" i="95"/>
  <c r="J71" i="95" s="1"/>
  <c r="U54" i="96"/>
  <c r="E39" i="109"/>
  <c r="F54" i="96"/>
  <c r="F24" i="104"/>
  <c r="S51" i="109"/>
  <c r="V16" i="96"/>
  <c r="S15" i="99"/>
  <c r="G42" i="96"/>
  <c r="S51" i="104"/>
  <c r="Q57" i="113" s="1"/>
  <c r="G36" i="104"/>
  <c r="F36" i="104"/>
  <c r="E51" i="104"/>
  <c r="Q57" i="95" s="1"/>
  <c r="E37" i="107"/>
  <c r="S37" i="107"/>
  <c r="V43" i="113" s="1"/>
  <c r="U9" i="96"/>
  <c r="U23" i="96" s="1"/>
  <c r="Q6" i="95"/>
  <c r="S39" i="104"/>
  <c r="V19" i="113"/>
  <c r="V10" i="104"/>
  <c r="E27" i="104"/>
  <c r="Q6" i="113"/>
  <c r="Q21" i="95"/>
  <c r="T12" i="112"/>
  <c r="S49" i="107"/>
  <c r="V55" i="113" s="1"/>
  <c r="U11" i="104"/>
  <c r="U25" i="104" s="1"/>
  <c r="Q21" i="113"/>
  <c r="E25" i="107"/>
  <c r="V31" i="95" s="1"/>
  <c r="G24" i="104"/>
  <c r="U10" i="112"/>
  <c r="AA6" i="113" s="1"/>
  <c r="E16" i="113"/>
  <c r="S12" i="112"/>
  <c r="R10" i="112"/>
  <c r="S24" i="112" s="1"/>
  <c r="U14" i="108"/>
  <c r="U28" i="108" s="1"/>
  <c r="U13" i="96"/>
  <c r="J9" i="95" s="1"/>
  <c r="U11" i="107"/>
  <c r="E46" i="90"/>
  <c r="F46" i="90" s="1"/>
  <c r="E34" i="90"/>
  <c r="E40" i="95" s="1"/>
  <c r="X21" i="95"/>
  <c r="U16" i="108"/>
  <c r="U30" i="108" s="1"/>
  <c r="U14" i="80"/>
  <c r="B10" i="113" s="1"/>
  <c r="U14" i="90"/>
  <c r="V14" i="90" s="1"/>
  <c r="E27" i="109"/>
  <c r="V11" i="107"/>
  <c r="T15" i="104"/>
  <c r="U11" i="90"/>
  <c r="G37" i="90" s="1"/>
  <c r="T12" i="89"/>
  <c r="U12" i="103"/>
  <c r="V12" i="103" s="1"/>
  <c r="U14" i="106"/>
  <c r="U28" i="106" s="1"/>
  <c r="W13" i="89"/>
  <c r="E46" i="96"/>
  <c r="J52" i="95" s="1"/>
  <c r="T13" i="89"/>
  <c r="U15" i="96"/>
  <c r="U29" i="96" s="1"/>
  <c r="R14" i="100"/>
  <c r="S28" i="100" s="1"/>
  <c r="AA4" i="95"/>
  <c r="T13" i="99"/>
  <c r="V9" i="93"/>
  <c r="U22" i="112"/>
  <c r="U11" i="93"/>
  <c r="U25" i="93" s="1"/>
  <c r="U23" i="93"/>
  <c r="N9" i="99"/>
  <c r="V8" i="103"/>
  <c r="U22" i="104"/>
  <c r="S11" i="100"/>
  <c r="S46" i="96"/>
  <c r="T46" i="96" s="1"/>
  <c r="E24" i="102"/>
  <c r="O42" i="95" s="1"/>
  <c r="R16" i="105"/>
  <c r="S30" i="105" s="1"/>
  <c r="T16" i="105"/>
  <c r="J16" i="95"/>
  <c r="V14" i="97" s="1"/>
  <c r="S14" i="101"/>
  <c r="E22" i="96"/>
  <c r="J28" i="95" s="1"/>
  <c r="V19" i="97" s="1"/>
  <c r="S9" i="100"/>
  <c r="E34" i="96"/>
  <c r="J40" i="95" s="1"/>
  <c r="W15" i="104"/>
  <c r="U11" i="88"/>
  <c r="D7" i="113" s="1"/>
  <c r="W12" i="105"/>
  <c r="S34" i="96"/>
  <c r="J40" i="113" s="1"/>
  <c r="U10" i="93"/>
  <c r="U24" i="93" s="1"/>
  <c r="U9" i="107"/>
  <c r="V5" i="113" s="1"/>
  <c r="S16" i="105"/>
  <c r="U16" i="105" s="1"/>
  <c r="J16" i="113"/>
  <c r="U15" i="80"/>
  <c r="B11" i="113" s="1"/>
  <c r="S15" i="101"/>
  <c r="U22" i="107"/>
  <c r="W16" i="99"/>
  <c r="P4" i="95"/>
  <c r="W8" i="109"/>
  <c r="V8" i="109" s="1"/>
  <c r="S15" i="104"/>
  <c r="W8" i="111"/>
  <c r="T9" i="99"/>
  <c r="R12" i="104"/>
  <c r="S26" i="104" s="1"/>
  <c r="T10" i="96"/>
  <c r="U21" i="94"/>
  <c r="E28" i="95"/>
  <c r="Q19" i="97" s="1"/>
  <c r="G22" i="90"/>
  <c r="F22" i="90"/>
  <c r="O4" i="95"/>
  <c r="O4" i="113"/>
  <c r="B28" i="95"/>
  <c r="N19" i="97" s="1"/>
  <c r="G22" i="80"/>
  <c r="R57" i="113"/>
  <c r="J47" i="95"/>
  <c r="U8" i="99"/>
  <c r="U4" i="95" s="1"/>
  <c r="T33" i="103"/>
  <c r="U33" i="103"/>
  <c r="W46" i="95"/>
  <c r="T15" i="101"/>
  <c r="B40" i="95"/>
  <c r="G34" i="80"/>
  <c r="S48" i="102"/>
  <c r="T9" i="103"/>
  <c r="T33" i="104"/>
  <c r="U33" i="104"/>
  <c r="L48" i="95"/>
  <c r="T9" i="100"/>
  <c r="E16" i="95"/>
  <c r="Q14" i="97" s="1"/>
  <c r="S58" i="95"/>
  <c r="T36" i="104"/>
  <c r="U36" i="104"/>
  <c r="U11" i="112"/>
  <c r="W34" i="95"/>
  <c r="T33" i="102"/>
  <c r="U33" i="102"/>
  <c r="AA43" i="95"/>
  <c r="T33" i="106"/>
  <c r="U33" i="106"/>
  <c r="B52" i="95"/>
  <c r="G46" i="80"/>
  <c r="E48" i="102"/>
  <c r="S12" i="110"/>
  <c r="T33" i="100"/>
  <c r="U33" i="100"/>
  <c r="S34" i="90"/>
  <c r="S12" i="89"/>
  <c r="U26" i="80"/>
  <c r="F33" i="89"/>
  <c r="G33" i="89"/>
  <c r="Z46" i="95"/>
  <c r="J47" i="113"/>
  <c r="T16" i="99"/>
  <c r="T25" i="80"/>
  <c r="Q55" i="113"/>
  <c r="O18" i="95"/>
  <c r="T45" i="112"/>
  <c r="U45" i="112"/>
  <c r="W12" i="110"/>
  <c r="U9" i="88"/>
  <c r="D5" i="113" s="1"/>
  <c r="L60" i="113"/>
  <c r="S22" i="90"/>
  <c r="U22" i="90" s="1"/>
  <c r="W12" i="89"/>
  <c r="E60" i="113"/>
  <c r="Q54" i="113"/>
  <c r="U48" i="104"/>
  <c r="U37" i="80"/>
  <c r="U38" i="80"/>
  <c r="G25" i="80"/>
  <c r="E36" i="95"/>
  <c r="J35" i="95"/>
  <c r="X54" i="95"/>
  <c r="E43" i="95"/>
  <c r="B52" i="113"/>
  <c r="U46" i="80"/>
  <c r="Q55" i="95"/>
  <c r="E36" i="102"/>
  <c r="T33" i="89"/>
  <c r="U33" i="89"/>
  <c r="F33" i="104"/>
  <c r="G33" i="104"/>
  <c r="R57" i="95"/>
  <c r="E48" i="113"/>
  <c r="G26" i="80"/>
  <c r="G37" i="80"/>
  <c r="G38" i="80"/>
  <c r="F33" i="105"/>
  <c r="G33" i="105"/>
  <c r="R8" i="99"/>
  <c r="S22" i="99" s="1"/>
  <c r="W8" i="112"/>
  <c r="V8" i="112" s="1"/>
  <c r="R16" i="99"/>
  <c r="S30" i="99" s="1"/>
  <c r="W8" i="102"/>
  <c r="V8" i="102" s="1"/>
  <c r="F33" i="103"/>
  <c r="G33" i="103"/>
  <c r="W58" i="113"/>
  <c r="P54" i="113"/>
  <c r="AA43" i="113"/>
  <c r="B28" i="113"/>
  <c r="N25" i="97" s="1"/>
  <c r="U22" i="80"/>
  <c r="F33" i="99"/>
  <c r="G33" i="99"/>
  <c r="U9" i="109"/>
  <c r="X5" i="113" s="1"/>
  <c r="T13" i="111"/>
  <c r="S9" i="99"/>
  <c r="S36" i="102"/>
  <c r="W8" i="89"/>
  <c r="R12" i="89"/>
  <c r="S26" i="89" s="1"/>
  <c r="F33" i="100"/>
  <c r="G33" i="100"/>
  <c r="W16" i="105"/>
  <c r="S46" i="90"/>
  <c r="U25" i="80"/>
  <c r="J59" i="113"/>
  <c r="T33" i="105"/>
  <c r="U33" i="105"/>
  <c r="F33" i="101"/>
  <c r="G33" i="101"/>
  <c r="U22" i="109"/>
  <c r="T33" i="101"/>
  <c r="U33" i="101"/>
  <c r="S13" i="101"/>
  <c r="S12" i="105"/>
  <c r="T10" i="89"/>
  <c r="U10" i="89" s="1"/>
  <c r="W58" i="95"/>
  <c r="E31" i="95"/>
  <c r="P54" i="95"/>
  <c r="F33" i="102"/>
  <c r="G33" i="102"/>
  <c r="R8" i="102"/>
  <c r="S22" i="102" s="1"/>
  <c r="U22" i="102" s="1"/>
  <c r="R16" i="106"/>
  <c r="S30" i="106" s="1"/>
  <c r="T33" i="99"/>
  <c r="U33" i="99"/>
  <c r="W9" i="99"/>
  <c r="O18" i="113"/>
  <c r="L60" i="95"/>
  <c r="E48" i="95"/>
  <c r="Q54" i="95"/>
  <c r="G48" i="104"/>
  <c r="U10" i="102"/>
  <c r="G50" i="80"/>
  <c r="U50" i="80"/>
  <c r="J59" i="95"/>
  <c r="W46" i="113"/>
  <c r="F33" i="106"/>
  <c r="G33" i="106"/>
  <c r="F45" i="112"/>
  <c r="G45" i="112"/>
  <c r="E60" i="95"/>
  <c r="G49" i="80"/>
  <c r="N22" i="113"/>
  <c r="N22" i="95"/>
  <c r="E52" i="101"/>
  <c r="E28" i="101"/>
  <c r="S40" i="101"/>
  <c r="E40" i="101"/>
  <c r="S52" i="101"/>
  <c r="N21" i="113"/>
  <c r="E51" i="101"/>
  <c r="E39" i="101"/>
  <c r="S39" i="101"/>
  <c r="E27" i="101"/>
  <c r="N21" i="95"/>
  <c r="S51" i="101"/>
  <c r="D6" i="113"/>
  <c r="D6" i="95"/>
  <c r="B9" i="113"/>
  <c r="B9" i="95"/>
  <c r="V13" i="80"/>
  <c r="D8" i="113"/>
  <c r="D8" i="95"/>
  <c r="Q16" i="95"/>
  <c r="Q16" i="113"/>
  <c r="S34" i="104"/>
  <c r="E22" i="104"/>
  <c r="G22" i="104" s="1"/>
  <c r="E34" i="104"/>
  <c r="E46" i="104"/>
  <c r="S46" i="104"/>
  <c r="W5" i="113"/>
  <c r="V9" i="108"/>
  <c r="W5" i="95"/>
  <c r="Q4" i="113"/>
  <c r="Q4" i="95"/>
  <c r="F12" i="99"/>
  <c r="F13" i="112"/>
  <c r="V31" i="113"/>
  <c r="S9" i="89"/>
  <c r="G15" i="106"/>
  <c r="H15" i="106" s="1"/>
  <c r="I15" i="106" s="1"/>
  <c r="J15" i="106" s="1"/>
  <c r="K15" i="106" s="1"/>
  <c r="L15" i="106" s="1"/>
  <c r="W12" i="88"/>
  <c r="V12" i="88" s="1"/>
  <c r="N12" i="88"/>
  <c r="R12" i="88"/>
  <c r="P51" i="95"/>
  <c r="F45" i="103"/>
  <c r="F11" i="89"/>
  <c r="G11" i="89" s="1"/>
  <c r="H11" i="89" s="1"/>
  <c r="S10" i="100"/>
  <c r="H13" i="90"/>
  <c r="I13" i="90" s="1"/>
  <c r="W36" i="95"/>
  <c r="R10" i="88"/>
  <c r="N10" i="88"/>
  <c r="F4" i="92"/>
  <c r="K2" i="92"/>
  <c r="J4" i="92" s="1"/>
  <c r="T45" i="109"/>
  <c r="X51" i="113"/>
  <c r="R8" i="105"/>
  <c r="S22" i="105" s="1"/>
  <c r="U22" i="105" s="1"/>
  <c r="N19" i="113"/>
  <c r="E49" i="101"/>
  <c r="N19" i="95"/>
  <c r="E37" i="101"/>
  <c r="S37" i="101"/>
  <c r="E25" i="101"/>
  <c r="S49" i="101"/>
  <c r="F9" i="102"/>
  <c r="W9" i="102" s="1"/>
  <c r="S9" i="102"/>
  <c r="T9" i="102"/>
  <c r="T12" i="102"/>
  <c r="F33" i="110"/>
  <c r="Y39" i="95"/>
  <c r="D19" i="113"/>
  <c r="S25" i="88"/>
  <c r="S37" i="88"/>
  <c r="E25" i="88"/>
  <c r="E37" i="88"/>
  <c r="D19" i="95"/>
  <c r="E49" i="88"/>
  <c r="S49" i="88"/>
  <c r="R15" i="108"/>
  <c r="S29" i="108" s="1"/>
  <c r="N15" i="108"/>
  <c r="S10" i="110"/>
  <c r="S16" i="106"/>
  <c r="T21" i="99"/>
  <c r="U27" i="113"/>
  <c r="U63" i="113" s="1"/>
  <c r="U39" i="113"/>
  <c r="Q43" i="95"/>
  <c r="Q31" i="95"/>
  <c r="F33" i="112"/>
  <c r="AA39" i="95"/>
  <c r="N14" i="101"/>
  <c r="F21" i="89"/>
  <c r="L39" i="95"/>
  <c r="S15" i="109"/>
  <c r="R9" i="107"/>
  <c r="S23" i="107" s="1"/>
  <c r="N9" i="107"/>
  <c r="M47" i="113"/>
  <c r="M35" i="113"/>
  <c r="X20" i="113"/>
  <c r="S38" i="109"/>
  <c r="X20" i="95"/>
  <c r="E50" i="109"/>
  <c r="E38" i="109"/>
  <c r="E26" i="109"/>
  <c r="S50" i="109"/>
  <c r="F12" i="101"/>
  <c r="G12" i="101" s="1"/>
  <c r="H12" i="101" s="1"/>
  <c r="I12" i="101" s="1"/>
  <c r="N9" i="97"/>
  <c r="F11" i="102"/>
  <c r="B10" i="91"/>
  <c r="D10" i="91"/>
  <c r="B13" i="91"/>
  <c r="D13" i="91"/>
  <c r="N8" i="94"/>
  <c r="R8" i="94"/>
  <c r="S22" i="94" s="1"/>
  <c r="T45" i="100"/>
  <c r="M51" i="113"/>
  <c r="N13" i="106"/>
  <c r="R13" i="106"/>
  <c r="S27" i="106" s="1"/>
  <c r="L36" i="113"/>
  <c r="L48" i="113"/>
  <c r="F14" i="99"/>
  <c r="W16" i="103"/>
  <c r="S34" i="113"/>
  <c r="S46" i="113"/>
  <c r="T10" i="110"/>
  <c r="F14" i="112"/>
  <c r="G14" i="112" s="1"/>
  <c r="H14" i="112" s="1"/>
  <c r="I14" i="112" s="1"/>
  <c r="J14" i="112" s="1"/>
  <c r="K14" i="112" s="1"/>
  <c r="J21" i="113"/>
  <c r="J21" i="95"/>
  <c r="E27" i="96"/>
  <c r="S39" i="96"/>
  <c r="E39" i="96"/>
  <c r="S51" i="96"/>
  <c r="E51" i="96"/>
  <c r="F21" i="101"/>
  <c r="N39" i="95"/>
  <c r="N27" i="95"/>
  <c r="M16" i="95"/>
  <c r="M16" i="113"/>
  <c r="S34" i="100"/>
  <c r="E46" i="100"/>
  <c r="E34" i="100"/>
  <c r="E22" i="100"/>
  <c r="S46" i="100"/>
  <c r="G10" i="111"/>
  <c r="W10" i="111" s="1"/>
  <c r="T10" i="111"/>
  <c r="T33" i="111"/>
  <c r="Z39" i="113"/>
  <c r="AA16" i="95"/>
  <c r="AA16" i="113"/>
  <c r="S34" i="112"/>
  <c r="U34" i="112" s="1"/>
  <c r="E46" i="112"/>
  <c r="E34" i="112"/>
  <c r="G34" i="112" s="1"/>
  <c r="E22" i="112"/>
  <c r="G22" i="112" s="1"/>
  <c r="S46" i="112"/>
  <c r="X4" i="113"/>
  <c r="X4" i="95"/>
  <c r="T45" i="105"/>
  <c r="R51" i="113"/>
  <c r="N15" i="104"/>
  <c r="R15" i="104"/>
  <c r="S29" i="104" s="1"/>
  <c r="Z16" i="95"/>
  <c r="Z16" i="113"/>
  <c r="S34" i="111"/>
  <c r="E22" i="111"/>
  <c r="E34" i="111"/>
  <c r="E46" i="111"/>
  <c r="S46" i="111"/>
  <c r="H17" i="113"/>
  <c r="S35" i="93"/>
  <c r="U35" i="93" s="1"/>
  <c r="E23" i="93"/>
  <c r="G23" i="93" s="1"/>
  <c r="E35" i="93"/>
  <c r="G35" i="93" s="1"/>
  <c r="E47" i="93"/>
  <c r="G47" i="93" s="1"/>
  <c r="H17" i="95"/>
  <c r="T15" i="97" s="1"/>
  <c r="S47" i="93"/>
  <c r="U47" i="93" s="1"/>
  <c r="U23" i="113"/>
  <c r="E41" i="99"/>
  <c r="U23" i="95"/>
  <c r="E29" i="99"/>
  <c r="E53" i="99"/>
  <c r="S53" i="99"/>
  <c r="S41" i="99"/>
  <c r="W8" i="104"/>
  <c r="V8" i="104" s="1"/>
  <c r="J35" i="113"/>
  <c r="N8" i="107"/>
  <c r="G12" i="111"/>
  <c r="W8" i="99"/>
  <c r="T33" i="107"/>
  <c r="V39" i="113"/>
  <c r="F21" i="103"/>
  <c r="P39" i="95"/>
  <c r="P27" i="95"/>
  <c r="U15" i="105"/>
  <c r="U29" i="105" s="1"/>
  <c r="R23" i="113"/>
  <c r="R23" i="95"/>
  <c r="E29" i="105"/>
  <c r="E53" i="105"/>
  <c r="E41" i="105"/>
  <c r="S41" i="105"/>
  <c r="S53" i="105"/>
  <c r="T10" i="100"/>
  <c r="P42" i="95"/>
  <c r="P30" i="95"/>
  <c r="F10" i="99"/>
  <c r="T10" i="99" s="1"/>
  <c r="F14" i="89"/>
  <c r="T11" i="100"/>
  <c r="T21" i="109"/>
  <c r="X27" i="113"/>
  <c r="X63" i="113" s="1"/>
  <c r="G11" i="109"/>
  <c r="T11" i="109" s="1"/>
  <c r="D17" i="113"/>
  <c r="S35" i="88"/>
  <c r="S23" i="88"/>
  <c r="E47" i="88"/>
  <c r="D17" i="95"/>
  <c r="P15" i="97" s="1"/>
  <c r="E23" i="88"/>
  <c r="E35" i="88"/>
  <c r="S47" i="88"/>
  <c r="W12" i="102"/>
  <c r="E13" i="94"/>
  <c r="F13" i="94" s="1"/>
  <c r="G13" i="94" s="1"/>
  <c r="H13" i="94" s="1"/>
  <c r="I13" i="94" s="1"/>
  <c r="J13" i="94" s="1"/>
  <c r="N13" i="94" s="1"/>
  <c r="F21" i="110"/>
  <c r="Y27" i="95"/>
  <c r="N13" i="101"/>
  <c r="S10" i="96"/>
  <c r="S12" i="107"/>
  <c r="W10" i="110"/>
  <c r="W16" i="106"/>
  <c r="N9" i="90"/>
  <c r="R9" i="90"/>
  <c r="U8" i="100"/>
  <c r="U22" i="100" s="1"/>
  <c r="T33" i="112"/>
  <c r="AA39" i="113"/>
  <c r="E15" i="87"/>
  <c r="F15" i="87" s="1"/>
  <c r="G15" i="87" s="1"/>
  <c r="H15" i="87" s="1"/>
  <c r="I15" i="87" s="1"/>
  <c r="J15" i="87" s="1"/>
  <c r="K15" i="87" s="1"/>
  <c r="L15" i="87" s="1"/>
  <c r="R15" i="87" s="1"/>
  <c r="T12" i="110"/>
  <c r="Q9" i="97"/>
  <c r="T15" i="109"/>
  <c r="T45" i="108"/>
  <c r="W51" i="113"/>
  <c r="S9" i="103"/>
  <c r="U9" i="103" s="1"/>
  <c r="U9" i="111"/>
  <c r="U23" i="111" s="1"/>
  <c r="F9" i="101"/>
  <c r="T9" i="101"/>
  <c r="U9" i="101" s="1"/>
  <c r="Q51" i="95"/>
  <c r="F45" i="104"/>
  <c r="F34" i="80"/>
  <c r="G14" i="109"/>
  <c r="B8" i="91"/>
  <c r="D8" i="91"/>
  <c r="D14" i="91"/>
  <c r="B14" i="91"/>
  <c r="D16" i="91"/>
  <c r="B16" i="91"/>
  <c r="F15" i="89"/>
  <c r="R8" i="89"/>
  <c r="S22" i="89" s="1"/>
  <c r="U22" i="89" s="1"/>
  <c r="N8" i="112"/>
  <c r="T21" i="100"/>
  <c r="M27" i="113"/>
  <c r="M63" i="113" s="1"/>
  <c r="M39" i="113"/>
  <c r="R10" i="105"/>
  <c r="S24" i="105" s="1"/>
  <c r="T15" i="99"/>
  <c r="T16" i="106"/>
  <c r="E36" i="113"/>
  <c r="Q42" i="95"/>
  <c r="Q30" i="95"/>
  <c r="W15" i="90"/>
  <c r="T21" i="101"/>
  <c r="N27" i="113"/>
  <c r="N63" i="113" s="1"/>
  <c r="N39" i="113"/>
  <c r="T9" i="89"/>
  <c r="F9" i="89"/>
  <c r="W9" i="89" s="1"/>
  <c r="F33" i="111"/>
  <c r="Z39" i="95"/>
  <c r="V24" i="97"/>
  <c r="V44" i="97" s="1"/>
  <c r="J63" i="113"/>
  <c r="V34" i="97" s="1"/>
  <c r="U15" i="100"/>
  <c r="U29" i="100" s="1"/>
  <c r="G13" i="100"/>
  <c r="H13" i="100" s="1"/>
  <c r="I13" i="100" s="1"/>
  <c r="J13" i="100" s="1"/>
  <c r="P20" i="113"/>
  <c r="S38" i="103"/>
  <c r="E26" i="103"/>
  <c r="E38" i="103"/>
  <c r="P20" i="95"/>
  <c r="E50" i="103"/>
  <c r="S50" i="103"/>
  <c r="N10" i="100"/>
  <c r="R10" i="100"/>
  <c r="S24" i="100" s="1"/>
  <c r="F21" i="102"/>
  <c r="O39" i="95"/>
  <c r="O27" i="95"/>
  <c r="H14" i="88"/>
  <c r="I14" i="88" s="1"/>
  <c r="J14" i="88" s="1"/>
  <c r="F14" i="105"/>
  <c r="G14" i="105" s="1"/>
  <c r="H14" i="105" s="1"/>
  <c r="I14" i="105" s="1"/>
  <c r="J14" i="105" s="1"/>
  <c r="K14" i="105" s="1"/>
  <c r="AA55" i="113"/>
  <c r="AA31" i="113"/>
  <c r="F14" i="104"/>
  <c r="G14" i="104" s="1"/>
  <c r="H14" i="104" s="1"/>
  <c r="I14" i="104" s="1"/>
  <c r="J14" i="104" s="1"/>
  <c r="K14" i="104" s="1"/>
  <c r="F45" i="106"/>
  <c r="S51" i="95"/>
  <c r="T22" i="96"/>
  <c r="J28" i="113"/>
  <c r="V25" i="97" s="1"/>
  <c r="C15" i="95"/>
  <c r="C15" i="113"/>
  <c r="S21" i="87"/>
  <c r="U21" i="87" s="1"/>
  <c r="S45" i="87"/>
  <c r="U45" i="87" s="1"/>
  <c r="S33" i="87"/>
  <c r="U33" i="87" s="1"/>
  <c r="E33" i="87"/>
  <c r="G33" i="87" s="1"/>
  <c r="E21" i="87"/>
  <c r="G21" i="87" s="1"/>
  <c r="E45" i="87"/>
  <c r="G45" i="87" s="1"/>
  <c r="G15" i="93"/>
  <c r="H15" i="93" s="1"/>
  <c r="I15" i="93" s="1"/>
  <c r="J15" i="93" s="1"/>
  <c r="K15" i="93" s="1"/>
  <c r="L15" i="93" s="1"/>
  <c r="R12" i="102"/>
  <c r="S26" i="102" s="1"/>
  <c r="N12" i="102"/>
  <c r="T33" i="110"/>
  <c r="Y39" i="113"/>
  <c r="N9" i="104"/>
  <c r="R9" i="104"/>
  <c r="S23" i="104" s="1"/>
  <c r="U23" i="104" s="1"/>
  <c r="R12" i="107"/>
  <c r="S26" i="107" s="1"/>
  <c r="N12" i="107"/>
  <c r="Y18" i="113"/>
  <c r="S36" i="110"/>
  <c r="Y18" i="95"/>
  <c r="E36" i="110"/>
  <c r="E24" i="110"/>
  <c r="E48" i="110"/>
  <c r="S48" i="110"/>
  <c r="T45" i="99"/>
  <c r="U51" i="113"/>
  <c r="T45" i="89"/>
  <c r="L51" i="113"/>
  <c r="R15" i="109"/>
  <c r="S29" i="109" s="1"/>
  <c r="N15" i="109"/>
  <c r="W18" i="113"/>
  <c r="S36" i="108"/>
  <c r="E24" i="108"/>
  <c r="E48" i="108"/>
  <c r="E36" i="108"/>
  <c r="W18" i="95"/>
  <c r="S48" i="108"/>
  <c r="T16" i="103"/>
  <c r="T45" i="104"/>
  <c r="Q51" i="113"/>
  <c r="F11" i="110"/>
  <c r="F46" i="80"/>
  <c r="T22" i="93"/>
  <c r="H28" i="113"/>
  <c r="T25" i="97" s="1"/>
  <c r="B11" i="91"/>
  <c r="D11" i="91"/>
  <c r="W13" i="99"/>
  <c r="T16" i="104"/>
  <c r="R10" i="90"/>
  <c r="N10" i="90"/>
  <c r="R8" i="103"/>
  <c r="S22" i="103" s="1"/>
  <c r="U22" i="103" s="1"/>
  <c r="W15" i="99"/>
  <c r="T14" i="100"/>
  <c r="V9" i="97"/>
  <c r="S13" i="99"/>
  <c r="W10" i="96"/>
  <c r="X16" i="95"/>
  <c r="X16" i="113"/>
  <c r="S34" i="109"/>
  <c r="E34" i="109"/>
  <c r="E46" i="109"/>
  <c r="E22" i="109"/>
  <c r="G22" i="109" s="1"/>
  <c r="S46" i="109"/>
  <c r="T21" i="105"/>
  <c r="R27" i="113"/>
  <c r="R63" i="113" s="1"/>
  <c r="R39" i="113"/>
  <c r="W8" i="107"/>
  <c r="V8" i="107" s="1"/>
  <c r="E9" i="87"/>
  <c r="F9" i="87" s="1"/>
  <c r="N9" i="87" s="1"/>
  <c r="B17" i="113"/>
  <c r="S35" i="80"/>
  <c r="S47" i="80"/>
  <c r="S23" i="80"/>
  <c r="E23" i="80"/>
  <c r="B17" i="95"/>
  <c r="N15" i="97" s="1"/>
  <c r="E35" i="80"/>
  <c r="E47" i="80"/>
  <c r="T15" i="90"/>
  <c r="F45" i="111"/>
  <c r="Z51" i="95"/>
  <c r="G11" i="111"/>
  <c r="H19" i="113"/>
  <c r="S37" i="93"/>
  <c r="H19" i="95"/>
  <c r="E49" i="93"/>
  <c r="E25" i="93"/>
  <c r="E37" i="93"/>
  <c r="S49" i="93"/>
  <c r="F14" i="110"/>
  <c r="F45" i="107"/>
  <c r="V51" i="95"/>
  <c r="G12" i="100"/>
  <c r="T21" i="103"/>
  <c r="P39" i="113"/>
  <c r="P27" i="113"/>
  <c r="P63" i="113" s="1"/>
  <c r="E16" i="94"/>
  <c r="F16" i="94" s="1"/>
  <c r="G16" i="94" s="1"/>
  <c r="H16" i="94" s="1"/>
  <c r="I16" i="94" s="1"/>
  <c r="J16" i="94" s="1"/>
  <c r="K16" i="94" s="1"/>
  <c r="L16" i="94" s="1"/>
  <c r="M16" i="94" s="1"/>
  <c r="N16" i="94" s="1"/>
  <c r="X30" i="113"/>
  <c r="T10" i="106"/>
  <c r="U10" i="106" s="1"/>
  <c r="R11" i="100"/>
  <c r="S25" i="100" s="1"/>
  <c r="N11" i="100"/>
  <c r="T33" i="109"/>
  <c r="X39" i="113"/>
  <c r="F21" i="106"/>
  <c r="S39" i="95"/>
  <c r="S27" i="95"/>
  <c r="W19" i="113"/>
  <c r="S37" i="108"/>
  <c r="E25" i="108"/>
  <c r="W19" i="95"/>
  <c r="E37" i="108"/>
  <c r="E49" i="108"/>
  <c r="S49" i="108"/>
  <c r="T21" i="110"/>
  <c r="Y27" i="113"/>
  <c r="Y63" i="113" s="1"/>
  <c r="U12" i="104"/>
  <c r="E54" i="111"/>
  <c r="Z24" i="113"/>
  <c r="E30" i="111"/>
  <c r="Z24" i="95"/>
  <c r="E42" i="111"/>
  <c r="S54" i="111"/>
  <c r="S42" i="111"/>
  <c r="T34" i="80"/>
  <c r="B40" i="113"/>
  <c r="R10" i="96"/>
  <c r="S24" i="96" s="1"/>
  <c r="N10" i="96"/>
  <c r="Q43" i="113"/>
  <c r="Q31" i="113"/>
  <c r="R9" i="109"/>
  <c r="S23" i="109" s="1"/>
  <c r="N9" i="109"/>
  <c r="R13" i="111"/>
  <c r="S27" i="111" s="1"/>
  <c r="N13" i="111"/>
  <c r="T21" i="112"/>
  <c r="AA51" i="113"/>
  <c r="AA27" i="113"/>
  <c r="AA63" i="113" s="1"/>
  <c r="R12" i="110"/>
  <c r="S26" i="110" s="1"/>
  <c r="N12" i="110"/>
  <c r="S14" i="100"/>
  <c r="T21" i="89"/>
  <c r="L27" i="113"/>
  <c r="L63" i="113" s="1"/>
  <c r="L39" i="113"/>
  <c r="F33" i="108"/>
  <c r="W39" i="95"/>
  <c r="W9" i="103"/>
  <c r="T15" i="108"/>
  <c r="T21" i="104"/>
  <c r="Q27" i="113"/>
  <c r="Q63" i="113" s="1"/>
  <c r="Q39" i="113"/>
  <c r="F16" i="110"/>
  <c r="S10" i="105"/>
  <c r="B9" i="91"/>
  <c r="D9" i="91"/>
  <c r="F15" i="112"/>
  <c r="G13" i="93"/>
  <c r="Z34" i="113"/>
  <c r="J17" i="113"/>
  <c r="S35" i="96"/>
  <c r="E47" i="96"/>
  <c r="J17" i="95"/>
  <c r="V15" i="97" s="1"/>
  <c r="E35" i="96"/>
  <c r="E23" i="96"/>
  <c r="S47" i="96"/>
  <c r="S16" i="104"/>
  <c r="N8" i="109"/>
  <c r="N8" i="103"/>
  <c r="U8" i="101"/>
  <c r="U22" i="101" s="1"/>
  <c r="W13" i="111"/>
  <c r="S16" i="99"/>
  <c r="W12" i="107"/>
  <c r="V16" i="95"/>
  <c r="V16" i="113"/>
  <c r="S34" i="107"/>
  <c r="T34" i="107" s="1"/>
  <c r="E34" i="107"/>
  <c r="F34" i="107" s="1"/>
  <c r="E46" i="107"/>
  <c r="F46" i="107" s="1"/>
  <c r="E22" i="107"/>
  <c r="G22" i="107" s="1"/>
  <c r="S46" i="107"/>
  <c r="T46" i="107" s="1"/>
  <c r="T45" i="101"/>
  <c r="N51" i="113"/>
  <c r="Q5" i="113"/>
  <c r="Q5" i="95"/>
  <c r="S15" i="90"/>
  <c r="F21" i="111"/>
  <c r="Z27" i="95"/>
  <c r="E5" i="113"/>
  <c r="V9" i="90"/>
  <c r="E5" i="95"/>
  <c r="Z17" i="113"/>
  <c r="S35" i="111"/>
  <c r="E47" i="111"/>
  <c r="Z17" i="95"/>
  <c r="E23" i="111"/>
  <c r="E35" i="111"/>
  <c r="S47" i="111"/>
  <c r="O22" i="113"/>
  <c r="S40" i="102"/>
  <c r="O22" i="95"/>
  <c r="E28" i="102"/>
  <c r="E52" i="102"/>
  <c r="E40" i="102"/>
  <c r="S52" i="102"/>
  <c r="G10" i="89"/>
  <c r="W10" i="89" s="1"/>
  <c r="G16" i="102"/>
  <c r="H16" i="102" s="1"/>
  <c r="I16" i="102" s="1"/>
  <c r="J16" i="102" s="1"/>
  <c r="K16" i="102" s="1"/>
  <c r="L16" i="102" s="1"/>
  <c r="M16" i="102" s="1"/>
  <c r="F21" i="107"/>
  <c r="V27" i="95"/>
  <c r="W33" i="113"/>
  <c r="H18" i="113"/>
  <c r="S36" i="93"/>
  <c r="S48" i="93"/>
  <c r="E36" i="93"/>
  <c r="H18" i="95"/>
  <c r="T16" i="97" s="1"/>
  <c r="E24" i="93"/>
  <c r="E48" i="93"/>
  <c r="P30" i="113"/>
  <c r="P42" i="113"/>
  <c r="F45" i="102"/>
  <c r="O51" i="95"/>
  <c r="R4" i="113"/>
  <c r="R4" i="95"/>
  <c r="E16" i="87"/>
  <c r="F16" i="87" s="1"/>
  <c r="G16" i="87" s="1"/>
  <c r="H16" i="87" s="1"/>
  <c r="I16" i="87" s="1"/>
  <c r="J16" i="87" s="1"/>
  <c r="K16" i="87" s="1"/>
  <c r="L16" i="87" s="1"/>
  <c r="M16" i="87" s="1"/>
  <c r="N16" i="87" s="1"/>
  <c r="N12" i="104"/>
  <c r="F9" i="110"/>
  <c r="T9" i="110"/>
  <c r="U16" i="111"/>
  <c r="U30" i="111" s="1"/>
  <c r="D7" i="92"/>
  <c r="T7" i="92"/>
  <c r="G10" i="107"/>
  <c r="G13" i="103"/>
  <c r="H13" i="103" s="1"/>
  <c r="I13" i="103" s="1"/>
  <c r="J13" i="103" s="1"/>
  <c r="U17" i="113"/>
  <c r="S35" i="99"/>
  <c r="E35" i="99"/>
  <c r="E23" i="99"/>
  <c r="U17" i="95"/>
  <c r="E47" i="99"/>
  <c r="S47" i="99"/>
  <c r="E12" i="87"/>
  <c r="F12" i="87" s="1"/>
  <c r="G12" i="87" s="1"/>
  <c r="H12" i="87" s="1"/>
  <c r="I12" i="87" s="1"/>
  <c r="N12" i="87" s="1"/>
  <c r="F45" i="99"/>
  <c r="U51" i="95"/>
  <c r="W14" i="101"/>
  <c r="E15" i="94"/>
  <c r="G12" i="106"/>
  <c r="H12" i="106" s="1"/>
  <c r="I12" i="106" s="1"/>
  <c r="G16" i="100"/>
  <c r="H16" i="100" s="1"/>
  <c r="I16" i="100" s="1"/>
  <c r="J16" i="100" s="1"/>
  <c r="K16" i="100" s="1"/>
  <c r="L16" i="100" s="1"/>
  <c r="M16" i="100" s="1"/>
  <c r="Q24" i="97"/>
  <c r="Q44" i="97" s="1"/>
  <c r="E63" i="113"/>
  <c r="Q34" i="97" s="1"/>
  <c r="W14" i="100"/>
  <c r="F45" i="108"/>
  <c r="W51" i="95"/>
  <c r="E14" i="94"/>
  <c r="N9" i="103"/>
  <c r="R9" i="103"/>
  <c r="S23" i="103" s="1"/>
  <c r="T12" i="107"/>
  <c r="S16" i="95"/>
  <c r="S16" i="113"/>
  <c r="S34" i="106"/>
  <c r="E46" i="106"/>
  <c r="E34" i="106"/>
  <c r="E22" i="106"/>
  <c r="S46" i="106"/>
  <c r="W10" i="105"/>
  <c r="F9" i="105"/>
  <c r="S9" i="105"/>
  <c r="T9" i="105"/>
  <c r="T22" i="80"/>
  <c r="B22" i="113"/>
  <c r="B22" i="95"/>
  <c r="E52" i="80"/>
  <c r="E28" i="80"/>
  <c r="S40" i="80"/>
  <c r="S52" i="80"/>
  <c r="E40" i="80"/>
  <c r="S28" i="80"/>
  <c r="U7" i="91"/>
  <c r="I15" i="95"/>
  <c r="I15" i="113"/>
  <c r="S33" i="94"/>
  <c r="U33" i="94" s="1"/>
  <c r="S45" i="94"/>
  <c r="U45" i="94" s="1"/>
  <c r="E33" i="94"/>
  <c r="G33" i="94" s="1"/>
  <c r="E45" i="94"/>
  <c r="G45" i="94" s="1"/>
  <c r="E21" i="94"/>
  <c r="G21" i="94" s="1"/>
  <c r="R13" i="99"/>
  <c r="S27" i="99" s="1"/>
  <c r="N16" i="104"/>
  <c r="R16" i="104"/>
  <c r="S30" i="104" s="1"/>
  <c r="W9" i="100"/>
  <c r="S13" i="89"/>
  <c r="W8" i="101"/>
  <c r="E9" i="94"/>
  <c r="T13" i="101"/>
  <c r="T12" i="105"/>
  <c r="T11" i="101"/>
  <c r="T14" i="101"/>
  <c r="F33" i="107"/>
  <c r="V39" i="95"/>
  <c r="T45" i="103"/>
  <c r="P51" i="113"/>
  <c r="P31" i="113"/>
  <c r="P43" i="113"/>
  <c r="F16" i="112"/>
  <c r="G16" i="112" s="1"/>
  <c r="H16" i="112" s="1"/>
  <c r="I16" i="112" s="1"/>
  <c r="J16" i="112" s="1"/>
  <c r="K16" i="112" s="1"/>
  <c r="L16" i="112" s="1"/>
  <c r="M16" i="112" s="1"/>
  <c r="T45" i="102"/>
  <c r="O51" i="113"/>
  <c r="G10" i="106"/>
  <c r="X27" i="95"/>
  <c r="F21" i="109"/>
  <c r="S51" i="113"/>
  <c r="T45" i="106"/>
  <c r="B8" i="113"/>
  <c r="B68" i="113" s="1"/>
  <c r="T50" i="80"/>
  <c r="F50" i="80"/>
  <c r="F26" i="80"/>
  <c r="F38" i="80"/>
  <c r="V12" i="80"/>
  <c r="B8" i="95"/>
  <c r="B67" i="95" s="1"/>
  <c r="Q33" i="113"/>
  <c r="Q45" i="113"/>
  <c r="T38" i="80"/>
  <c r="T45" i="110"/>
  <c r="Y51" i="113"/>
  <c r="G14" i="103"/>
  <c r="H14" i="103" s="1"/>
  <c r="I14" i="103" s="1"/>
  <c r="J14" i="103" s="1"/>
  <c r="K14" i="103" s="1"/>
  <c r="F21" i="99"/>
  <c r="U39" i="95"/>
  <c r="U27" i="95"/>
  <c r="N10" i="110"/>
  <c r="F11" i="99"/>
  <c r="G11" i="99" s="1"/>
  <c r="G12" i="93"/>
  <c r="H12" i="93" s="1"/>
  <c r="I12" i="93" s="1"/>
  <c r="F21" i="108"/>
  <c r="W27" i="95"/>
  <c r="E12" i="94"/>
  <c r="F22" i="80"/>
  <c r="D15" i="91"/>
  <c r="B15" i="91"/>
  <c r="G14" i="96"/>
  <c r="E14" i="87"/>
  <c r="N9" i="100"/>
  <c r="R9" i="100"/>
  <c r="S23" i="100" s="1"/>
  <c r="N13" i="89"/>
  <c r="R13" i="89"/>
  <c r="S27" i="89" s="1"/>
  <c r="N16" i="95"/>
  <c r="N16" i="113"/>
  <c r="S34" i="101"/>
  <c r="E46" i="101"/>
  <c r="E34" i="101"/>
  <c r="E22" i="101"/>
  <c r="S46" i="101"/>
  <c r="W9" i="109"/>
  <c r="W10" i="100"/>
  <c r="T9" i="97"/>
  <c r="T24" i="104"/>
  <c r="Q42" i="113"/>
  <c r="Q30" i="113"/>
  <c r="W11" i="100"/>
  <c r="R15" i="90"/>
  <c r="N15" i="90"/>
  <c r="T45" i="111"/>
  <c r="Z51" i="113"/>
  <c r="E10" i="87"/>
  <c r="F10" i="87" s="1"/>
  <c r="G10" i="87" s="1"/>
  <c r="N10" i="87" s="1"/>
  <c r="D16" i="113"/>
  <c r="S34" i="88"/>
  <c r="U34" i="88" s="1"/>
  <c r="S22" i="88"/>
  <c r="U22" i="88" s="1"/>
  <c r="E46" i="88"/>
  <c r="G46" i="88" s="1"/>
  <c r="E34" i="88"/>
  <c r="G34" i="88" s="1"/>
  <c r="D16" i="95"/>
  <c r="E22" i="88"/>
  <c r="G22" i="88" s="1"/>
  <c r="S46" i="88"/>
  <c r="U46" i="88" s="1"/>
  <c r="F45" i="105"/>
  <c r="R51" i="95"/>
  <c r="F45" i="101"/>
  <c r="N51" i="95"/>
  <c r="B24" i="113"/>
  <c r="E30" i="80"/>
  <c r="E54" i="80"/>
  <c r="B24" i="95"/>
  <c r="S42" i="80"/>
  <c r="S54" i="80"/>
  <c r="E42" i="80"/>
  <c r="S30" i="80"/>
  <c r="T37" i="80"/>
  <c r="T49" i="80"/>
  <c r="B7" i="113"/>
  <c r="B67" i="113" s="1"/>
  <c r="V11" i="80"/>
  <c r="B7" i="95"/>
  <c r="B66" i="95" s="1"/>
  <c r="F37" i="80"/>
  <c r="F49" i="80"/>
  <c r="F25" i="80"/>
  <c r="T21" i="111"/>
  <c r="Z27" i="113"/>
  <c r="Z63" i="113" s="1"/>
  <c r="N10" i="112"/>
  <c r="G15" i="111"/>
  <c r="W13" i="101"/>
  <c r="G12" i="96"/>
  <c r="E11" i="87"/>
  <c r="T45" i="107"/>
  <c r="V51" i="113"/>
  <c r="S29" i="113"/>
  <c r="S41" i="113"/>
  <c r="W15" i="101"/>
  <c r="I3" i="95"/>
  <c r="U8" i="97" s="1"/>
  <c r="I3" i="113"/>
  <c r="V7" i="94"/>
  <c r="T21" i="102"/>
  <c r="O39" i="113"/>
  <c r="O27" i="113"/>
  <c r="O63" i="113" s="1"/>
  <c r="W8" i="105"/>
  <c r="V8" i="105" s="1"/>
  <c r="W36" i="113"/>
  <c r="F11" i="105"/>
  <c r="E11" i="94"/>
  <c r="P24" i="97"/>
  <c r="P44" i="97" s="1"/>
  <c r="D63" i="113"/>
  <c r="P34" i="97" s="1"/>
  <c r="F45" i="109"/>
  <c r="X51" i="95"/>
  <c r="T21" i="106"/>
  <c r="S27" i="113"/>
  <c r="S63" i="113" s="1"/>
  <c r="S39" i="113"/>
  <c r="F13" i="102"/>
  <c r="S11" i="101"/>
  <c r="S16" i="103"/>
  <c r="N9" i="108"/>
  <c r="R9" i="108"/>
  <c r="S23" i="108" s="1"/>
  <c r="U23" i="108" s="1"/>
  <c r="E13" i="87"/>
  <c r="F13" i="87" s="1"/>
  <c r="G13" i="87" s="1"/>
  <c r="H13" i="87" s="1"/>
  <c r="I13" i="87" s="1"/>
  <c r="J13" i="87" s="1"/>
  <c r="H15" i="88"/>
  <c r="T33" i="108"/>
  <c r="W39" i="113"/>
  <c r="G14" i="93"/>
  <c r="F10" i="101"/>
  <c r="S10" i="101" s="1"/>
  <c r="F15" i="110"/>
  <c r="W7" i="91"/>
  <c r="R7" i="91"/>
  <c r="N7" i="91"/>
  <c r="R14" i="90"/>
  <c r="N14" i="90"/>
  <c r="N24" i="97"/>
  <c r="N44" i="97" s="1"/>
  <c r="B63" i="113"/>
  <c r="N34" i="97" s="1"/>
  <c r="F21" i="100"/>
  <c r="M39" i="95"/>
  <c r="M27" i="95"/>
  <c r="N8" i="111"/>
  <c r="S15" i="102"/>
  <c r="W15" i="108"/>
  <c r="S46" i="95"/>
  <c r="S34" i="95"/>
  <c r="R33" i="113"/>
  <c r="R45" i="113"/>
  <c r="W15" i="109"/>
  <c r="S9" i="110"/>
  <c r="V4" i="113"/>
  <c r="V4" i="95"/>
  <c r="F21" i="105"/>
  <c r="R39" i="95"/>
  <c r="R27" i="95"/>
  <c r="U8" i="111"/>
  <c r="U22" i="111" s="1"/>
  <c r="S10" i="111"/>
  <c r="R20" i="113"/>
  <c r="E38" i="105"/>
  <c r="S38" i="105"/>
  <c r="R20" i="95"/>
  <c r="E50" i="105"/>
  <c r="E26" i="105"/>
  <c r="S50" i="105"/>
  <c r="F13" i="110"/>
  <c r="T21" i="107"/>
  <c r="V27" i="113"/>
  <c r="V63" i="113" s="1"/>
  <c r="B23" i="113"/>
  <c r="E29" i="80"/>
  <c r="S41" i="80"/>
  <c r="E53" i="80"/>
  <c r="B23" i="95"/>
  <c r="S53" i="80"/>
  <c r="E41" i="80"/>
  <c r="S29" i="80"/>
  <c r="W34" i="113"/>
  <c r="N15" i="101"/>
  <c r="R15" i="101"/>
  <c r="S29" i="101" s="1"/>
  <c r="G11" i="96"/>
  <c r="H11" i="96" s="1"/>
  <c r="W10" i="88"/>
  <c r="V10" i="88" s="1"/>
  <c r="X39" i="95"/>
  <c r="F33" i="109"/>
  <c r="W11" i="101"/>
  <c r="S12" i="102"/>
  <c r="G16" i="101"/>
  <c r="F45" i="110"/>
  <c r="Y51" i="95"/>
  <c r="B21" i="113"/>
  <c r="S51" i="80"/>
  <c r="S39" i="80"/>
  <c r="E27" i="80"/>
  <c r="E51" i="80"/>
  <c r="B21" i="95"/>
  <c r="E39" i="80"/>
  <c r="S27" i="80"/>
  <c r="U27" i="80" s="1"/>
  <c r="S15" i="108"/>
  <c r="N16" i="103"/>
  <c r="R16" i="103"/>
  <c r="S30" i="103" s="1"/>
  <c r="F9" i="112"/>
  <c r="S9" i="112"/>
  <c r="U9" i="112" s="1"/>
  <c r="X33" i="113"/>
  <c r="N11" i="101"/>
  <c r="E10" i="94"/>
  <c r="Y16" i="95"/>
  <c r="Y16" i="113"/>
  <c r="S34" i="110"/>
  <c r="E46" i="110"/>
  <c r="E34" i="110"/>
  <c r="E22" i="110"/>
  <c r="S46" i="110"/>
  <c r="O30" i="113"/>
  <c r="O42" i="113"/>
  <c r="F21" i="112"/>
  <c r="AA51" i="95"/>
  <c r="AA27" i="95"/>
  <c r="G16" i="109"/>
  <c r="H16" i="109" s="1"/>
  <c r="I16" i="109" s="1"/>
  <c r="J16" i="109" s="1"/>
  <c r="K16" i="109" s="1"/>
  <c r="L16" i="109" s="1"/>
  <c r="M16" i="109" s="1"/>
  <c r="G12" i="108"/>
  <c r="H12" i="108" s="1"/>
  <c r="I12" i="108" s="1"/>
  <c r="F45" i="89"/>
  <c r="L51" i="95"/>
  <c r="T21" i="108"/>
  <c r="W27" i="113"/>
  <c r="W63" i="113" s="1"/>
  <c r="Q39" i="95"/>
  <c r="Q27" i="95"/>
  <c r="F21" i="104"/>
  <c r="G11" i="106"/>
  <c r="S11" i="106" s="1"/>
  <c r="T46" i="80"/>
  <c r="B12" i="91"/>
  <c r="D12" i="91"/>
  <c r="H16" i="88"/>
  <c r="F45" i="100"/>
  <c r="M51" i="95"/>
  <c r="S13" i="106"/>
  <c r="S8" i="87"/>
  <c r="U8" i="87" s="1"/>
  <c r="E8" i="87"/>
  <c r="R8" i="87" s="1"/>
  <c r="U8" i="108"/>
  <c r="L15" i="102"/>
  <c r="T15" i="102"/>
  <c r="R45" i="95"/>
  <c r="R33" i="95"/>
  <c r="W9" i="107"/>
  <c r="W9" i="104"/>
  <c r="V9" i="104" s="1"/>
  <c r="T10" i="107"/>
  <c r="U10" i="107" s="1"/>
  <c r="S5" i="95" l="1"/>
  <c r="E53" i="103"/>
  <c r="E29" i="103"/>
  <c r="B5" i="95"/>
  <c r="G28" i="102"/>
  <c r="G37" i="112"/>
  <c r="E36" i="112"/>
  <c r="F36" i="112" s="1"/>
  <c r="AA55" i="95"/>
  <c r="U51" i="108"/>
  <c r="T27" i="108"/>
  <c r="S41" i="103"/>
  <c r="P23" i="113"/>
  <c r="G30" i="89"/>
  <c r="S53" i="103"/>
  <c r="P59" i="113" s="1"/>
  <c r="T23" i="106"/>
  <c r="G36" i="108"/>
  <c r="E41" i="103"/>
  <c r="P23" i="95"/>
  <c r="C15" i="107"/>
  <c r="B14" i="107"/>
  <c r="D14" i="107"/>
  <c r="E14" i="107" s="1"/>
  <c r="F14" i="107" s="1"/>
  <c r="G14" i="107" s="1"/>
  <c r="H14" i="107" s="1"/>
  <c r="I14" i="107" s="1"/>
  <c r="J14" i="107" s="1"/>
  <c r="K14" i="107" s="1"/>
  <c r="V7" i="91"/>
  <c r="V16" i="108"/>
  <c r="F39" i="108"/>
  <c r="P8" i="113"/>
  <c r="G35" i="106"/>
  <c r="T47" i="106"/>
  <c r="S5" i="113"/>
  <c r="S65" i="113" s="1"/>
  <c r="G48" i="108"/>
  <c r="F52" i="111"/>
  <c r="V10" i="108"/>
  <c r="G47" i="106"/>
  <c r="F35" i="106"/>
  <c r="C24" i="32"/>
  <c r="G24" i="32" s="1"/>
  <c r="U48" i="108"/>
  <c r="G24" i="108"/>
  <c r="F52" i="108"/>
  <c r="U52" i="108"/>
  <c r="W6" i="113"/>
  <c r="V9" i="106"/>
  <c r="U36" i="108"/>
  <c r="U24" i="108"/>
  <c r="G27" i="108"/>
  <c r="F30" i="89"/>
  <c r="T27" i="105"/>
  <c r="U14" i="101"/>
  <c r="U28" i="101" s="1"/>
  <c r="F48" i="103"/>
  <c r="T39" i="108"/>
  <c r="U39" i="105"/>
  <c r="S53" i="95"/>
  <c r="O10" i="95"/>
  <c r="G54" i="89"/>
  <c r="G51" i="105"/>
  <c r="R9" i="95"/>
  <c r="R68" i="95" s="1"/>
  <c r="U35" i="106"/>
  <c r="W10" i="113"/>
  <c r="W70" i="113" s="1"/>
  <c r="H40" i="113"/>
  <c r="F47" i="80"/>
  <c r="U23" i="80"/>
  <c r="W7" i="95"/>
  <c r="X9" i="113"/>
  <c r="X69" i="113" s="1"/>
  <c r="P43" i="95"/>
  <c r="U46" i="110"/>
  <c r="U34" i="110"/>
  <c r="T28" i="108"/>
  <c r="F34" i="90"/>
  <c r="T35" i="106"/>
  <c r="G22" i="110"/>
  <c r="B65" i="95"/>
  <c r="N31" i="97" s="1"/>
  <c r="T27" i="109"/>
  <c r="V9" i="80"/>
  <c r="G25" i="108"/>
  <c r="F35" i="80"/>
  <c r="T47" i="80"/>
  <c r="V11" i="108"/>
  <c r="V13" i="104"/>
  <c r="U25" i="108"/>
  <c r="U39" i="104"/>
  <c r="U22" i="110"/>
  <c r="U15" i="103"/>
  <c r="P11" i="95" s="1"/>
  <c r="T27" i="104"/>
  <c r="T36" i="109"/>
  <c r="F53" i="96"/>
  <c r="T35" i="80"/>
  <c r="V13" i="109"/>
  <c r="Q9" i="95"/>
  <c r="G34" i="110"/>
  <c r="T34" i="93"/>
  <c r="G46" i="110"/>
  <c r="R12" i="87"/>
  <c r="S26" i="87" s="1"/>
  <c r="F37" i="108"/>
  <c r="F23" i="80"/>
  <c r="Q9" i="113"/>
  <c r="T42" i="108"/>
  <c r="W12" i="113"/>
  <c r="W72" i="113" s="1"/>
  <c r="O10" i="113"/>
  <c r="T52" i="102"/>
  <c r="G49" i="93"/>
  <c r="T30" i="89"/>
  <c r="W9" i="95"/>
  <c r="W68" i="95" s="1"/>
  <c r="F27" i="108"/>
  <c r="U42" i="108"/>
  <c r="G48" i="103"/>
  <c r="G39" i="108"/>
  <c r="G27" i="105"/>
  <c r="U48" i="103"/>
  <c r="G39" i="105"/>
  <c r="T39" i="105"/>
  <c r="U28" i="102"/>
  <c r="U13" i="106"/>
  <c r="S9" i="113" s="1"/>
  <c r="F42" i="108"/>
  <c r="F47" i="106"/>
  <c r="T30" i="108"/>
  <c r="G40" i="102"/>
  <c r="V13" i="108"/>
  <c r="W9" i="113"/>
  <c r="W69" i="113" s="1"/>
  <c r="T42" i="89"/>
  <c r="G51" i="108"/>
  <c r="V16" i="89"/>
  <c r="U49" i="90"/>
  <c r="F54" i="108"/>
  <c r="F52" i="102"/>
  <c r="W12" i="95"/>
  <c r="W71" i="95" s="1"/>
  <c r="T24" i="103"/>
  <c r="F24" i="103"/>
  <c r="T48" i="103"/>
  <c r="T51" i="108"/>
  <c r="F51" i="108"/>
  <c r="T51" i="105"/>
  <c r="F27" i="105"/>
  <c r="U39" i="108"/>
  <c r="F51" i="105"/>
  <c r="G36" i="103"/>
  <c r="U51" i="105"/>
  <c r="T52" i="108"/>
  <c r="V14" i="108"/>
  <c r="V8" i="89"/>
  <c r="U42" i="89"/>
  <c r="U54" i="89"/>
  <c r="W60" i="95"/>
  <c r="G42" i="89"/>
  <c r="L12" i="95"/>
  <c r="L71" i="95" s="1"/>
  <c r="T54" i="108"/>
  <c r="F25" i="112"/>
  <c r="M35" i="95"/>
  <c r="T40" i="108"/>
  <c r="W10" i="95"/>
  <c r="W69" i="95" s="1"/>
  <c r="U54" i="108"/>
  <c r="L4" i="95"/>
  <c r="L63" i="95" s="1"/>
  <c r="F28" i="108"/>
  <c r="F40" i="108"/>
  <c r="F42" i="89"/>
  <c r="U8" i="94"/>
  <c r="U22" i="94" s="1"/>
  <c r="T25" i="90"/>
  <c r="V13" i="105"/>
  <c r="R9" i="113"/>
  <c r="R69" i="113" s="1"/>
  <c r="F39" i="105"/>
  <c r="U47" i="106"/>
  <c r="S41" i="95"/>
  <c r="G23" i="106"/>
  <c r="F42" i="90"/>
  <c r="E31" i="113"/>
  <c r="U25" i="90"/>
  <c r="E6" i="95"/>
  <c r="Q11" i="97" s="1"/>
  <c r="F23" i="106"/>
  <c r="G42" i="108"/>
  <c r="AA6" i="95"/>
  <c r="F30" i="90"/>
  <c r="E6" i="113"/>
  <c r="F36" i="103"/>
  <c r="V10" i="112"/>
  <c r="F54" i="90"/>
  <c r="G42" i="90"/>
  <c r="F22" i="93"/>
  <c r="V16" i="90"/>
  <c r="Q65" i="95"/>
  <c r="E12" i="95"/>
  <c r="E71" i="95" s="1"/>
  <c r="G22" i="93"/>
  <c r="S64" i="95"/>
  <c r="E12" i="113"/>
  <c r="E72" i="113" s="1"/>
  <c r="G54" i="90"/>
  <c r="U36" i="103"/>
  <c r="T42" i="90"/>
  <c r="T30" i="90"/>
  <c r="G34" i="93"/>
  <c r="T36" i="103"/>
  <c r="G27" i="109"/>
  <c r="F39" i="109"/>
  <c r="V10" i="103"/>
  <c r="T54" i="90"/>
  <c r="T39" i="109"/>
  <c r="F51" i="109"/>
  <c r="U22" i="108"/>
  <c r="U13" i="101"/>
  <c r="U27" i="101" s="1"/>
  <c r="E34" i="108"/>
  <c r="W40" i="95" s="1"/>
  <c r="E22" i="108"/>
  <c r="W28" i="95" s="1"/>
  <c r="F34" i="96"/>
  <c r="S46" i="108"/>
  <c r="U46" i="108" s="1"/>
  <c r="F28" i="111"/>
  <c r="F30" i="108"/>
  <c r="G34" i="90"/>
  <c r="G34" i="96"/>
  <c r="G27" i="104"/>
  <c r="E46" i="108"/>
  <c r="W52" i="95" s="1"/>
  <c r="Z10" i="95"/>
  <c r="Z69" i="95" s="1"/>
  <c r="T28" i="111"/>
  <c r="S34" i="108"/>
  <c r="U34" i="108" s="1"/>
  <c r="T52" i="111"/>
  <c r="T51" i="104"/>
  <c r="F49" i="90"/>
  <c r="H52" i="95"/>
  <c r="F46" i="93"/>
  <c r="W16" i="113"/>
  <c r="T40" i="111"/>
  <c r="U51" i="104"/>
  <c r="Z10" i="113"/>
  <c r="Z70" i="113" s="1"/>
  <c r="W16" i="95"/>
  <c r="V14" i="111"/>
  <c r="U9" i="99"/>
  <c r="U23" i="99" s="1"/>
  <c r="U42" i="90"/>
  <c r="U54" i="90"/>
  <c r="U40" i="111"/>
  <c r="V8" i="99"/>
  <c r="F40" i="111"/>
  <c r="E10" i="95"/>
  <c r="U13" i="111"/>
  <c r="U27" i="111" s="1"/>
  <c r="S42" i="105"/>
  <c r="U42" i="105" s="1"/>
  <c r="U29" i="80"/>
  <c r="U30" i="90"/>
  <c r="G48" i="109"/>
  <c r="T39" i="104"/>
  <c r="G28" i="108"/>
  <c r="S4" i="95"/>
  <c r="S54" i="105"/>
  <c r="R60" i="113" s="1"/>
  <c r="G40" i="108"/>
  <c r="V15" i="96"/>
  <c r="S4" i="113"/>
  <c r="B11" i="95"/>
  <c r="U46" i="106"/>
  <c r="T53" i="96"/>
  <c r="D7" i="95"/>
  <c r="U22" i="106"/>
  <c r="G29" i="96"/>
  <c r="E42" i="105"/>
  <c r="G42" i="105" s="1"/>
  <c r="F41" i="96"/>
  <c r="V15" i="80"/>
  <c r="G22" i="106"/>
  <c r="U30" i="105"/>
  <c r="U25" i="88"/>
  <c r="E54" i="105"/>
  <c r="R60" i="95" s="1"/>
  <c r="R24" i="95"/>
  <c r="U40" i="108"/>
  <c r="G52" i="108"/>
  <c r="AA20" i="113"/>
  <c r="E30" i="105"/>
  <c r="G30" i="105" s="1"/>
  <c r="G46" i="106"/>
  <c r="T29" i="96"/>
  <c r="G46" i="90"/>
  <c r="U53" i="96"/>
  <c r="F29" i="96"/>
  <c r="R24" i="113"/>
  <c r="T41" i="96"/>
  <c r="E52" i="95"/>
  <c r="G53" i="96"/>
  <c r="H52" i="113"/>
  <c r="V8" i="110"/>
  <c r="P6" i="113"/>
  <c r="P66" i="113" s="1"/>
  <c r="P6" i="95"/>
  <c r="P65" i="95" s="1"/>
  <c r="U24" i="103"/>
  <c r="U24" i="112"/>
  <c r="U11" i="103"/>
  <c r="T49" i="103" s="1"/>
  <c r="G39" i="104"/>
  <c r="Y4" i="95"/>
  <c r="F30" i="80"/>
  <c r="E38" i="112"/>
  <c r="AA44" i="95" s="1"/>
  <c r="B12" i="95"/>
  <c r="AA20" i="95"/>
  <c r="V16" i="80"/>
  <c r="U30" i="80"/>
  <c r="T37" i="104"/>
  <c r="E26" i="112"/>
  <c r="AA32" i="95" s="1"/>
  <c r="S12" i="101"/>
  <c r="F42" i="80"/>
  <c r="E50" i="112"/>
  <c r="U54" i="80"/>
  <c r="U39" i="109"/>
  <c r="S50" i="112"/>
  <c r="U42" i="80"/>
  <c r="S38" i="112"/>
  <c r="AA44" i="113" s="1"/>
  <c r="F37" i="104"/>
  <c r="G54" i="108"/>
  <c r="F54" i="89"/>
  <c r="T54" i="89"/>
  <c r="W12" i="101"/>
  <c r="T50" i="109"/>
  <c r="G40" i="111"/>
  <c r="G39" i="109"/>
  <c r="X45" i="95"/>
  <c r="T13" i="103"/>
  <c r="E28" i="113"/>
  <c r="Q25" i="97" s="1"/>
  <c r="Q45" i="97" s="1"/>
  <c r="S42" i="106"/>
  <c r="F38" i="109"/>
  <c r="U52" i="111"/>
  <c r="G52" i="111"/>
  <c r="G28" i="111"/>
  <c r="U15" i="104"/>
  <c r="Q11" i="95" s="1"/>
  <c r="T49" i="107"/>
  <c r="U15" i="99"/>
  <c r="U29" i="99" s="1"/>
  <c r="M22" i="95"/>
  <c r="V12" i="109"/>
  <c r="T22" i="90"/>
  <c r="F50" i="109"/>
  <c r="X8" i="95"/>
  <c r="W14" i="112"/>
  <c r="G51" i="109"/>
  <c r="T51" i="109"/>
  <c r="F26" i="109"/>
  <c r="T38" i="109"/>
  <c r="X8" i="113"/>
  <c r="U27" i="109"/>
  <c r="U41" i="96"/>
  <c r="G41" i="96"/>
  <c r="L12" i="113"/>
  <c r="L72" i="113" s="1"/>
  <c r="G25" i="93"/>
  <c r="F34" i="93"/>
  <c r="U49" i="107"/>
  <c r="F37" i="112"/>
  <c r="O30" i="95"/>
  <c r="F39" i="104"/>
  <c r="G24" i="102"/>
  <c r="U13" i="89"/>
  <c r="U27" i="89" s="1"/>
  <c r="T37" i="107"/>
  <c r="U37" i="93"/>
  <c r="F25" i="107"/>
  <c r="U37" i="107"/>
  <c r="F37" i="107"/>
  <c r="T25" i="112"/>
  <c r="T25" i="107"/>
  <c r="U49" i="93"/>
  <c r="U37" i="112"/>
  <c r="G37" i="93"/>
  <c r="AA18" i="95"/>
  <c r="V10" i="109"/>
  <c r="U46" i="93"/>
  <c r="E48" i="112"/>
  <c r="G48" i="112" s="1"/>
  <c r="Q66" i="113"/>
  <c r="X6" i="113"/>
  <c r="X66" i="113" s="1"/>
  <c r="E10" i="113"/>
  <c r="S36" i="112"/>
  <c r="T36" i="112" s="1"/>
  <c r="T24" i="109"/>
  <c r="F49" i="107"/>
  <c r="AA18" i="113"/>
  <c r="F48" i="109"/>
  <c r="U10" i="105"/>
  <c r="U24" i="105" s="1"/>
  <c r="U11" i="100"/>
  <c r="M7" i="95" s="1"/>
  <c r="U36" i="109"/>
  <c r="U51" i="109"/>
  <c r="G36" i="109"/>
  <c r="V43" i="95"/>
  <c r="T48" i="109"/>
  <c r="U4" i="113"/>
  <c r="U48" i="109"/>
  <c r="X57" i="113"/>
  <c r="U11" i="101"/>
  <c r="U25" i="101" s="1"/>
  <c r="F24" i="109"/>
  <c r="S48" i="112"/>
  <c r="T48" i="112" s="1"/>
  <c r="H63" i="95"/>
  <c r="T29" i="97" s="1"/>
  <c r="F36" i="109"/>
  <c r="G49" i="107"/>
  <c r="G24" i="109"/>
  <c r="B64" i="113"/>
  <c r="N35" i="97" s="1"/>
  <c r="E24" i="112"/>
  <c r="G24" i="112" s="1"/>
  <c r="X6" i="95"/>
  <c r="X65" i="95" s="1"/>
  <c r="U10" i="111"/>
  <c r="V10" i="111" s="1"/>
  <c r="T52" i="106"/>
  <c r="F51" i="104"/>
  <c r="Q33" i="95"/>
  <c r="U12" i="112"/>
  <c r="AA8" i="113" s="1"/>
  <c r="T24" i="102"/>
  <c r="Q45" i="95"/>
  <c r="U28" i="80"/>
  <c r="F27" i="104"/>
  <c r="F22" i="104"/>
  <c r="G51" i="104"/>
  <c r="J11" i="113"/>
  <c r="J71" i="113" s="1"/>
  <c r="E40" i="100"/>
  <c r="Q20" i="113"/>
  <c r="T34" i="96"/>
  <c r="S54" i="106"/>
  <c r="S60" i="113" s="1"/>
  <c r="F25" i="104"/>
  <c r="U12" i="89"/>
  <c r="U26" i="89" s="1"/>
  <c r="M22" i="113"/>
  <c r="E42" i="106"/>
  <c r="Q7" i="95"/>
  <c r="Q66" i="95" s="1"/>
  <c r="E30" i="106"/>
  <c r="S36" i="95" s="1"/>
  <c r="Q7" i="113"/>
  <c r="Q67" i="113" s="1"/>
  <c r="G25" i="104"/>
  <c r="S52" i="100"/>
  <c r="M58" i="113" s="1"/>
  <c r="G23" i="111"/>
  <c r="S24" i="95"/>
  <c r="S40" i="100"/>
  <c r="S24" i="113"/>
  <c r="T49" i="104"/>
  <c r="U37" i="104"/>
  <c r="E52" i="100"/>
  <c r="M58" i="95" s="1"/>
  <c r="T25" i="104"/>
  <c r="E42" i="99"/>
  <c r="V11" i="104"/>
  <c r="E28" i="100"/>
  <c r="M46" i="95" s="1"/>
  <c r="U16" i="99"/>
  <c r="U30" i="99" s="1"/>
  <c r="E54" i="106"/>
  <c r="S60" i="95" s="1"/>
  <c r="F49" i="104"/>
  <c r="G37" i="104"/>
  <c r="G49" i="104"/>
  <c r="U49" i="104"/>
  <c r="S13" i="94"/>
  <c r="U23" i="88"/>
  <c r="G40" i="106"/>
  <c r="G52" i="106"/>
  <c r="G25" i="107"/>
  <c r="F52" i="106"/>
  <c r="U16" i="95"/>
  <c r="V9" i="96"/>
  <c r="F40" i="106"/>
  <c r="D5" i="95"/>
  <c r="P10" i="97" s="1"/>
  <c r="J5" i="95"/>
  <c r="V10" i="97" s="1"/>
  <c r="F28" i="106"/>
  <c r="S38" i="89"/>
  <c r="T28" i="106"/>
  <c r="V9" i="88"/>
  <c r="J5" i="113"/>
  <c r="G28" i="106"/>
  <c r="U15" i="101"/>
  <c r="N11" i="95" s="1"/>
  <c r="S10" i="95"/>
  <c r="S69" i="95" s="1"/>
  <c r="F22" i="96"/>
  <c r="U15" i="108"/>
  <c r="W11" i="113" s="1"/>
  <c r="T13" i="94"/>
  <c r="V14" i="106"/>
  <c r="U13" i="99"/>
  <c r="V13" i="99" s="1"/>
  <c r="G22" i="96"/>
  <c r="U52" i="106"/>
  <c r="V7" i="113"/>
  <c r="V67" i="113" s="1"/>
  <c r="S10" i="113"/>
  <c r="S70" i="113" s="1"/>
  <c r="T40" i="106"/>
  <c r="U40" i="106"/>
  <c r="U25" i="107"/>
  <c r="F37" i="90"/>
  <c r="G49" i="90"/>
  <c r="T51" i="96"/>
  <c r="V11" i="90"/>
  <c r="F25" i="90"/>
  <c r="G25" i="90"/>
  <c r="B10" i="95"/>
  <c r="T37" i="90"/>
  <c r="X33" i="95"/>
  <c r="X68" i="95" s="1"/>
  <c r="V14" i="80"/>
  <c r="E7" i="95"/>
  <c r="E66" i="95" s="1"/>
  <c r="E7" i="113"/>
  <c r="V7" i="95"/>
  <c r="V66" i="95" s="1"/>
  <c r="T49" i="90"/>
  <c r="U37" i="90"/>
  <c r="F27" i="96"/>
  <c r="G38" i="103"/>
  <c r="E30" i="99"/>
  <c r="F39" i="96"/>
  <c r="G26" i="103"/>
  <c r="T39" i="96"/>
  <c r="V13" i="96"/>
  <c r="F27" i="109"/>
  <c r="U27" i="96"/>
  <c r="J9" i="113"/>
  <c r="T50" i="103"/>
  <c r="S54" i="99"/>
  <c r="U60" i="113" s="1"/>
  <c r="P8" i="95"/>
  <c r="E54" i="99"/>
  <c r="U60" i="95" s="1"/>
  <c r="U12" i="110"/>
  <c r="U26" i="110" s="1"/>
  <c r="F51" i="96"/>
  <c r="B63" i="95"/>
  <c r="N29" i="97" s="1"/>
  <c r="U26" i="103"/>
  <c r="U24" i="95"/>
  <c r="F46" i="96"/>
  <c r="Q20" i="95"/>
  <c r="E26" i="104"/>
  <c r="G26" i="104" s="1"/>
  <c r="E50" i="104"/>
  <c r="Q56" i="95" s="1"/>
  <c r="S15" i="106"/>
  <c r="E38" i="104"/>
  <c r="G38" i="104" s="1"/>
  <c r="V10" i="93"/>
  <c r="G37" i="107"/>
  <c r="T15" i="106"/>
  <c r="S50" i="104"/>
  <c r="Q56" i="113" s="1"/>
  <c r="U26" i="104"/>
  <c r="H6" i="95"/>
  <c r="T11" i="97" s="1"/>
  <c r="G46" i="96"/>
  <c r="F28" i="102"/>
  <c r="S38" i="104"/>
  <c r="T38" i="104" s="1"/>
  <c r="H6" i="113"/>
  <c r="U49" i="112"/>
  <c r="U34" i="96"/>
  <c r="J11" i="95"/>
  <c r="J70" i="95" s="1"/>
  <c r="G30" i="108"/>
  <c r="Q39" i="97"/>
  <c r="N39" i="97"/>
  <c r="N45" i="97"/>
  <c r="V5" i="95"/>
  <c r="R16" i="94"/>
  <c r="S30" i="94" s="1"/>
  <c r="V39" i="97"/>
  <c r="V45" i="97"/>
  <c r="T39" i="97"/>
  <c r="T45" i="97"/>
  <c r="T13" i="107"/>
  <c r="W10" i="87"/>
  <c r="F38" i="103"/>
  <c r="V11" i="93"/>
  <c r="H7" i="95"/>
  <c r="H7" i="113"/>
  <c r="F40" i="102"/>
  <c r="U23" i="107"/>
  <c r="S46" i="102"/>
  <c r="U46" i="102" s="1"/>
  <c r="W15" i="106"/>
  <c r="U46" i="96"/>
  <c r="T16" i="112"/>
  <c r="U10" i="96"/>
  <c r="U24" i="96" s="1"/>
  <c r="E46" i="102"/>
  <c r="G46" i="102" s="1"/>
  <c r="J52" i="113"/>
  <c r="U15" i="90"/>
  <c r="E11" i="113" s="1"/>
  <c r="O16" i="113"/>
  <c r="V9" i="107"/>
  <c r="R9" i="87"/>
  <c r="E23" i="87" s="1"/>
  <c r="T13" i="87"/>
  <c r="U9" i="100"/>
  <c r="M5" i="113" s="1"/>
  <c r="E63" i="95"/>
  <c r="Q29" i="97" s="1"/>
  <c r="T14" i="112"/>
  <c r="U16" i="113"/>
  <c r="V11" i="88"/>
  <c r="S46" i="99"/>
  <c r="U46" i="99" s="1"/>
  <c r="E22" i="99"/>
  <c r="G22" i="99" s="1"/>
  <c r="E34" i="99"/>
  <c r="F34" i="99" s="1"/>
  <c r="U12" i="105"/>
  <c r="U26" i="105" s="1"/>
  <c r="F49" i="112"/>
  <c r="E46" i="99"/>
  <c r="G46" i="99" s="1"/>
  <c r="U23" i="103"/>
  <c r="W13" i="107"/>
  <c r="F26" i="103"/>
  <c r="S34" i="99"/>
  <c r="T34" i="99" s="1"/>
  <c r="S12" i="87"/>
  <c r="W12" i="108"/>
  <c r="W12" i="87"/>
  <c r="S14" i="88"/>
  <c r="W13" i="94"/>
  <c r="G34" i="100"/>
  <c r="G41" i="105"/>
  <c r="U34" i="100"/>
  <c r="T16" i="94"/>
  <c r="G29" i="105"/>
  <c r="W16" i="94"/>
  <c r="S15" i="93"/>
  <c r="L6" i="113"/>
  <c r="L6" i="95"/>
  <c r="L65" i="95" s="1"/>
  <c r="U53" i="113"/>
  <c r="J53" i="113"/>
  <c r="U47" i="96"/>
  <c r="Q52" i="113"/>
  <c r="U46" i="104"/>
  <c r="B57" i="95"/>
  <c r="G51" i="80"/>
  <c r="U54" i="105"/>
  <c r="B33" i="95"/>
  <c r="B68" i="95" s="1"/>
  <c r="G27" i="80"/>
  <c r="S11" i="89"/>
  <c r="T34" i="101"/>
  <c r="U34" i="101"/>
  <c r="S11" i="99"/>
  <c r="E50" i="89"/>
  <c r="B34" i="95"/>
  <c r="G28" i="80"/>
  <c r="W13" i="103"/>
  <c r="H42" i="113"/>
  <c r="U36" i="93"/>
  <c r="W16" i="102"/>
  <c r="T40" i="102"/>
  <c r="U40" i="102"/>
  <c r="V52" i="95"/>
  <c r="G46" i="107"/>
  <c r="U16" i="104"/>
  <c r="Q12" i="113" s="1"/>
  <c r="B41" i="113"/>
  <c r="U35" i="80"/>
  <c r="Y54" i="113"/>
  <c r="P56" i="113"/>
  <c r="U50" i="103"/>
  <c r="S42" i="99"/>
  <c r="W13" i="100"/>
  <c r="W15" i="87"/>
  <c r="D41" i="113"/>
  <c r="U35" i="88"/>
  <c r="T41" i="105"/>
  <c r="U41" i="105"/>
  <c r="Z52" i="113"/>
  <c r="U46" i="111"/>
  <c r="G22" i="100"/>
  <c r="D43" i="95"/>
  <c r="G37" i="88"/>
  <c r="S34" i="102"/>
  <c r="T11" i="89"/>
  <c r="N58" i="95"/>
  <c r="O54" i="95"/>
  <c r="G48" i="102"/>
  <c r="G25" i="112"/>
  <c r="B45" i="113"/>
  <c r="U39" i="80"/>
  <c r="P59" i="95"/>
  <c r="B57" i="113"/>
  <c r="U51" i="80"/>
  <c r="W11" i="89"/>
  <c r="B47" i="113"/>
  <c r="U41" i="80"/>
  <c r="L20" i="113"/>
  <c r="U53" i="95"/>
  <c r="V10" i="89"/>
  <c r="Z53" i="113"/>
  <c r="U47" i="111"/>
  <c r="V40" i="113"/>
  <c r="U34" i="107"/>
  <c r="J29" i="95"/>
  <c r="V20" i="97" s="1"/>
  <c r="G23" i="96"/>
  <c r="Z60" i="113"/>
  <c r="U54" i="111"/>
  <c r="W55" i="113"/>
  <c r="U49" i="108"/>
  <c r="B53" i="95"/>
  <c r="G47" i="80"/>
  <c r="S9" i="87"/>
  <c r="X52" i="113"/>
  <c r="U46" i="109"/>
  <c r="D53" i="113"/>
  <c r="U47" i="88"/>
  <c r="R59" i="95"/>
  <c r="G53" i="105"/>
  <c r="Z40" i="95"/>
  <c r="G34" i="111"/>
  <c r="M52" i="95"/>
  <c r="G46" i="100"/>
  <c r="J57" i="113"/>
  <c r="U51" i="96"/>
  <c r="X32" i="95"/>
  <c r="G26" i="109"/>
  <c r="D43" i="113"/>
  <c r="U37" i="88"/>
  <c r="N55" i="95"/>
  <c r="O16" i="95"/>
  <c r="T46" i="104"/>
  <c r="Q52" i="95"/>
  <c r="G46" i="104"/>
  <c r="N57" i="113"/>
  <c r="G36" i="102"/>
  <c r="T49" i="112"/>
  <c r="E40" i="113"/>
  <c r="U34" i="90"/>
  <c r="T34" i="90"/>
  <c r="F46" i="112"/>
  <c r="G46" i="112"/>
  <c r="F34" i="106"/>
  <c r="G34" i="106"/>
  <c r="H54" i="95"/>
  <c r="G48" i="93"/>
  <c r="O58" i="113"/>
  <c r="U52" i="102"/>
  <c r="J41" i="95"/>
  <c r="G35" i="96"/>
  <c r="Z48" i="95"/>
  <c r="G42" i="111"/>
  <c r="W55" i="95"/>
  <c r="G49" i="108"/>
  <c r="B41" i="95"/>
  <c r="G35" i="80"/>
  <c r="Y42" i="95"/>
  <c r="D41" i="95"/>
  <c r="G35" i="88"/>
  <c r="U59" i="113"/>
  <c r="G22" i="111"/>
  <c r="J45" i="95"/>
  <c r="G39" i="96"/>
  <c r="X44" i="95"/>
  <c r="G38" i="109"/>
  <c r="F34" i="104"/>
  <c r="G34" i="104"/>
  <c r="G49" i="112"/>
  <c r="Y54" i="95"/>
  <c r="B36" i="95"/>
  <c r="G30" i="80"/>
  <c r="N52" i="113"/>
  <c r="U46" i="101"/>
  <c r="S50" i="89"/>
  <c r="H30" i="95"/>
  <c r="T21" i="97" s="1"/>
  <c r="G24" i="93"/>
  <c r="W43" i="95"/>
  <c r="G37" i="108"/>
  <c r="X52" i="95"/>
  <c r="G46" i="109"/>
  <c r="X5" i="95"/>
  <c r="D29" i="95"/>
  <c r="P20" i="97" s="1"/>
  <c r="G23" i="88"/>
  <c r="U59" i="95"/>
  <c r="Z40" i="113"/>
  <c r="U34" i="111"/>
  <c r="J45" i="113"/>
  <c r="U39" i="96"/>
  <c r="X56" i="95"/>
  <c r="G50" i="109"/>
  <c r="N58" i="113"/>
  <c r="O6" i="113"/>
  <c r="O66" i="113" s="1"/>
  <c r="F36" i="102"/>
  <c r="V10" i="102"/>
  <c r="F24" i="102"/>
  <c r="O6" i="95"/>
  <c r="F48" i="102"/>
  <c r="T48" i="102"/>
  <c r="U25" i="112"/>
  <c r="AA7" i="95"/>
  <c r="AA66" i="95" s="1"/>
  <c r="V11" i="112"/>
  <c r="T37" i="112"/>
  <c r="AA7" i="113"/>
  <c r="AA67" i="113" s="1"/>
  <c r="G29" i="100"/>
  <c r="B58" i="95"/>
  <c r="G52" i="80"/>
  <c r="Z48" i="113"/>
  <c r="U42" i="111"/>
  <c r="P56" i="95"/>
  <c r="G50" i="103"/>
  <c r="X56" i="113"/>
  <c r="U50" i="109"/>
  <c r="D31" i="95"/>
  <c r="G25" i="88"/>
  <c r="B35" i="95"/>
  <c r="G29" i="80"/>
  <c r="Z41" i="95"/>
  <c r="G35" i="111"/>
  <c r="W8" i="87"/>
  <c r="V8" i="87" s="1"/>
  <c r="R56" i="113"/>
  <c r="T16" i="109"/>
  <c r="B45" i="95"/>
  <c r="G39" i="80"/>
  <c r="G22" i="101"/>
  <c r="F50" i="103"/>
  <c r="E38" i="89"/>
  <c r="B46" i="95"/>
  <c r="G40" i="80"/>
  <c r="T34" i="106"/>
  <c r="U34" i="106"/>
  <c r="T16" i="100"/>
  <c r="O58" i="95"/>
  <c r="G52" i="102"/>
  <c r="J53" i="95"/>
  <c r="G47" i="96"/>
  <c r="G30" i="111"/>
  <c r="B29" i="95"/>
  <c r="N20" i="97" s="1"/>
  <c r="G23" i="80"/>
  <c r="X40" i="95"/>
  <c r="G34" i="109"/>
  <c r="J63" i="95"/>
  <c r="V29" i="97" s="1"/>
  <c r="Y42" i="113"/>
  <c r="T38" i="103"/>
  <c r="U38" i="103"/>
  <c r="U24" i="113"/>
  <c r="J33" i="95"/>
  <c r="J68" i="95" s="1"/>
  <c r="G27" i="96"/>
  <c r="D55" i="113"/>
  <c r="U49" i="88"/>
  <c r="N55" i="113"/>
  <c r="E22" i="102"/>
  <c r="G22" i="102" s="1"/>
  <c r="S13" i="90"/>
  <c r="T34" i="104"/>
  <c r="U34" i="104"/>
  <c r="G41" i="100"/>
  <c r="G53" i="100"/>
  <c r="E52" i="113"/>
  <c r="U46" i="90"/>
  <c r="T46" i="90"/>
  <c r="U41" i="100"/>
  <c r="U22" i="99"/>
  <c r="B59" i="95"/>
  <c r="G53" i="80"/>
  <c r="V40" i="95"/>
  <c r="G34" i="107"/>
  <c r="B60" i="95"/>
  <c r="G54" i="80"/>
  <c r="S11" i="96"/>
  <c r="B47" i="95"/>
  <c r="G41" i="80"/>
  <c r="R56" i="95"/>
  <c r="G34" i="101"/>
  <c r="E26" i="89"/>
  <c r="B58" i="113"/>
  <c r="U52" i="80"/>
  <c r="H42" i="95"/>
  <c r="G36" i="93"/>
  <c r="Z53" i="95"/>
  <c r="G47" i="111"/>
  <c r="V52" i="113"/>
  <c r="U46" i="107"/>
  <c r="J41" i="113"/>
  <c r="U35" i="96"/>
  <c r="X40" i="113"/>
  <c r="U34" i="109"/>
  <c r="T14" i="105"/>
  <c r="D53" i="95"/>
  <c r="G47" i="88"/>
  <c r="T46" i="112"/>
  <c r="U46" i="112"/>
  <c r="X44" i="113"/>
  <c r="U38" i="109"/>
  <c r="D55" i="95"/>
  <c r="G49" i="88"/>
  <c r="E34" i="102"/>
  <c r="U24" i="102"/>
  <c r="T36" i="102"/>
  <c r="U36" i="102"/>
  <c r="U53" i="100"/>
  <c r="O54" i="113"/>
  <c r="U48" i="102"/>
  <c r="Z52" i="95"/>
  <c r="G46" i="111"/>
  <c r="J57" i="95"/>
  <c r="G51" i="96"/>
  <c r="V9" i="109"/>
  <c r="U12" i="102"/>
  <c r="U26" i="102" s="1"/>
  <c r="B59" i="113"/>
  <c r="U53" i="80"/>
  <c r="B48" i="95"/>
  <c r="G42" i="80"/>
  <c r="N52" i="95"/>
  <c r="G46" i="101"/>
  <c r="L20" i="95"/>
  <c r="B46" i="113"/>
  <c r="U40" i="80"/>
  <c r="H54" i="113"/>
  <c r="U48" i="93"/>
  <c r="Z41" i="113"/>
  <c r="U35" i="111"/>
  <c r="U23" i="109"/>
  <c r="Z60" i="95"/>
  <c r="G54" i="111"/>
  <c r="W43" i="113"/>
  <c r="U37" i="108"/>
  <c r="B53" i="113"/>
  <c r="U47" i="80"/>
  <c r="T13" i="100"/>
  <c r="S15" i="87"/>
  <c r="R59" i="113"/>
  <c r="U53" i="105"/>
  <c r="M52" i="113"/>
  <c r="U46" i="100"/>
  <c r="N57" i="95"/>
  <c r="J64" i="113"/>
  <c r="V35" i="97" s="1"/>
  <c r="V6" i="113"/>
  <c r="V6" i="95"/>
  <c r="C4" i="113"/>
  <c r="C4" i="95"/>
  <c r="F40" i="101"/>
  <c r="S6" i="113"/>
  <c r="S6" i="95"/>
  <c r="C23" i="113"/>
  <c r="E53" i="87"/>
  <c r="C23" i="95"/>
  <c r="E29" i="87"/>
  <c r="E41" i="87"/>
  <c r="S29" i="87"/>
  <c r="S41" i="87"/>
  <c r="S53" i="87"/>
  <c r="R9" i="112"/>
  <c r="S23" i="112" s="1"/>
  <c r="U23" i="112" s="1"/>
  <c r="N9" i="112"/>
  <c r="W9" i="112"/>
  <c r="V9" i="112" s="1"/>
  <c r="R44" i="113"/>
  <c r="R32" i="113"/>
  <c r="E33" i="91"/>
  <c r="G33" i="91" s="1"/>
  <c r="F15" i="95"/>
  <c r="S33" i="91"/>
  <c r="U33" i="91" s="1"/>
  <c r="F15" i="113"/>
  <c r="S21" i="91"/>
  <c r="U21" i="91" s="1"/>
  <c r="S45" i="91"/>
  <c r="U45" i="91" s="1"/>
  <c r="E45" i="91"/>
  <c r="G45" i="91" s="1"/>
  <c r="E21" i="91"/>
  <c r="G21" i="91" s="1"/>
  <c r="N13" i="87"/>
  <c r="R13" i="87"/>
  <c r="T30" i="80"/>
  <c r="B36" i="113"/>
  <c r="B72" i="113" s="1"/>
  <c r="P14" i="97"/>
  <c r="D24" i="32"/>
  <c r="T24" i="112"/>
  <c r="AA54" i="113"/>
  <c r="AA30" i="113"/>
  <c r="AA66" i="113" s="1"/>
  <c r="F14" i="87"/>
  <c r="G14" i="87" s="1"/>
  <c r="H14" i="87" s="1"/>
  <c r="I14" i="87" s="1"/>
  <c r="J14" i="87" s="1"/>
  <c r="K14" i="87" s="1"/>
  <c r="N10" i="106"/>
  <c r="R10" i="106"/>
  <c r="S24" i="106" s="1"/>
  <c r="U24" i="106" s="1"/>
  <c r="F33" i="94"/>
  <c r="I39" i="95"/>
  <c r="T28" i="80"/>
  <c r="B34" i="113"/>
  <c r="B70" i="113" s="1"/>
  <c r="S52" i="95"/>
  <c r="F46" i="106"/>
  <c r="F14" i="94"/>
  <c r="G14" i="94" s="1"/>
  <c r="H14" i="94" s="1"/>
  <c r="I14" i="94" s="1"/>
  <c r="J14" i="94" s="1"/>
  <c r="K14" i="94" s="1"/>
  <c r="U29" i="95"/>
  <c r="U41" i="95"/>
  <c r="R10" i="107"/>
  <c r="S24" i="107" s="1"/>
  <c r="U24" i="107" s="1"/>
  <c r="N10" i="107"/>
  <c r="D12" i="92"/>
  <c r="B12" i="92"/>
  <c r="N9" i="110"/>
  <c r="R9" i="110"/>
  <c r="S23" i="110" s="1"/>
  <c r="R10" i="87"/>
  <c r="F23" i="111"/>
  <c r="Z29" i="95"/>
  <c r="T12" i="108"/>
  <c r="T23" i="96"/>
  <c r="J29" i="113"/>
  <c r="V26" i="97" s="1"/>
  <c r="Y20" i="113"/>
  <c r="S38" i="110"/>
  <c r="E38" i="110"/>
  <c r="E50" i="110"/>
  <c r="E26" i="110"/>
  <c r="S50" i="110"/>
  <c r="Y20" i="95"/>
  <c r="J18" i="113"/>
  <c r="S36" i="96"/>
  <c r="E48" i="96"/>
  <c r="J18" i="95"/>
  <c r="V16" i="97" s="1"/>
  <c r="E24" i="96"/>
  <c r="E36" i="96"/>
  <c r="S48" i="96"/>
  <c r="M19" i="113"/>
  <c r="M19" i="95"/>
  <c r="E37" i="100"/>
  <c r="S37" i="100"/>
  <c r="E25" i="100"/>
  <c r="E49" i="100"/>
  <c r="S49" i="100"/>
  <c r="H43" i="95"/>
  <c r="F37" i="93"/>
  <c r="F22" i="109"/>
  <c r="X28" i="95"/>
  <c r="X63" i="95" s="1"/>
  <c r="U14" i="100"/>
  <c r="U28" i="100" s="1"/>
  <c r="W42" i="113"/>
  <c r="T36" i="108"/>
  <c r="T49" i="108"/>
  <c r="C27" i="95"/>
  <c r="F21" i="87"/>
  <c r="P44" i="95"/>
  <c r="P32" i="95"/>
  <c r="M11" i="113"/>
  <c r="M71" i="113" s="1"/>
  <c r="F53" i="100"/>
  <c r="F29" i="100"/>
  <c r="M11" i="95"/>
  <c r="F41" i="100"/>
  <c r="V15" i="100"/>
  <c r="T53" i="100"/>
  <c r="E14" i="91"/>
  <c r="F14" i="91" s="1"/>
  <c r="G14" i="91" s="1"/>
  <c r="H14" i="91" s="1"/>
  <c r="I14" i="91" s="1"/>
  <c r="J14" i="91" s="1"/>
  <c r="N9" i="101"/>
  <c r="R9" i="101"/>
  <c r="S23" i="101" s="1"/>
  <c r="U23" i="101" s="1"/>
  <c r="W9" i="101"/>
  <c r="V9" i="101" s="1"/>
  <c r="U12" i="107"/>
  <c r="U26" i="107" s="1"/>
  <c r="N15" i="87"/>
  <c r="U16" i="106"/>
  <c r="R13" i="94"/>
  <c r="S27" i="94" s="1"/>
  <c r="R16" i="95"/>
  <c r="R16" i="113"/>
  <c r="S34" i="105"/>
  <c r="E34" i="105"/>
  <c r="E22" i="105"/>
  <c r="G22" i="105" s="1"/>
  <c r="E46" i="105"/>
  <c r="G46" i="105" s="1"/>
  <c r="S46" i="105"/>
  <c r="U46" i="105" s="1"/>
  <c r="U9" i="89"/>
  <c r="S12" i="108"/>
  <c r="F37" i="88"/>
  <c r="W9" i="110"/>
  <c r="T12" i="93"/>
  <c r="F23" i="96"/>
  <c r="N46" i="113"/>
  <c r="N34" i="113"/>
  <c r="W4" i="113"/>
  <c r="W4" i="95"/>
  <c r="V8" i="108"/>
  <c r="I16" i="88"/>
  <c r="J16" i="88" s="1"/>
  <c r="K16" i="88" s="1"/>
  <c r="L16" i="88" s="1"/>
  <c r="M16" i="88" s="1"/>
  <c r="F22" i="110"/>
  <c r="Y28" i="95"/>
  <c r="C16" i="113"/>
  <c r="S34" i="87"/>
  <c r="S22" i="87"/>
  <c r="U22" i="87" s="1"/>
  <c r="E34" i="87"/>
  <c r="C16" i="95"/>
  <c r="O14" i="97" s="1"/>
  <c r="E46" i="87"/>
  <c r="E22" i="87"/>
  <c r="S46" i="87"/>
  <c r="E12" i="91"/>
  <c r="F12" i="91" s="1"/>
  <c r="G12" i="91" s="1"/>
  <c r="H12" i="91" s="1"/>
  <c r="I12" i="91" s="1"/>
  <c r="N12" i="91" s="1"/>
  <c r="N16" i="109"/>
  <c r="R16" i="109"/>
  <c r="S30" i="109" s="1"/>
  <c r="Y40" i="95"/>
  <c r="F34" i="110"/>
  <c r="P24" i="113"/>
  <c r="E30" i="103"/>
  <c r="P24" i="95"/>
  <c r="S42" i="103"/>
  <c r="S54" i="103"/>
  <c r="E54" i="103"/>
  <c r="E42" i="103"/>
  <c r="N11" i="96"/>
  <c r="R11" i="96"/>
  <c r="S25" i="96" s="1"/>
  <c r="T29" i="80"/>
  <c r="B35" i="113"/>
  <c r="B71" i="113" s="1"/>
  <c r="G13" i="110"/>
  <c r="Z4" i="113"/>
  <c r="T34" i="111"/>
  <c r="Z4" i="95"/>
  <c r="F34" i="111"/>
  <c r="F46" i="111"/>
  <c r="T46" i="111"/>
  <c r="G10" i="101"/>
  <c r="W10" i="101" s="1"/>
  <c r="W17" i="113"/>
  <c r="S35" i="108"/>
  <c r="U35" i="108" s="1"/>
  <c r="E47" i="108"/>
  <c r="G47" i="108" s="1"/>
  <c r="E23" i="108"/>
  <c r="G23" i="108" s="1"/>
  <c r="E35" i="108"/>
  <c r="G35" i="108" s="1"/>
  <c r="W17" i="95"/>
  <c r="S47" i="108"/>
  <c r="U47" i="108" s="1"/>
  <c r="D40" i="95"/>
  <c r="F34" i="88"/>
  <c r="F12" i="94"/>
  <c r="W14" i="103"/>
  <c r="F53" i="80"/>
  <c r="T45" i="94"/>
  <c r="I51" i="113"/>
  <c r="U9" i="105"/>
  <c r="T22" i="106"/>
  <c r="S28" i="113"/>
  <c r="S40" i="113"/>
  <c r="T12" i="106"/>
  <c r="D8" i="92"/>
  <c r="S8" i="92" s="1"/>
  <c r="B8" i="92"/>
  <c r="B16" i="92"/>
  <c r="D16" i="92"/>
  <c r="T16" i="102"/>
  <c r="Q10" i="97"/>
  <c r="T22" i="107"/>
  <c r="V28" i="113"/>
  <c r="V64" i="113" s="1"/>
  <c r="G15" i="112"/>
  <c r="Z21" i="113"/>
  <c r="E27" i="111"/>
  <c r="Z21" i="95"/>
  <c r="E51" i="111"/>
  <c r="S39" i="111"/>
  <c r="E39" i="111"/>
  <c r="S51" i="111"/>
  <c r="T25" i="93"/>
  <c r="H31" i="113"/>
  <c r="H11" i="111"/>
  <c r="S11" i="111"/>
  <c r="T22" i="108"/>
  <c r="W28" i="113"/>
  <c r="T23" i="80"/>
  <c r="B29" i="113"/>
  <c r="N26" i="97" s="1"/>
  <c r="E11" i="91"/>
  <c r="T24" i="108"/>
  <c r="W30" i="113"/>
  <c r="F49" i="108"/>
  <c r="C39" i="95"/>
  <c r="F33" i="87"/>
  <c r="W16" i="109"/>
  <c r="T8" i="91"/>
  <c r="E8" i="91"/>
  <c r="W8" i="91" s="1"/>
  <c r="S8" i="91"/>
  <c r="Z5" i="113"/>
  <c r="T35" i="111"/>
  <c r="Z5" i="95"/>
  <c r="V9" i="111"/>
  <c r="F35" i="111"/>
  <c r="F47" i="111"/>
  <c r="T47" i="111"/>
  <c r="H11" i="109"/>
  <c r="S11" i="109"/>
  <c r="U11" i="109" s="1"/>
  <c r="G14" i="89"/>
  <c r="R11" i="113"/>
  <c r="F53" i="105"/>
  <c r="V15" i="105"/>
  <c r="R11" i="95"/>
  <c r="F29" i="105"/>
  <c r="F41" i="105"/>
  <c r="T53" i="105"/>
  <c r="H53" i="95"/>
  <c r="F47" i="93"/>
  <c r="S14" i="112"/>
  <c r="E13" i="91"/>
  <c r="T12" i="101"/>
  <c r="T35" i="88"/>
  <c r="V17" i="113"/>
  <c r="S35" i="107"/>
  <c r="U35" i="107" s="1"/>
  <c r="E35" i="107"/>
  <c r="G35" i="107" s="1"/>
  <c r="E47" i="107"/>
  <c r="G47" i="107" s="1"/>
  <c r="V17" i="95"/>
  <c r="E23" i="107"/>
  <c r="G23" i="107" s="1"/>
  <c r="S47" i="107"/>
  <c r="U47" i="107" s="1"/>
  <c r="U10" i="110"/>
  <c r="U24" i="110" s="1"/>
  <c r="N43" i="95"/>
  <c r="N31" i="95"/>
  <c r="T15" i="93"/>
  <c r="U15" i="93" s="1"/>
  <c r="T37" i="88"/>
  <c r="T39" i="80"/>
  <c r="F48" i="93"/>
  <c r="S16" i="109"/>
  <c r="N45" i="95"/>
  <c r="N33" i="95"/>
  <c r="T35" i="96"/>
  <c r="N46" i="95"/>
  <c r="N34" i="95"/>
  <c r="Y52" i="95"/>
  <c r="F46" i="110"/>
  <c r="H15" i="111"/>
  <c r="I15" i="111" s="1"/>
  <c r="J15" i="111" s="1"/>
  <c r="K15" i="111" s="1"/>
  <c r="L15" i="111" s="1"/>
  <c r="T54" i="80"/>
  <c r="B60" i="113"/>
  <c r="D52" i="95"/>
  <c r="F46" i="88"/>
  <c r="L21" i="113"/>
  <c r="L21" i="95"/>
  <c r="E27" i="89"/>
  <c r="S39" i="89"/>
  <c r="E39" i="89"/>
  <c r="E51" i="89"/>
  <c r="S51" i="89"/>
  <c r="N14" i="103"/>
  <c r="R14" i="103"/>
  <c r="S28" i="103" s="1"/>
  <c r="F29" i="80"/>
  <c r="F9" i="94"/>
  <c r="W9" i="94" s="1"/>
  <c r="S9" i="94"/>
  <c r="T9" i="94"/>
  <c r="T33" i="94"/>
  <c r="I39" i="113"/>
  <c r="W12" i="106"/>
  <c r="O46" i="95"/>
  <c r="O34" i="95"/>
  <c r="W12" i="93"/>
  <c r="E9" i="91"/>
  <c r="S36" i="113"/>
  <c r="S48" i="113"/>
  <c r="R16" i="87"/>
  <c r="H12" i="100"/>
  <c r="I12" i="100" s="1"/>
  <c r="H31" i="95"/>
  <c r="H66" i="95" s="1"/>
  <c r="F25" i="93"/>
  <c r="W11" i="96"/>
  <c r="U16" i="103"/>
  <c r="U30" i="103" s="1"/>
  <c r="T33" i="87"/>
  <c r="C39" i="113"/>
  <c r="M18" i="113"/>
  <c r="S36" i="100"/>
  <c r="E24" i="100"/>
  <c r="E36" i="100"/>
  <c r="M18" i="95"/>
  <c r="E48" i="100"/>
  <c r="S48" i="100"/>
  <c r="T26" i="103"/>
  <c r="P32" i="113"/>
  <c r="P68" i="113" s="1"/>
  <c r="P44" i="113"/>
  <c r="U36" i="113"/>
  <c r="U48" i="113"/>
  <c r="T52" i="80"/>
  <c r="L16" i="95"/>
  <c r="L16" i="113"/>
  <c r="S34" i="89"/>
  <c r="E34" i="89"/>
  <c r="E46" i="89"/>
  <c r="G46" i="89" s="1"/>
  <c r="E22" i="89"/>
  <c r="G22" i="89" s="1"/>
  <c r="S46" i="89"/>
  <c r="U46" i="89" s="1"/>
  <c r="T41" i="100"/>
  <c r="M4" i="113"/>
  <c r="V8" i="100"/>
  <c r="M4" i="95"/>
  <c r="F34" i="100"/>
  <c r="F22" i="100"/>
  <c r="F46" i="100"/>
  <c r="T46" i="100"/>
  <c r="H12" i="111"/>
  <c r="I12" i="111" s="1"/>
  <c r="U47" i="95"/>
  <c r="U35" i="95"/>
  <c r="H41" i="95"/>
  <c r="F35" i="93"/>
  <c r="F22" i="111"/>
  <c r="Z28" i="95"/>
  <c r="T22" i="100"/>
  <c r="M28" i="113"/>
  <c r="M40" i="113"/>
  <c r="S21" i="113"/>
  <c r="S39" i="106"/>
  <c r="E51" i="106"/>
  <c r="E39" i="106"/>
  <c r="S51" i="106"/>
  <c r="S21" i="95"/>
  <c r="E27" i="106"/>
  <c r="N12" i="101"/>
  <c r="R12" i="101"/>
  <c r="S26" i="101" s="1"/>
  <c r="U15" i="109"/>
  <c r="U29" i="109" s="1"/>
  <c r="Q69" i="113"/>
  <c r="D20" i="113"/>
  <c r="S38" i="88"/>
  <c r="U38" i="88" s="1"/>
  <c r="S26" i="88"/>
  <c r="U26" i="88" s="1"/>
  <c r="E26" i="88"/>
  <c r="G26" i="88" s="1"/>
  <c r="E38" i="88"/>
  <c r="G38" i="88" s="1"/>
  <c r="E50" i="88"/>
  <c r="G50" i="88" s="1"/>
  <c r="D20" i="95"/>
  <c r="S50" i="88"/>
  <c r="U50" i="88" s="1"/>
  <c r="T11" i="96"/>
  <c r="T16" i="87"/>
  <c r="S16" i="94"/>
  <c r="T51" i="80"/>
  <c r="F36" i="93"/>
  <c r="S13" i="103"/>
  <c r="R44" i="95"/>
  <c r="R32" i="95"/>
  <c r="I15" i="88"/>
  <c r="F11" i="94"/>
  <c r="T42" i="80"/>
  <c r="B48" i="113"/>
  <c r="T22" i="88"/>
  <c r="D28" i="113"/>
  <c r="N40" i="95"/>
  <c r="N28" i="95"/>
  <c r="Q24" i="113"/>
  <c r="S54" i="104"/>
  <c r="S42" i="104"/>
  <c r="Q24" i="95"/>
  <c r="E54" i="104"/>
  <c r="E42" i="104"/>
  <c r="E30" i="104"/>
  <c r="L44" i="113"/>
  <c r="L32" i="113"/>
  <c r="T21" i="94"/>
  <c r="I27" i="113"/>
  <c r="U24" i="97" s="1"/>
  <c r="U44" i="97" s="1"/>
  <c r="R9" i="105"/>
  <c r="S23" i="105" s="1"/>
  <c r="N9" i="105"/>
  <c r="R12" i="106"/>
  <c r="S26" i="106" s="1"/>
  <c r="N12" i="106"/>
  <c r="U29" i="113"/>
  <c r="U41" i="113"/>
  <c r="D15" i="92"/>
  <c r="B15" i="92"/>
  <c r="D14" i="92"/>
  <c r="B14" i="92"/>
  <c r="S16" i="87"/>
  <c r="R16" i="102"/>
  <c r="S30" i="102" s="1"/>
  <c r="N16" i="102"/>
  <c r="T23" i="111"/>
  <c r="Z29" i="113"/>
  <c r="X17" i="113"/>
  <c r="S35" i="109"/>
  <c r="U35" i="109" s="1"/>
  <c r="E35" i="109"/>
  <c r="G35" i="109" s="1"/>
  <c r="E23" i="109"/>
  <c r="G23" i="109" s="1"/>
  <c r="X17" i="95"/>
  <c r="E47" i="109"/>
  <c r="G47" i="109" s="1"/>
  <c r="S47" i="109"/>
  <c r="U47" i="109" s="1"/>
  <c r="F30" i="111"/>
  <c r="Z36" i="95"/>
  <c r="H55" i="95"/>
  <c r="F49" i="93"/>
  <c r="T22" i="109"/>
  <c r="X28" i="113"/>
  <c r="X64" i="113" s="1"/>
  <c r="P16" i="95"/>
  <c r="P16" i="113"/>
  <c r="S34" i="103"/>
  <c r="E46" i="103"/>
  <c r="G46" i="103" s="1"/>
  <c r="E34" i="103"/>
  <c r="E22" i="103"/>
  <c r="G22" i="103" s="1"/>
  <c r="S46" i="103"/>
  <c r="U46" i="103" s="1"/>
  <c r="W54" i="113"/>
  <c r="T48" i="108"/>
  <c r="O20" i="113"/>
  <c r="S38" i="102"/>
  <c r="O20" i="95"/>
  <c r="E50" i="102"/>
  <c r="E26" i="102"/>
  <c r="E38" i="102"/>
  <c r="S50" i="102"/>
  <c r="T45" i="87"/>
  <c r="C51" i="113"/>
  <c r="S14" i="104"/>
  <c r="N14" i="105"/>
  <c r="R14" i="105"/>
  <c r="S28" i="105" s="1"/>
  <c r="W16" i="100"/>
  <c r="T40" i="80"/>
  <c r="E17" i="113"/>
  <c r="S23" i="90"/>
  <c r="U23" i="90" s="1"/>
  <c r="S35" i="90"/>
  <c r="U35" i="90" s="1"/>
  <c r="E47" i="90"/>
  <c r="G47" i="90" s="1"/>
  <c r="E23" i="90"/>
  <c r="G23" i="90" s="1"/>
  <c r="E35" i="90"/>
  <c r="G35" i="90" s="1"/>
  <c r="E17" i="95"/>
  <c r="Q15" i="97" s="1"/>
  <c r="S47" i="90"/>
  <c r="U47" i="90" s="1"/>
  <c r="G10" i="99"/>
  <c r="W10" i="99" s="1"/>
  <c r="S10" i="99"/>
  <c r="U10" i="99" s="1"/>
  <c r="H29" i="95"/>
  <c r="F23" i="93"/>
  <c r="T22" i="111"/>
  <c r="Z28" i="113"/>
  <c r="T46" i="109"/>
  <c r="AA52" i="95"/>
  <c r="AA28" i="95"/>
  <c r="AA63" i="95" s="1"/>
  <c r="F22" i="112"/>
  <c r="T34" i="100"/>
  <c r="N14" i="112"/>
  <c r="R14" i="112"/>
  <c r="S28" i="112" s="1"/>
  <c r="E10" i="91"/>
  <c r="F10" i="91" s="1"/>
  <c r="T47" i="88"/>
  <c r="W23" i="113"/>
  <c r="W23" i="95"/>
  <c r="E29" i="108"/>
  <c r="E41" i="108"/>
  <c r="E53" i="108"/>
  <c r="S41" i="108"/>
  <c r="S53" i="108"/>
  <c r="J13" i="90"/>
  <c r="T13" i="90"/>
  <c r="W16" i="112"/>
  <c r="T49" i="88"/>
  <c r="T48" i="93"/>
  <c r="S14" i="103"/>
  <c r="T47" i="96"/>
  <c r="T22" i="110"/>
  <c r="Y28" i="113"/>
  <c r="Y64" i="113" s="1"/>
  <c r="N23" i="113"/>
  <c r="N23" i="95"/>
  <c r="E53" i="101"/>
  <c r="E29" i="101"/>
  <c r="E41" i="101"/>
  <c r="S41" i="101"/>
  <c r="S53" i="101"/>
  <c r="T30" i="105"/>
  <c r="R36" i="113"/>
  <c r="R48" i="113"/>
  <c r="Y40" i="113"/>
  <c r="T34" i="110"/>
  <c r="T27" i="80"/>
  <c r="B33" i="113"/>
  <c r="B69" i="113" s="1"/>
  <c r="R13" i="107"/>
  <c r="S27" i="107" s="1"/>
  <c r="N13" i="107"/>
  <c r="G15" i="110"/>
  <c r="H14" i="93"/>
  <c r="N10" i="97"/>
  <c r="D40" i="113"/>
  <c r="T34" i="88"/>
  <c r="M17" i="113"/>
  <c r="S35" i="100"/>
  <c r="E35" i="100"/>
  <c r="E23" i="100"/>
  <c r="M17" i="95"/>
  <c r="E47" i="100"/>
  <c r="S47" i="100"/>
  <c r="H14" i="96"/>
  <c r="S12" i="93"/>
  <c r="T26" i="104"/>
  <c r="Q32" i="113"/>
  <c r="Q44" i="113"/>
  <c r="N16" i="112"/>
  <c r="R16" i="112"/>
  <c r="S30" i="112" s="1"/>
  <c r="P17" i="113"/>
  <c r="S35" i="103"/>
  <c r="E23" i="103"/>
  <c r="G23" i="103" s="1"/>
  <c r="E47" i="103"/>
  <c r="F47" i="103" s="1"/>
  <c r="P17" i="95"/>
  <c r="E35" i="103"/>
  <c r="G35" i="103" s="1"/>
  <c r="S47" i="103"/>
  <c r="D11" i="92"/>
  <c r="B11" i="92"/>
  <c r="W7" i="92"/>
  <c r="N7" i="92"/>
  <c r="R7" i="92"/>
  <c r="S21" i="92" s="1"/>
  <c r="W16" i="87"/>
  <c r="S16" i="112"/>
  <c r="W15" i="93"/>
  <c r="T21" i="87"/>
  <c r="C27" i="113"/>
  <c r="T14" i="104"/>
  <c r="R12" i="113"/>
  <c r="V16" i="105"/>
  <c r="R12" i="95"/>
  <c r="G15" i="89"/>
  <c r="P5" i="113"/>
  <c r="V9" i="103"/>
  <c r="P5" i="95"/>
  <c r="T15" i="87"/>
  <c r="T29" i="105"/>
  <c r="R35" i="113"/>
  <c r="R47" i="113"/>
  <c r="T23" i="93"/>
  <c r="H29" i="113"/>
  <c r="F34" i="109"/>
  <c r="AA40" i="95"/>
  <c r="F34" i="112"/>
  <c r="N10" i="111"/>
  <c r="R10" i="111"/>
  <c r="S24" i="111" s="1"/>
  <c r="T27" i="96"/>
  <c r="J33" i="113"/>
  <c r="P35" i="113"/>
  <c r="P47" i="113"/>
  <c r="F23" i="88"/>
  <c r="T26" i="109"/>
  <c r="X32" i="113"/>
  <c r="T25" i="88"/>
  <c r="D31" i="113"/>
  <c r="D67" i="113" s="1"/>
  <c r="S7" i="92"/>
  <c r="U7" i="92" s="1"/>
  <c r="T22" i="102"/>
  <c r="O40" i="113"/>
  <c r="O28" i="113"/>
  <c r="O64" i="113" s="1"/>
  <c r="U10" i="100"/>
  <c r="U24" i="100" s="1"/>
  <c r="S13" i="107"/>
  <c r="F51" i="80"/>
  <c r="P11" i="97"/>
  <c r="F24" i="93"/>
  <c r="U15" i="102"/>
  <c r="R12" i="93"/>
  <c r="S26" i="93" s="1"/>
  <c r="N12" i="93"/>
  <c r="T53" i="80"/>
  <c r="U21" i="113"/>
  <c r="E27" i="99"/>
  <c r="E39" i="99"/>
  <c r="S39" i="99"/>
  <c r="U21" i="95"/>
  <c r="E51" i="99"/>
  <c r="S51" i="99"/>
  <c r="S52" i="113"/>
  <c r="T46" i="106"/>
  <c r="F15" i="94"/>
  <c r="G15" i="94" s="1"/>
  <c r="H15" i="94" s="1"/>
  <c r="I15" i="94" s="1"/>
  <c r="J15" i="94" s="1"/>
  <c r="K15" i="94" s="1"/>
  <c r="B9" i="92"/>
  <c r="D9" i="92"/>
  <c r="Z12" i="95"/>
  <c r="Z12" i="113"/>
  <c r="V16" i="111"/>
  <c r="F42" i="111"/>
  <c r="F54" i="111"/>
  <c r="T54" i="111"/>
  <c r="T42" i="111"/>
  <c r="N10" i="89"/>
  <c r="R10" i="89"/>
  <c r="S24" i="89" s="1"/>
  <c r="U24" i="89" s="1"/>
  <c r="H43" i="113"/>
  <c r="T37" i="93"/>
  <c r="E18" i="113"/>
  <c r="S36" i="90"/>
  <c r="U36" i="90" s="1"/>
  <c r="S24" i="90"/>
  <c r="U24" i="90" s="1"/>
  <c r="E36" i="90"/>
  <c r="G36" i="90" s="1"/>
  <c r="E18" i="95"/>
  <c r="Q16" i="97" s="1"/>
  <c r="E48" i="90"/>
  <c r="G48" i="90" s="1"/>
  <c r="E24" i="90"/>
  <c r="G24" i="90" s="1"/>
  <c r="S48" i="90"/>
  <c r="U48" i="90" s="1"/>
  <c r="W42" i="95"/>
  <c r="F36" i="108"/>
  <c r="X23" i="113"/>
  <c r="X23" i="95"/>
  <c r="S41" i="109"/>
  <c r="S53" i="109"/>
  <c r="E41" i="109"/>
  <c r="E53" i="109"/>
  <c r="E29" i="109"/>
  <c r="Y30" i="113"/>
  <c r="V20" i="113"/>
  <c r="E26" i="107"/>
  <c r="V20" i="95"/>
  <c r="S38" i="107"/>
  <c r="E50" i="107"/>
  <c r="E38" i="107"/>
  <c r="S50" i="107"/>
  <c r="T37" i="108"/>
  <c r="N14" i="104"/>
  <c r="R14" i="104"/>
  <c r="S28" i="104" s="1"/>
  <c r="R9" i="89"/>
  <c r="S23" i="89" s="1"/>
  <c r="N9" i="89"/>
  <c r="F40" i="80"/>
  <c r="R18" i="113"/>
  <c r="S36" i="105"/>
  <c r="E24" i="105"/>
  <c r="E36" i="105"/>
  <c r="R18" i="95"/>
  <c r="E48" i="105"/>
  <c r="S48" i="105"/>
  <c r="H14" i="109"/>
  <c r="I14" i="109" s="1"/>
  <c r="J14" i="109" s="1"/>
  <c r="K14" i="109" s="1"/>
  <c r="T23" i="88"/>
  <c r="D29" i="113"/>
  <c r="P26" i="97" s="1"/>
  <c r="U35" i="113"/>
  <c r="U47" i="113"/>
  <c r="H41" i="113"/>
  <c r="T35" i="93"/>
  <c r="F46" i="109"/>
  <c r="F47" i="88"/>
  <c r="G13" i="112"/>
  <c r="S16" i="102"/>
  <c r="F39" i="80"/>
  <c r="S14" i="105"/>
  <c r="F47" i="96"/>
  <c r="T12" i="87"/>
  <c r="E22" i="113"/>
  <c r="S28" i="90"/>
  <c r="U28" i="90" s="1"/>
  <c r="E40" i="90"/>
  <c r="G40" i="90" s="1"/>
  <c r="E52" i="90"/>
  <c r="G52" i="90" s="1"/>
  <c r="E22" i="95"/>
  <c r="E28" i="90"/>
  <c r="G28" i="90" s="1"/>
  <c r="S40" i="90"/>
  <c r="U40" i="90" s="1"/>
  <c r="S52" i="90"/>
  <c r="U52" i="90" s="1"/>
  <c r="S13" i="87"/>
  <c r="G11" i="105"/>
  <c r="F11" i="87"/>
  <c r="H12" i="96"/>
  <c r="S12" i="96" s="1"/>
  <c r="D52" i="113"/>
  <c r="T46" i="88"/>
  <c r="T10" i="87"/>
  <c r="E23" i="113"/>
  <c r="E29" i="90"/>
  <c r="E41" i="90"/>
  <c r="E53" i="90"/>
  <c r="E23" i="95"/>
  <c r="S29" i="90"/>
  <c r="S41" i="90"/>
  <c r="S53" i="90"/>
  <c r="T22" i="101"/>
  <c r="N28" i="113"/>
  <c r="N40" i="113"/>
  <c r="E15" i="91"/>
  <c r="F15" i="91" s="1"/>
  <c r="G15" i="91" s="1"/>
  <c r="H15" i="91" s="1"/>
  <c r="I15" i="91" s="1"/>
  <c r="J15" i="91" s="1"/>
  <c r="K15" i="91" s="1"/>
  <c r="L15" i="91" s="1"/>
  <c r="N15" i="91" s="1"/>
  <c r="T41" i="80"/>
  <c r="T22" i="99"/>
  <c r="U28" i="113"/>
  <c r="U40" i="113"/>
  <c r="F21" i="94"/>
  <c r="I27" i="95"/>
  <c r="S40" i="95"/>
  <c r="S28" i="95"/>
  <c r="F22" i="106"/>
  <c r="W14" i="107"/>
  <c r="N13" i="103"/>
  <c r="R13" i="103"/>
  <c r="S27" i="103" s="1"/>
  <c r="B13" i="92"/>
  <c r="D13" i="92"/>
  <c r="T28" i="102"/>
  <c r="O34" i="113"/>
  <c r="O46" i="113"/>
  <c r="F22" i="107"/>
  <c r="V28" i="95"/>
  <c r="V63" i="95" s="1"/>
  <c r="T30" i="111"/>
  <c r="Z36" i="113"/>
  <c r="Q8" i="113"/>
  <c r="V12" i="104"/>
  <c r="Q8" i="95"/>
  <c r="F25" i="108"/>
  <c r="W31" i="95"/>
  <c r="G14" i="110"/>
  <c r="T9" i="87"/>
  <c r="W54" i="95"/>
  <c r="F48" i="108"/>
  <c r="Q17" i="113"/>
  <c r="S35" i="104"/>
  <c r="Q17" i="95"/>
  <c r="E47" i="104"/>
  <c r="G47" i="104" s="1"/>
  <c r="E35" i="104"/>
  <c r="E23" i="104"/>
  <c r="G23" i="104" s="1"/>
  <c r="S47" i="104"/>
  <c r="U47" i="104" s="1"/>
  <c r="N15" i="93"/>
  <c r="R15" i="93"/>
  <c r="S29" i="93" s="1"/>
  <c r="K14" i="88"/>
  <c r="T14" i="88"/>
  <c r="F52" i="80"/>
  <c r="E16" i="91"/>
  <c r="F16" i="91" s="1"/>
  <c r="G16" i="91" s="1"/>
  <c r="H16" i="91" s="1"/>
  <c r="I16" i="91" s="1"/>
  <c r="J16" i="91" s="1"/>
  <c r="K16" i="91" s="1"/>
  <c r="L16" i="91" s="1"/>
  <c r="M16" i="91" s="1"/>
  <c r="R16" i="91" s="1"/>
  <c r="W14" i="105"/>
  <c r="R47" i="95"/>
  <c r="R35" i="95"/>
  <c r="T22" i="112"/>
  <c r="AA28" i="113"/>
  <c r="AA64" i="113" s="1"/>
  <c r="AA52" i="113"/>
  <c r="H64" i="113"/>
  <c r="T35" i="97" s="1"/>
  <c r="G11" i="102"/>
  <c r="T11" i="102" s="1"/>
  <c r="F35" i="88"/>
  <c r="T29" i="100"/>
  <c r="U9" i="102"/>
  <c r="N31" i="113"/>
  <c r="N43" i="113"/>
  <c r="N11" i="89"/>
  <c r="R11" i="89"/>
  <c r="S25" i="89" s="1"/>
  <c r="N15" i="106"/>
  <c r="R15" i="106"/>
  <c r="S29" i="106" s="1"/>
  <c r="F46" i="104"/>
  <c r="S16" i="100"/>
  <c r="Q28" i="95"/>
  <c r="Q63" i="95" s="1"/>
  <c r="Q40" i="95"/>
  <c r="F49" i="88"/>
  <c r="F27" i="80"/>
  <c r="W9" i="105"/>
  <c r="W14" i="104"/>
  <c r="M46" i="113"/>
  <c r="M34" i="113"/>
  <c r="N15" i="102"/>
  <c r="R15" i="102"/>
  <c r="S29" i="102" s="1"/>
  <c r="W15" i="102"/>
  <c r="H11" i="106"/>
  <c r="T11" i="106"/>
  <c r="U11" i="106" s="1"/>
  <c r="AA56" i="113"/>
  <c r="AA32" i="113"/>
  <c r="R12" i="108"/>
  <c r="S26" i="108" s="1"/>
  <c r="N12" i="108"/>
  <c r="Y52" i="113"/>
  <c r="T46" i="110"/>
  <c r="F10" i="94"/>
  <c r="T10" i="94" s="1"/>
  <c r="AA5" i="113"/>
  <c r="AA5" i="95"/>
  <c r="H16" i="101"/>
  <c r="N8" i="87"/>
  <c r="T10" i="101"/>
  <c r="U10" i="101" s="1"/>
  <c r="W13" i="87"/>
  <c r="G13" i="102"/>
  <c r="F54" i="80"/>
  <c r="D28" i="95"/>
  <c r="F22" i="88"/>
  <c r="S10" i="87"/>
  <c r="H11" i="99"/>
  <c r="T11" i="99"/>
  <c r="F41" i="80"/>
  <c r="W10" i="106"/>
  <c r="V10" i="106" s="1"/>
  <c r="F45" i="94"/>
  <c r="I51" i="95"/>
  <c r="F3" i="95"/>
  <c r="R8" i="97" s="1"/>
  <c r="F3" i="113"/>
  <c r="S14" i="107"/>
  <c r="R16" i="100"/>
  <c r="S30" i="100" s="1"/>
  <c r="N16" i="100"/>
  <c r="W10" i="107"/>
  <c r="V10" i="107" s="1"/>
  <c r="D10" i="92"/>
  <c r="B10" i="92"/>
  <c r="U9" i="110"/>
  <c r="T24" i="93"/>
  <c r="H30" i="113"/>
  <c r="N4" i="113"/>
  <c r="F34" i="101"/>
  <c r="V8" i="101"/>
  <c r="F46" i="101"/>
  <c r="N4" i="95"/>
  <c r="F22" i="101"/>
  <c r="T46" i="101"/>
  <c r="H13" i="93"/>
  <c r="G16" i="110"/>
  <c r="T14" i="103"/>
  <c r="T25" i="108"/>
  <c r="W31" i="113"/>
  <c r="W67" i="113" s="1"/>
  <c r="H55" i="113"/>
  <c r="T49" i="93"/>
  <c r="T11" i="111"/>
  <c r="W9" i="87"/>
  <c r="G11" i="110"/>
  <c r="S11" i="110" s="1"/>
  <c r="W30" i="95"/>
  <c r="W65" i="95" s="1"/>
  <c r="F24" i="108"/>
  <c r="Y30" i="95"/>
  <c r="C51" i="95"/>
  <c r="F45" i="87"/>
  <c r="R13" i="100"/>
  <c r="S27" i="100" s="1"/>
  <c r="N13" i="100"/>
  <c r="F28" i="80"/>
  <c r="N5" i="113"/>
  <c r="N5" i="95"/>
  <c r="H53" i="113"/>
  <c r="T47" i="93"/>
  <c r="Q23" i="113"/>
  <c r="E29" i="104"/>
  <c r="G29" i="104" s="1"/>
  <c r="Q23" i="95"/>
  <c r="S53" i="104"/>
  <c r="E53" i="104"/>
  <c r="S41" i="104"/>
  <c r="E41" i="104"/>
  <c r="T34" i="109"/>
  <c r="AA40" i="113"/>
  <c r="T34" i="112"/>
  <c r="M40" i="95"/>
  <c r="M28" i="95"/>
  <c r="P47" i="95"/>
  <c r="P35" i="95"/>
  <c r="G14" i="99"/>
  <c r="I16" i="113"/>
  <c r="S34" i="94"/>
  <c r="E46" i="94"/>
  <c r="I16" i="95"/>
  <c r="U14" i="97" s="1"/>
  <c r="E22" i="94"/>
  <c r="E34" i="94"/>
  <c r="S46" i="94"/>
  <c r="R9" i="102"/>
  <c r="S23" i="102" s="1"/>
  <c r="N9" i="102"/>
  <c r="D18" i="113"/>
  <c r="S36" i="88"/>
  <c r="U36" i="88" s="1"/>
  <c r="S24" i="88"/>
  <c r="U24" i="88" s="1"/>
  <c r="E48" i="88"/>
  <c r="G48" i="88" s="1"/>
  <c r="D18" i="95"/>
  <c r="P16" i="97" s="1"/>
  <c r="E24" i="88"/>
  <c r="G24" i="88" s="1"/>
  <c r="E36" i="88"/>
  <c r="G36" i="88" s="1"/>
  <c r="S48" i="88"/>
  <c r="U48" i="88" s="1"/>
  <c r="V8" i="111"/>
  <c r="G12" i="99"/>
  <c r="S12" i="106"/>
  <c r="T22" i="104"/>
  <c r="Q28" i="113"/>
  <c r="Q64" i="113" s="1"/>
  <c r="Q40" i="113"/>
  <c r="F25" i="88"/>
  <c r="T14" i="107"/>
  <c r="T36" i="93"/>
  <c r="N33" i="113"/>
  <c r="N45" i="113"/>
  <c r="F35" i="96"/>
  <c r="S13" i="100"/>
  <c r="P7" i="95" l="1"/>
  <c r="P66" i="95" s="1"/>
  <c r="W66" i="113"/>
  <c r="G39" i="111"/>
  <c r="G27" i="111"/>
  <c r="AA42" i="95"/>
  <c r="G36" i="112"/>
  <c r="O69" i="95"/>
  <c r="U12" i="95"/>
  <c r="R14" i="107"/>
  <c r="S28" i="107" s="1"/>
  <c r="N14" i="107"/>
  <c r="W40" i="113"/>
  <c r="C16" i="107"/>
  <c r="B15" i="107"/>
  <c r="D15" i="107"/>
  <c r="U12" i="106"/>
  <c r="V12" i="106" s="1"/>
  <c r="V10" i="105"/>
  <c r="F50" i="105"/>
  <c r="R8" i="113"/>
  <c r="R68" i="113" s="1"/>
  <c r="F26" i="104"/>
  <c r="T37" i="101"/>
  <c r="F48" i="105"/>
  <c r="V16" i="99"/>
  <c r="E38" i="87"/>
  <c r="N10" i="113"/>
  <c r="N70" i="113" s="1"/>
  <c r="G22" i="94"/>
  <c r="U12" i="113"/>
  <c r="U72" i="113" s="1"/>
  <c r="C20" i="113"/>
  <c r="T30" i="99"/>
  <c r="T54" i="105"/>
  <c r="U13" i="103"/>
  <c r="P9" i="113" s="1"/>
  <c r="U39" i="111"/>
  <c r="U52" i="113"/>
  <c r="V13" i="111"/>
  <c r="Z9" i="95"/>
  <c r="F54" i="105"/>
  <c r="G51" i="111"/>
  <c r="Y63" i="95"/>
  <c r="G54" i="105"/>
  <c r="Z9" i="113"/>
  <c r="U51" i="111"/>
  <c r="T34" i="108"/>
  <c r="G29" i="101"/>
  <c r="I4" i="95"/>
  <c r="U9" i="97" s="1"/>
  <c r="S50" i="87"/>
  <c r="C56" i="113" s="1"/>
  <c r="E50" i="87"/>
  <c r="C56" i="95" s="1"/>
  <c r="F28" i="101"/>
  <c r="S9" i="95"/>
  <c r="G28" i="101"/>
  <c r="G40" i="101"/>
  <c r="U52" i="101"/>
  <c r="U27" i="106"/>
  <c r="S16" i="88"/>
  <c r="G27" i="106"/>
  <c r="E26" i="87"/>
  <c r="S38" i="87"/>
  <c r="C44" i="113" s="1"/>
  <c r="T52" i="101"/>
  <c r="N10" i="95"/>
  <c r="N69" i="95" s="1"/>
  <c r="V13" i="106"/>
  <c r="W52" i="113"/>
  <c r="Q68" i="95"/>
  <c r="T40" i="101"/>
  <c r="T28" i="101"/>
  <c r="M70" i="95"/>
  <c r="C20" i="95"/>
  <c r="F52" i="101"/>
  <c r="V14" i="101"/>
  <c r="U40" i="101"/>
  <c r="U53" i="99"/>
  <c r="G52" i="101"/>
  <c r="T42" i="105"/>
  <c r="U53" i="104"/>
  <c r="U64" i="113"/>
  <c r="Q11" i="113"/>
  <c r="R6" i="95"/>
  <c r="U29" i="104"/>
  <c r="G53" i="104"/>
  <c r="R6" i="113"/>
  <c r="U53" i="101"/>
  <c r="G53" i="101"/>
  <c r="V15" i="104"/>
  <c r="F42" i="105"/>
  <c r="Q32" i="95"/>
  <c r="Q67" i="95" s="1"/>
  <c r="F48" i="112"/>
  <c r="G49" i="101"/>
  <c r="U29" i="103"/>
  <c r="W66" i="95"/>
  <c r="T41" i="103"/>
  <c r="U12" i="101"/>
  <c r="N8" i="113" s="1"/>
  <c r="R48" i="95"/>
  <c r="W16" i="88"/>
  <c r="T46" i="108"/>
  <c r="F41" i="103"/>
  <c r="G29" i="103"/>
  <c r="P11" i="113"/>
  <c r="P71" i="113" s="1"/>
  <c r="F53" i="103"/>
  <c r="T29" i="103"/>
  <c r="U16" i="112"/>
  <c r="AA12" i="113" s="1"/>
  <c r="G53" i="103"/>
  <c r="G41" i="103"/>
  <c r="V15" i="103"/>
  <c r="T27" i="101"/>
  <c r="E64" i="113"/>
  <c r="Q35" i="97" s="1"/>
  <c r="O70" i="113"/>
  <c r="T53" i="103"/>
  <c r="F53" i="99"/>
  <c r="U53" i="103"/>
  <c r="U41" i="103"/>
  <c r="F29" i="103"/>
  <c r="E67" i="113"/>
  <c r="N7" i="95"/>
  <c r="N66" i="95" s="1"/>
  <c r="O52" i="113"/>
  <c r="G34" i="108"/>
  <c r="U36" i="112"/>
  <c r="F34" i="108"/>
  <c r="U37" i="101"/>
  <c r="W14" i="94"/>
  <c r="F24" i="112"/>
  <c r="U46" i="94"/>
  <c r="G46" i="94"/>
  <c r="P70" i="95"/>
  <c r="F26" i="105"/>
  <c r="E42" i="94"/>
  <c r="F46" i="108"/>
  <c r="G46" i="108"/>
  <c r="V8" i="94"/>
  <c r="G34" i="94"/>
  <c r="U34" i="94"/>
  <c r="T50" i="105"/>
  <c r="V12" i="105"/>
  <c r="T26" i="105"/>
  <c r="I4" i="113"/>
  <c r="U14" i="105"/>
  <c r="U28" i="105" s="1"/>
  <c r="T46" i="99"/>
  <c r="F38" i="105"/>
  <c r="R8" i="95"/>
  <c r="R67" i="95" s="1"/>
  <c r="F37" i="101"/>
  <c r="AA54" i="95"/>
  <c r="F49" i="101"/>
  <c r="AA30" i="95"/>
  <c r="AA65" i="95" s="1"/>
  <c r="V11" i="101"/>
  <c r="N7" i="113"/>
  <c r="N67" i="113" s="1"/>
  <c r="AA42" i="113"/>
  <c r="G37" i="101"/>
  <c r="T25" i="101"/>
  <c r="U49" i="101"/>
  <c r="G25" i="101"/>
  <c r="F23" i="99"/>
  <c r="T49" i="101"/>
  <c r="F25" i="101"/>
  <c r="T28" i="100"/>
  <c r="F51" i="101"/>
  <c r="G51" i="101"/>
  <c r="F37" i="103"/>
  <c r="R36" i="95"/>
  <c r="F50" i="104"/>
  <c r="T14" i="94"/>
  <c r="U15" i="87"/>
  <c r="F41" i="87" s="1"/>
  <c r="F30" i="105"/>
  <c r="T39" i="101"/>
  <c r="N9" i="113"/>
  <c r="N69" i="113" s="1"/>
  <c r="U39" i="101"/>
  <c r="U51" i="101"/>
  <c r="G49" i="103"/>
  <c r="T51" i="101"/>
  <c r="L8" i="113"/>
  <c r="L68" i="113" s="1"/>
  <c r="F27" i="101"/>
  <c r="G39" i="101"/>
  <c r="F39" i="101"/>
  <c r="V13" i="101"/>
  <c r="G27" i="101"/>
  <c r="U42" i="99"/>
  <c r="V15" i="101"/>
  <c r="N11" i="113"/>
  <c r="G30" i="99"/>
  <c r="N9" i="95"/>
  <c r="N68" i="95" s="1"/>
  <c r="O65" i="95"/>
  <c r="P7" i="113"/>
  <c r="P67" i="113" s="1"/>
  <c r="T42" i="99"/>
  <c r="G47" i="99"/>
  <c r="U29" i="101"/>
  <c r="T37" i="103"/>
  <c r="F22" i="108"/>
  <c r="G35" i="99"/>
  <c r="S63" i="95"/>
  <c r="U47" i="99"/>
  <c r="U5" i="95"/>
  <c r="U64" i="95" s="1"/>
  <c r="U25" i="103"/>
  <c r="G22" i="108"/>
  <c r="T47" i="99"/>
  <c r="U5" i="113"/>
  <c r="F25" i="103"/>
  <c r="T23" i="99"/>
  <c r="U35" i="99"/>
  <c r="V9" i="99"/>
  <c r="F35" i="99"/>
  <c r="G23" i="99"/>
  <c r="F47" i="99"/>
  <c r="U37" i="103"/>
  <c r="T41" i="108"/>
  <c r="T35" i="99"/>
  <c r="U29" i="102"/>
  <c r="Z6" i="95"/>
  <c r="Z6" i="113"/>
  <c r="S64" i="113"/>
  <c r="U24" i="111"/>
  <c r="U48" i="112"/>
  <c r="V11" i="103"/>
  <c r="G25" i="103"/>
  <c r="U12" i="87"/>
  <c r="F48" i="96"/>
  <c r="Y8" i="113"/>
  <c r="G50" i="104"/>
  <c r="B71" i="95"/>
  <c r="G37" i="103"/>
  <c r="M34" i="95"/>
  <c r="S23" i="87"/>
  <c r="B70" i="95"/>
  <c r="T25" i="103"/>
  <c r="G38" i="110"/>
  <c r="F49" i="103"/>
  <c r="U49" i="103"/>
  <c r="D66" i="95"/>
  <c r="E30" i="94"/>
  <c r="I36" i="95" s="1"/>
  <c r="G30" i="106"/>
  <c r="E54" i="94"/>
  <c r="I60" i="95" s="1"/>
  <c r="U14" i="112"/>
  <c r="AA10" i="113" s="1"/>
  <c r="X68" i="113"/>
  <c r="I24" i="95"/>
  <c r="U36" i="95"/>
  <c r="I24" i="113"/>
  <c r="F30" i="99"/>
  <c r="U40" i="95"/>
  <c r="U48" i="95"/>
  <c r="S48" i="95"/>
  <c r="S42" i="94"/>
  <c r="I48" i="113" s="1"/>
  <c r="N8" i="91"/>
  <c r="S54" i="94"/>
  <c r="I60" i="113" s="1"/>
  <c r="T46" i="102"/>
  <c r="AA56" i="95"/>
  <c r="V15" i="108"/>
  <c r="U29" i="108"/>
  <c r="X67" i="95"/>
  <c r="W11" i="95"/>
  <c r="F29" i="108"/>
  <c r="U38" i="104"/>
  <c r="G42" i="99"/>
  <c r="T53" i="108"/>
  <c r="F39" i="89"/>
  <c r="J64" i="95"/>
  <c r="V30" i="97" s="1"/>
  <c r="M7" i="113"/>
  <c r="U9" i="113"/>
  <c r="F27" i="89"/>
  <c r="T53" i="99"/>
  <c r="Q44" i="95"/>
  <c r="G29" i="99"/>
  <c r="V13" i="89"/>
  <c r="U47" i="100"/>
  <c r="F41" i="99"/>
  <c r="T49" i="100"/>
  <c r="U41" i="99"/>
  <c r="L9" i="95"/>
  <c r="L68" i="95" s="1"/>
  <c r="G47" i="100"/>
  <c r="F54" i="99"/>
  <c r="U11" i="95"/>
  <c r="U70" i="95" s="1"/>
  <c r="F49" i="100"/>
  <c r="T51" i="89"/>
  <c r="V15" i="99"/>
  <c r="G25" i="100"/>
  <c r="G41" i="99"/>
  <c r="G53" i="99"/>
  <c r="U27" i="99"/>
  <c r="U9" i="87"/>
  <c r="V9" i="87" s="1"/>
  <c r="T50" i="104"/>
  <c r="L9" i="113"/>
  <c r="T29" i="99"/>
  <c r="G23" i="100"/>
  <c r="F51" i="89"/>
  <c r="F29" i="99"/>
  <c r="U25" i="100"/>
  <c r="G54" i="99"/>
  <c r="T41" i="99"/>
  <c r="V11" i="100"/>
  <c r="U9" i="95"/>
  <c r="G39" i="89"/>
  <c r="U11" i="113"/>
  <c r="U71" i="113" s="1"/>
  <c r="G37" i="100"/>
  <c r="G34" i="99"/>
  <c r="U50" i="104"/>
  <c r="Y8" i="95"/>
  <c r="U50" i="105"/>
  <c r="U10" i="87"/>
  <c r="C6" i="113" s="1"/>
  <c r="G50" i="105"/>
  <c r="U38" i="105"/>
  <c r="V12" i="110"/>
  <c r="U14" i="88"/>
  <c r="D10" i="95" s="1"/>
  <c r="G38" i="112"/>
  <c r="U16" i="94"/>
  <c r="U30" i="94" s="1"/>
  <c r="U26" i="112"/>
  <c r="F38" i="112"/>
  <c r="AA68" i="113"/>
  <c r="T38" i="112"/>
  <c r="U38" i="112"/>
  <c r="T26" i="112"/>
  <c r="U29" i="90"/>
  <c r="G26" i="112"/>
  <c r="U50" i="112"/>
  <c r="G50" i="112"/>
  <c r="AA8" i="95"/>
  <c r="AA67" i="95" s="1"/>
  <c r="U14" i="104"/>
  <c r="Q10" i="113" s="1"/>
  <c r="F26" i="112"/>
  <c r="T50" i="112"/>
  <c r="F50" i="112"/>
  <c r="D64" i="95"/>
  <c r="P30" i="97" s="1"/>
  <c r="P67" i="95"/>
  <c r="B69" i="95"/>
  <c r="H66" i="113"/>
  <c r="U13" i="87"/>
  <c r="C9" i="113" s="1"/>
  <c r="F42" i="99"/>
  <c r="N63" i="95"/>
  <c r="V12" i="112"/>
  <c r="F26" i="89"/>
  <c r="L8" i="95"/>
  <c r="L67" i="95" s="1"/>
  <c r="U15" i="106"/>
  <c r="U29" i="106" s="1"/>
  <c r="T50" i="89"/>
  <c r="S12" i="100"/>
  <c r="J69" i="113"/>
  <c r="H67" i="113"/>
  <c r="F50" i="89"/>
  <c r="T26" i="89"/>
  <c r="U38" i="89"/>
  <c r="U34" i="99"/>
  <c r="T38" i="89"/>
  <c r="V12" i="89"/>
  <c r="F24" i="110"/>
  <c r="U13" i="94"/>
  <c r="V13" i="94" s="1"/>
  <c r="R12" i="91"/>
  <c r="S26" i="91" s="1"/>
  <c r="S35" i="87"/>
  <c r="C41" i="113" s="1"/>
  <c r="V10" i="96"/>
  <c r="T48" i="96"/>
  <c r="C17" i="113"/>
  <c r="F46" i="99"/>
  <c r="F36" i="96"/>
  <c r="F24" i="96"/>
  <c r="S47" i="87"/>
  <c r="C53" i="113" s="1"/>
  <c r="J65" i="113"/>
  <c r="V36" i="97" s="1"/>
  <c r="T36" i="96"/>
  <c r="C17" i="95"/>
  <c r="D25" i="32" s="1"/>
  <c r="J6" i="113"/>
  <c r="E47" i="87"/>
  <c r="C53" i="95" s="1"/>
  <c r="U65" i="113"/>
  <c r="E35" i="87"/>
  <c r="T40" i="100"/>
  <c r="J6" i="95"/>
  <c r="V11" i="97" s="1"/>
  <c r="Z71" i="95"/>
  <c r="O8" i="95"/>
  <c r="U23" i="100"/>
  <c r="F38" i="104"/>
  <c r="U28" i="112"/>
  <c r="U52" i="95"/>
  <c r="T54" i="99"/>
  <c r="V12" i="102"/>
  <c r="U13" i="90"/>
  <c r="E9" i="113" s="1"/>
  <c r="O8" i="113"/>
  <c r="U30" i="104"/>
  <c r="I63" i="113"/>
  <c r="U34" i="97" s="1"/>
  <c r="U54" i="99"/>
  <c r="U13" i="107"/>
  <c r="U27" i="107" s="1"/>
  <c r="F46" i="102"/>
  <c r="U23" i="89"/>
  <c r="O52" i="95"/>
  <c r="U16" i="87"/>
  <c r="C12" i="113" s="1"/>
  <c r="V9" i="100"/>
  <c r="T41" i="97"/>
  <c r="G26" i="107"/>
  <c r="U28" i="95"/>
  <c r="U63" i="95" s="1"/>
  <c r="F22" i="99"/>
  <c r="F23" i="103"/>
  <c r="P40" i="97"/>
  <c r="P46" i="97"/>
  <c r="T24" i="110"/>
  <c r="N40" i="97"/>
  <c r="N46" i="97"/>
  <c r="V15" i="90"/>
  <c r="S15" i="94"/>
  <c r="E11" i="95"/>
  <c r="V10" i="110"/>
  <c r="V40" i="97"/>
  <c r="V46" i="97"/>
  <c r="U9" i="94"/>
  <c r="I5" i="113" s="1"/>
  <c r="T12" i="96"/>
  <c r="U12" i="96" s="1"/>
  <c r="J8" i="113" s="1"/>
  <c r="F35" i="103"/>
  <c r="V16" i="104"/>
  <c r="Q12" i="95"/>
  <c r="M5" i="95"/>
  <c r="W14" i="87"/>
  <c r="G52" i="100"/>
  <c r="G38" i="105"/>
  <c r="H65" i="95"/>
  <c r="T31" i="97" s="1"/>
  <c r="G42" i="103"/>
  <c r="U11" i="89"/>
  <c r="V11" i="89" s="1"/>
  <c r="N64" i="113"/>
  <c r="G26" i="105"/>
  <c r="U11" i="99"/>
  <c r="U7" i="95" s="1"/>
  <c r="T38" i="105"/>
  <c r="U13" i="100"/>
  <c r="U27" i="100" s="1"/>
  <c r="Q68" i="113"/>
  <c r="S14" i="87"/>
  <c r="G30" i="103"/>
  <c r="U16" i="100"/>
  <c r="U30" i="100" s="1"/>
  <c r="R8" i="91"/>
  <c r="S22" i="91" s="1"/>
  <c r="U42" i="103"/>
  <c r="S12" i="91"/>
  <c r="T15" i="111"/>
  <c r="Z64" i="95"/>
  <c r="W12" i="91"/>
  <c r="B64" i="95"/>
  <c r="N30" i="97" s="1"/>
  <c r="G36" i="100"/>
  <c r="O40" i="95"/>
  <c r="G40" i="100"/>
  <c r="R72" i="113"/>
  <c r="U23" i="102"/>
  <c r="F25" i="100"/>
  <c r="U52" i="100"/>
  <c r="V44" i="113"/>
  <c r="U38" i="107"/>
  <c r="E47" i="113"/>
  <c r="U41" i="90"/>
  <c r="V44" i="95"/>
  <c r="G38" i="107"/>
  <c r="T35" i="103"/>
  <c r="U35" i="103"/>
  <c r="F35" i="104"/>
  <c r="G35" i="104"/>
  <c r="R54" i="113"/>
  <c r="U48" i="105"/>
  <c r="V56" i="95"/>
  <c r="G50" i="107"/>
  <c r="X59" i="95"/>
  <c r="G53" i="109"/>
  <c r="T35" i="100"/>
  <c r="U35" i="100"/>
  <c r="T38" i="102"/>
  <c r="U38" i="102"/>
  <c r="T34" i="103"/>
  <c r="U34" i="103"/>
  <c r="T42" i="104"/>
  <c r="U42" i="104"/>
  <c r="T12" i="91"/>
  <c r="T37" i="100"/>
  <c r="U37" i="100"/>
  <c r="J54" i="95"/>
  <c r="G48" i="96"/>
  <c r="Y44" i="113"/>
  <c r="U38" i="110"/>
  <c r="U23" i="110"/>
  <c r="C59" i="113"/>
  <c r="U42" i="106"/>
  <c r="S57" i="113"/>
  <c r="U51" i="106"/>
  <c r="E59" i="95"/>
  <c r="G53" i="90"/>
  <c r="X59" i="113"/>
  <c r="U53" i="109"/>
  <c r="T42" i="106"/>
  <c r="F39" i="99"/>
  <c r="G39" i="99"/>
  <c r="P53" i="113"/>
  <c r="U47" i="103"/>
  <c r="F39" i="106"/>
  <c r="G39" i="106"/>
  <c r="M54" i="95"/>
  <c r="G48" i="100"/>
  <c r="T30" i="106"/>
  <c r="L57" i="113"/>
  <c r="U51" i="89"/>
  <c r="U8" i="91"/>
  <c r="U12" i="108"/>
  <c r="U26" i="108" s="1"/>
  <c r="F34" i="102"/>
  <c r="G34" i="102"/>
  <c r="G42" i="106"/>
  <c r="U40" i="100"/>
  <c r="U48" i="110"/>
  <c r="L56" i="95"/>
  <c r="G50" i="89"/>
  <c r="T39" i="99"/>
  <c r="U39" i="99"/>
  <c r="T35" i="104"/>
  <c r="U35" i="104"/>
  <c r="E47" i="95"/>
  <c r="G41" i="90"/>
  <c r="F36" i="105"/>
  <c r="G36" i="105"/>
  <c r="X47" i="113"/>
  <c r="U41" i="109"/>
  <c r="F27" i="99"/>
  <c r="G27" i="99"/>
  <c r="T41" i="101"/>
  <c r="U41" i="101"/>
  <c r="W59" i="113"/>
  <c r="U53" i="108"/>
  <c r="S10" i="91"/>
  <c r="O56" i="113"/>
  <c r="U50" i="102"/>
  <c r="C29" i="95"/>
  <c r="O20" i="97" s="1"/>
  <c r="S57" i="95"/>
  <c r="G51" i="106"/>
  <c r="L57" i="95"/>
  <c r="G51" i="89"/>
  <c r="C52" i="113"/>
  <c r="U46" i="87"/>
  <c r="C47" i="95"/>
  <c r="F38" i="89"/>
  <c r="G38" i="89"/>
  <c r="L56" i="113"/>
  <c r="U50" i="89"/>
  <c r="M54" i="113"/>
  <c r="U48" i="100"/>
  <c r="C40" i="113"/>
  <c r="U34" i="87"/>
  <c r="C47" i="113"/>
  <c r="E35" i="95"/>
  <c r="G29" i="90"/>
  <c r="F24" i="105"/>
  <c r="G24" i="105"/>
  <c r="F41" i="101"/>
  <c r="G41" i="101"/>
  <c r="W47" i="113"/>
  <c r="U41" i="108"/>
  <c r="F38" i="102"/>
  <c r="G38" i="102"/>
  <c r="U26" i="106"/>
  <c r="F30" i="104"/>
  <c r="G30" i="104"/>
  <c r="T39" i="106"/>
  <c r="U39" i="106"/>
  <c r="C28" i="95"/>
  <c r="O19" i="97" s="1"/>
  <c r="G22" i="87"/>
  <c r="F34" i="105"/>
  <c r="G34" i="105"/>
  <c r="J54" i="113"/>
  <c r="U48" i="96"/>
  <c r="Y56" i="113"/>
  <c r="U50" i="110"/>
  <c r="C35" i="95"/>
  <c r="G24" i="110"/>
  <c r="X47" i="95"/>
  <c r="G41" i="109"/>
  <c r="C44" i="95"/>
  <c r="S16" i="91"/>
  <c r="T36" i="105"/>
  <c r="U36" i="105"/>
  <c r="U21" i="92"/>
  <c r="P53" i="95"/>
  <c r="G47" i="103"/>
  <c r="W59" i="95"/>
  <c r="G53" i="108"/>
  <c r="F26" i="102"/>
  <c r="G26" i="102"/>
  <c r="F42" i="104"/>
  <c r="G42" i="104"/>
  <c r="G24" i="100"/>
  <c r="T39" i="89"/>
  <c r="U39" i="89"/>
  <c r="U16" i="109"/>
  <c r="U30" i="109" s="1"/>
  <c r="F22" i="102"/>
  <c r="P60" i="95"/>
  <c r="G54" i="103"/>
  <c r="C52" i="95"/>
  <c r="G46" i="87"/>
  <c r="W63" i="95"/>
  <c r="T34" i="105"/>
  <c r="U34" i="105"/>
  <c r="M55" i="113"/>
  <c r="U49" i="100"/>
  <c r="J42" i="95"/>
  <c r="G36" i="96"/>
  <c r="Y32" i="95"/>
  <c r="G26" i="110"/>
  <c r="U30" i="106"/>
  <c r="G36" i="110"/>
  <c r="G54" i="106"/>
  <c r="R54" i="95"/>
  <c r="G48" i="105"/>
  <c r="U29" i="93"/>
  <c r="F41" i="104"/>
  <c r="G41" i="104"/>
  <c r="W16" i="91"/>
  <c r="E59" i="113"/>
  <c r="U53" i="90"/>
  <c r="V56" i="113"/>
  <c r="U50" i="107"/>
  <c r="U57" i="113"/>
  <c r="U51" i="99"/>
  <c r="F37" i="100"/>
  <c r="W47" i="95"/>
  <c r="G41" i="108"/>
  <c r="O56" i="95"/>
  <c r="G50" i="102"/>
  <c r="F34" i="103"/>
  <c r="G34" i="103"/>
  <c r="U23" i="105"/>
  <c r="Q60" i="95"/>
  <c r="G54" i="104"/>
  <c r="F34" i="89"/>
  <c r="G34" i="89"/>
  <c r="U36" i="100"/>
  <c r="L45" i="95"/>
  <c r="G27" i="89"/>
  <c r="O28" i="95"/>
  <c r="O63" i="95" s="1"/>
  <c r="P60" i="113"/>
  <c r="U54" i="103"/>
  <c r="M55" i="95"/>
  <c r="G49" i="100"/>
  <c r="J30" i="95"/>
  <c r="V21" i="97" s="1"/>
  <c r="G24" i="96"/>
  <c r="Y56" i="95"/>
  <c r="G50" i="110"/>
  <c r="C59" i="95"/>
  <c r="U54" i="106"/>
  <c r="T34" i="102"/>
  <c r="U34" i="102"/>
  <c r="Q60" i="113"/>
  <c r="U54" i="104"/>
  <c r="J42" i="113"/>
  <c r="U36" i="96"/>
  <c r="T41" i="104"/>
  <c r="U41" i="104"/>
  <c r="X35" i="95"/>
  <c r="G29" i="109"/>
  <c r="U57" i="95"/>
  <c r="G51" i="99"/>
  <c r="I48" i="95"/>
  <c r="F35" i="100"/>
  <c r="G35" i="100"/>
  <c r="W35" i="95"/>
  <c r="G29" i="108"/>
  <c r="U11" i="96"/>
  <c r="U25" i="96" s="1"/>
  <c r="T34" i="89"/>
  <c r="U34" i="89"/>
  <c r="C40" i="95"/>
  <c r="G34" i="87"/>
  <c r="C32" i="95"/>
  <c r="L44" i="95"/>
  <c r="G26" i="89"/>
  <c r="U36" i="110"/>
  <c r="G48" i="110"/>
  <c r="G28" i="100"/>
  <c r="S7" i="113"/>
  <c r="S7" i="95"/>
  <c r="N6" i="113"/>
  <c r="V10" i="101"/>
  <c r="N6" i="95"/>
  <c r="T24" i="88"/>
  <c r="D30" i="113"/>
  <c r="D66" i="113" s="1"/>
  <c r="H14" i="99"/>
  <c r="I14" i="99" s="1"/>
  <c r="J14" i="99" s="1"/>
  <c r="K14" i="99" s="1"/>
  <c r="D42" i="113"/>
  <c r="T36" i="88"/>
  <c r="I28" i="95"/>
  <c r="F22" i="94"/>
  <c r="T29" i="104"/>
  <c r="Q35" i="113"/>
  <c r="Q47" i="113"/>
  <c r="M21" i="113"/>
  <c r="S39" i="100"/>
  <c r="E39" i="100"/>
  <c r="E51" i="100"/>
  <c r="E27" i="100"/>
  <c r="M21" i="95"/>
  <c r="S51" i="100"/>
  <c r="H11" i="110"/>
  <c r="T11" i="110"/>
  <c r="U11" i="110" s="1"/>
  <c r="Y5" i="113"/>
  <c r="Y5" i="95"/>
  <c r="V9" i="110"/>
  <c r="U14" i="107"/>
  <c r="R11" i="99"/>
  <c r="S25" i="99" s="1"/>
  <c r="N11" i="99"/>
  <c r="L19" i="113"/>
  <c r="S37" i="89"/>
  <c r="E49" i="89"/>
  <c r="E37" i="89"/>
  <c r="E25" i="89"/>
  <c r="L19" i="95"/>
  <c r="S49" i="89"/>
  <c r="F24" i="113"/>
  <c r="F24" i="95"/>
  <c r="E30" i="91"/>
  <c r="E54" i="91"/>
  <c r="E42" i="91"/>
  <c r="S54" i="91"/>
  <c r="S42" i="91"/>
  <c r="S30" i="91"/>
  <c r="Q53" i="113"/>
  <c r="T47" i="104"/>
  <c r="S15" i="91"/>
  <c r="E58" i="95"/>
  <c r="F52" i="90"/>
  <c r="T14" i="109"/>
  <c r="T24" i="105"/>
  <c r="R42" i="113"/>
  <c r="R30" i="113"/>
  <c r="Q22" i="113"/>
  <c r="S40" i="104"/>
  <c r="E28" i="104"/>
  <c r="Q22" i="95"/>
  <c r="E52" i="104"/>
  <c r="S52" i="104"/>
  <c r="E40" i="104"/>
  <c r="E30" i="95"/>
  <c r="F24" i="90"/>
  <c r="Z18" i="113"/>
  <c r="S36" i="111"/>
  <c r="U36" i="111" s="1"/>
  <c r="Z18" i="95"/>
  <c r="E24" i="111"/>
  <c r="G24" i="111" s="1"/>
  <c r="E36" i="111"/>
  <c r="G36" i="111" s="1"/>
  <c r="E48" i="111"/>
  <c r="G48" i="111" s="1"/>
  <c r="S48" i="111"/>
  <c r="U48" i="111" s="1"/>
  <c r="I36" i="113"/>
  <c r="M53" i="113"/>
  <c r="T47" i="100"/>
  <c r="T51" i="99"/>
  <c r="I14" i="93"/>
  <c r="N59" i="113"/>
  <c r="T53" i="101"/>
  <c r="T29" i="108"/>
  <c r="W35" i="113"/>
  <c r="W71" i="113" s="1"/>
  <c r="T10" i="91"/>
  <c r="G10" i="91"/>
  <c r="T22" i="103"/>
  <c r="P40" i="113"/>
  <c r="P28" i="113"/>
  <c r="P64" i="113" s="1"/>
  <c r="T23" i="109"/>
  <c r="X29" i="113"/>
  <c r="X65" i="113" s="1"/>
  <c r="D56" i="95"/>
  <c r="F50" i="88"/>
  <c r="E34" i="91"/>
  <c r="R15" i="111"/>
  <c r="S29" i="111" s="1"/>
  <c r="N15" i="111"/>
  <c r="Y6" i="113"/>
  <c r="Y66" i="113" s="1"/>
  <c r="T36" i="110"/>
  <c r="Y6" i="95"/>
  <c r="Y65" i="95" s="1"/>
  <c r="F48" i="110"/>
  <c r="F36" i="110"/>
  <c r="T48" i="110"/>
  <c r="Z45" i="113"/>
  <c r="T39" i="111"/>
  <c r="T53" i="90"/>
  <c r="W41" i="95"/>
  <c r="F35" i="108"/>
  <c r="H13" i="110"/>
  <c r="T30" i="103"/>
  <c r="P48" i="113"/>
  <c r="P36" i="113"/>
  <c r="X24" i="113"/>
  <c r="X24" i="95"/>
  <c r="E54" i="109"/>
  <c r="E30" i="109"/>
  <c r="S42" i="109"/>
  <c r="S54" i="109"/>
  <c r="E42" i="109"/>
  <c r="R52" i="113"/>
  <c r="T46" i="105"/>
  <c r="I21" i="113"/>
  <c r="S39" i="94"/>
  <c r="E27" i="94"/>
  <c r="I21" i="95"/>
  <c r="E51" i="94"/>
  <c r="E39" i="94"/>
  <c r="F39" i="94" s="1"/>
  <c r="S51" i="94"/>
  <c r="C18" i="113"/>
  <c r="S24" i="87"/>
  <c r="S36" i="87"/>
  <c r="E48" i="87"/>
  <c r="E36" i="87"/>
  <c r="E24" i="87"/>
  <c r="C18" i="95"/>
  <c r="O16" i="97" s="1"/>
  <c r="S48" i="87"/>
  <c r="T14" i="87"/>
  <c r="T21" i="91"/>
  <c r="F27" i="113"/>
  <c r="R24" i="97" s="1"/>
  <c r="R44" i="97" s="1"/>
  <c r="AA17" i="113"/>
  <c r="S35" i="112"/>
  <c r="U35" i="112" s="1"/>
  <c r="AA17" i="95"/>
  <c r="E23" i="112"/>
  <c r="G23" i="112" s="1"/>
  <c r="E47" i="112"/>
  <c r="E35" i="112"/>
  <c r="G35" i="112" s="1"/>
  <c r="S47" i="112"/>
  <c r="O9" i="97"/>
  <c r="S14" i="109"/>
  <c r="H13" i="102"/>
  <c r="I16" i="101"/>
  <c r="J16" i="101" s="1"/>
  <c r="K16" i="101" s="1"/>
  <c r="L16" i="101" s="1"/>
  <c r="W20" i="113"/>
  <c r="E26" i="108"/>
  <c r="W20" i="95"/>
  <c r="S38" i="108"/>
  <c r="E38" i="108"/>
  <c r="E50" i="108"/>
  <c r="S50" i="108"/>
  <c r="Q41" i="95"/>
  <c r="Q29" i="95"/>
  <c r="Q64" i="95" s="1"/>
  <c r="F23" i="104"/>
  <c r="P21" i="113"/>
  <c r="S39" i="103"/>
  <c r="P21" i="95"/>
  <c r="E27" i="103"/>
  <c r="G27" i="103" s="1"/>
  <c r="E39" i="103"/>
  <c r="E51" i="103"/>
  <c r="S51" i="103"/>
  <c r="W15" i="91"/>
  <c r="T29" i="90"/>
  <c r="E35" i="113"/>
  <c r="E71" i="113" s="1"/>
  <c r="H11" i="105"/>
  <c r="T11" i="105"/>
  <c r="E46" i="95"/>
  <c r="F40" i="90"/>
  <c r="H13" i="112"/>
  <c r="I13" i="112" s="1"/>
  <c r="R14" i="109"/>
  <c r="S28" i="109" s="1"/>
  <c r="N14" i="109"/>
  <c r="F26" i="107"/>
  <c r="V32" i="95"/>
  <c r="E54" i="95"/>
  <c r="F48" i="90"/>
  <c r="Z72" i="113"/>
  <c r="P29" i="95"/>
  <c r="P64" i="95" s="1"/>
  <c r="P41" i="95"/>
  <c r="M53" i="95"/>
  <c r="F47" i="100"/>
  <c r="AA22" i="113"/>
  <c r="AA22" i="95"/>
  <c r="S40" i="112"/>
  <c r="T40" i="112" s="1"/>
  <c r="E40" i="112"/>
  <c r="E28" i="112"/>
  <c r="S52" i="112"/>
  <c r="E52" i="112"/>
  <c r="E41" i="95"/>
  <c r="F35" i="90"/>
  <c r="W14" i="109"/>
  <c r="E14" i="92"/>
  <c r="S20" i="113"/>
  <c r="E38" i="106"/>
  <c r="G38" i="106" s="1"/>
  <c r="E26" i="106"/>
  <c r="S38" i="106"/>
  <c r="S20" i="95"/>
  <c r="E50" i="106"/>
  <c r="F50" i="106" s="1"/>
  <c r="S50" i="106"/>
  <c r="T30" i="104"/>
  <c r="Q36" i="113"/>
  <c r="Q72" i="113" s="1"/>
  <c r="Q48" i="113"/>
  <c r="D44" i="95"/>
  <c r="F38" i="88"/>
  <c r="L52" i="113"/>
  <c r="T46" i="89"/>
  <c r="T12" i="100"/>
  <c r="S9" i="91"/>
  <c r="F9" i="91"/>
  <c r="P22" i="113"/>
  <c r="P22" i="95"/>
  <c r="E28" i="103"/>
  <c r="S40" i="103"/>
  <c r="S52" i="103"/>
  <c r="E40" i="103"/>
  <c r="E52" i="103"/>
  <c r="V53" i="113"/>
  <c r="T47" i="107"/>
  <c r="R71" i="113"/>
  <c r="U11" i="111"/>
  <c r="Z57" i="95"/>
  <c r="F51" i="111"/>
  <c r="T41" i="90"/>
  <c r="W29" i="95"/>
  <c r="W64" i="95" s="1"/>
  <c r="F23" i="108"/>
  <c r="F50" i="102"/>
  <c r="T16" i="88"/>
  <c r="L5" i="113"/>
  <c r="L5" i="95"/>
  <c r="L64" i="95" s="1"/>
  <c r="R52" i="95"/>
  <c r="F46" i="105"/>
  <c r="S12" i="113"/>
  <c r="S72" i="113" s="1"/>
  <c r="S12" i="95"/>
  <c r="S71" i="95" s="1"/>
  <c r="V16" i="106"/>
  <c r="F42" i="106"/>
  <c r="F30" i="106"/>
  <c r="T54" i="106"/>
  <c r="F54" i="106"/>
  <c r="N17" i="113"/>
  <c r="S35" i="101"/>
  <c r="E23" i="101"/>
  <c r="G23" i="101" s="1"/>
  <c r="E35" i="101"/>
  <c r="E47" i="101"/>
  <c r="G47" i="101" s="1"/>
  <c r="N17" i="95"/>
  <c r="S47" i="101"/>
  <c r="U47" i="101" s="1"/>
  <c r="E35" i="110"/>
  <c r="Y17" i="113"/>
  <c r="S35" i="110"/>
  <c r="E47" i="110"/>
  <c r="Y17" i="95"/>
  <c r="E23" i="110"/>
  <c r="G23" i="110" s="1"/>
  <c r="S47" i="110"/>
  <c r="S14" i="94"/>
  <c r="R14" i="87"/>
  <c r="N14" i="87"/>
  <c r="B65" i="113"/>
  <c r="N36" i="97" s="1"/>
  <c r="F46" i="87"/>
  <c r="F50" i="110"/>
  <c r="W12" i="100"/>
  <c r="F51" i="106"/>
  <c r="E10" i="92"/>
  <c r="F10" i="92" s="1"/>
  <c r="G10" i="92" s="1"/>
  <c r="R10" i="92" s="1"/>
  <c r="S24" i="92" s="1"/>
  <c r="H11" i="102"/>
  <c r="S11" i="102"/>
  <c r="U11" i="102" s="1"/>
  <c r="T28" i="90"/>
  <c r="E34" i="113"/>
  <c r="E70" i="113" s="1"/>
  <c r="N16" i="91"/>
  <c r="L18" i="113"/>
  <c r="S36" i="89"/>
  <c r="L18" i="95"/>
  <c r="E48" i="89"/>
  <c r="G48" i="89" s="1"/>
  <c r="E24" i="89"/>
  <c r="G24" i="89" s="1"/>
  <c r="E36" i="89"/>
  <c r="S48" i="89"/>
  <c r="U48" i="89" s="1"/>
  <c r="H20" i="113"/>
  <c r="S38" i="93"/>
  <c r="S50" i="93"/>
  <c r="H20" i="95"/>
  <c r="E26" i="93"/>
  <c r="E38" i="93"/>
  <c r="E50" i="93"/>
  <c r="G3" i="95"/>
  <c r="S8" i="97" s="1"/>
  <c r="G3" i="113"/>
  <c r="V7" i="92"/>
  <c r="T23" i="103"/>
  <c r="P41" i="113"/>
  <c r="P29" i="113"/>
  <c r="P65" i="113" s="1"/>
  <c r="F51" i="99"/>
  <c r="E29" i="95"/>
  <c r="F23" i="90"/>
  <c r="X53" i="113"/>
  <c r="T47" i="109"/>
  <c r="Q36" i="95"/>
  <c r="Q48" i="95"/>
  <c r="G11" i="94"/>
  <c r="H11" i="94" s="1"/>
  <c r="D32" i="95"/>
  <c r="D67" i="95" s="1"/>
  <c r="F26" i="88"/>
  <c r="T27" i="106"/>
  <c r="S45" i="113"/>
  <c r="S33" i="113"/>
  <c r="S69" i="113" s="1"/>
  <c r="M63" i="95"/>
  <c r="L40" i="95"/>
  <c r="F22" i="89"/>
  <c r="R12" i="100"/>
  <c r="S26" i="100" s="1"/>
  <c r="N12" i="100"/>
  <c r="F23" i="107"/>
  <c r="V29" i="95"/>
  <c r="V64" i="95" s="1"/>
  <c r="R11" i="111"/>
  <c r="S25" i="111" s="1"/>
  <c r="N11" i="111"/>
  <c r="W11" i="111"/>
  <c r="F54" i="104"/>
  <c r="F41" i="90"/>
  <c r="U16" i="102"/>
  <c r="U30" i="102" s="1"/>
  <c r="W53" i="95"/>
  <c r="F47" i="108"/>
  <c r="T42" i="103"/>
  <c r="N16" i="88"/>
  <c r="R16" i="88"/>
  <c r="W64" i="113"/>
  <c r="R40" i="95"/>
  <c r="R28" i="95"/>
  <c r="R63" i="95" s="1"/>
  <c r="F22" i="105"/>
  <c r="T26" i="110"/>
  <c r="Y32" i="113"/>
  <c r="N14" i="94"/>
  <c r="R14" i="94"/>
  <c r="S28" i="94" s="1"/>
  <c r="E27" i="87"/>
  <c r="C21" i="113"/>
  <c r="C21" i="95"/>
  <c r="E51" i="87"/>
  <c r="S27" i="87"/>
  <c r="E39" i="87"/>
  <c r="S39" i="87"/>
  <c r="S51" i="87"/>
  <c r="T33" i="91"/>
  <c r="F39" i="113"/>
  <c r="W15" i="111"/>
  <c r="T50" i="110"/>
  <c r="D54" i="113"/>
  <c r="T48" i="88"/>
  <c r="D42" i="95"/>
  <c r="F36" i="88"/>
  <c r="O17" i="113"/>
  <c r="S35" i="102"/>
  <c r="E23" i="102"/>
  <c r="G23" i="102" s="1"/>
  <c r="E47" i="102"/>
  <c r="F47" i="102" s="1"/>
  <c r="O17" i="95"/>
  <c r="E35" i="102"/>
  <c r="S47" i="102"/>
  <c r="T22" i="94"/>
  <c r="I28" i="113"/>
  <c r="Q59" i="95"/>
  <c r="F53" i="104"/>
  <c r="H16" i="110"/>
  <c r="S10" i="94"/>
  <c r="U10" i="94" s="1"/>
  <c r="O23" i="113"/>
  <c r="O23" i="95"/>
  <c r="E29" i="102"/>
  <c r="G29" i="102" s="1"/>
  <c r="S41" i="102"/>
  <c r="S53" i="102"/>
  <c r="T53" i="102" s="1"/>
  <c r="E53" i="102"/>
  <c r="F53" i="102" s="1"/>
  <c r="E41" i="102"/>
  <c r="G41" i="102" s="1"/>
  <c r="Q53" i="95"/>
  <c r="F47" i="104"/>
  <c r="E42" i="95"/>
  <c r="F36" i="90"/>
  <c r="T48" i="105"/>
  <c r="E9" i="92"/>
  <c r="F9" i="92" s="1"/>
  <c r="R9" i="92" s="1"/>
  <c r="S23" i="92" s="1"/>
  <c r="R15" i="91"/>
  <c r="E11" i="92"/>
  <c r="F11" i="92" s="1"/>
  <c r="G11" i="92" s="1"/>
  <c r="M41" i="95"/>
  <c r="M29" i="95"/>
  <c r="F23" i="100"/>
  <c r="H15" i="110"/>
  <c r="T29" i="101"/>
  <c r="N47" i="113"/>
  <c r="N35" i="113"/>
  <c r="F41" i="108"/>
  <c r="R13" i="90"/>
  <c r="N13" i="90"/>
  <c r="W13" i="90"/>
  <c r="T20" i="97"/>
  <c r="T40" i="97" s="1"/>
  <c r="H64" i="95"/>
  <c r="T30" i="97" s="1"/>
  <c r="E53" i="95"/>
  <c r="F47" i="90"/>
  <c r="O44" i="95"/>
  <c r="O32" i="95"/>
  <c r="X53" i="95"/>
  <c r="F47" i="109"/>
  <c r="E15" i="92"/>
  <c r="F15" i="92" s="1"/>
  <c r="G15" i="92" s="1"/>
  <c r="H15" i="92" s="1"/>
  <c r="I15" i="92" s="1"/>
  <c r="J15" i="92" s="1"/>
  <c r="K15" i="92" s="1"/>
  <c r="R17" i="113"/>
  <c r="S35" i="105"/>
  <c r="R17" i="95"/>
  <c r="E23" i="105"/>
  <c r="G23" i="105" s="1"/>
  <c r="E47" i="105"/>
  <c r="F47" i="105" s="1"/>
  <c r="E35" i="105"/>
  <c r="S47" i="105"/>
  <c r="V13" i="103"/>
  <c r="T26" i="88"/>
  <c r="D32" i="113"/>
  <c r="D68" i="113" s="1"/>
  <c r="S33" i="95"/>
  <c r="S45" i="95"/>
  <c r="L52" i="95"/>
  <c r="F46" i="89"/>
  <c r="P12" i="113"/>
  <c r="F54" i="103"/>
  <c r="V16" i="103"/>
  <c r="P12" i="95"/>
  <c r="F30" i="103"/>
  <c r="T54" i="103"/>
  <c r="F42" i="103"/>
  <c r="E30" i="87"/>
  <c r="C24" i="113"/>
  <c r="C24" i="95"/>
  <c r="E54" i="87"/>
  <c r="E42" i="87"/>
  <c r="S30" i="87"/>
  <c r="S54" i="87"/>
  <c r="S42" i="87"/>
  <c r="I9" i="113"/>
  <c r="F11" i="91"/>
  <c r="Z33" i="95"/>
  <c r="F27" i="111"/>
  <c r="E16" i="92"/>
  <c r="R5" i="113"/>
  <c r="V9" i="105"/>
  <c r="R5" i="95"/>
  <c r="G12" i="94"/>
  <c r="T23" i="108"/>
  <c r="W29" i="113"/>
  <c r="W65" i="113" s="1"/>
  <c r="S14" i="91"/>
  <c r="S18" i="113"/>
  <c r="S36" i="106"/>
  <c r="S18" i="95"/>
  <c r="E36" i="106"/>
  <c r="E24" i="106"/>
  <c r="G24" i="106" s="1"/>
  <c r="E48" i="106"/>
  <c r="G48" i="106" s="1"/>
  <c r="S48" i="106"/>
  <c r="U48" i="106" s="1"/>
  <c r="T34" i="87"/>
  <c r="F26" i="110"/>
  <c r="F27" i="106"/>
  <c r="S8" i="113"/>
  <c r="S8" i="95"/>
  <c r="D30" i="95"/>
  <c r="F24" i="88"/>
  <c r="I40" i="113"/>
  <c r="T34" i="94"/>
  <c r="Q59" i="113"/>
  <c r="T53" i="104"/>
  <c r="P19" i="97"/>
  <c r="P39" i="97" s="1"/>
  <c r="D63" i="95"/>
  <c r="P29" i="97" s="1"/>
  <c r="R14" i="88"/>
  <c r="N14" i="88"/>
  <c r="H14" i="110"/>
  <c r="I14" i="110" s="1"/>
  <c r="J14" i="110" s="1"/>
  <c r="I12" i="96"/>
  <c r="W12" i="96" s="1"/>
  <c r="E58" i="113"/>
  <c r="T52" i="90"/>
  <c r="T24" i="90"/>
  <c r="E30" i="113"/>
  <c r="E66" i="113" s="1"/>
  <c r="O11" i="113"/>
  <c r="V15" i="102"/>
  <c r="O11" i="95"/>
  <c r="T47" i="103"/>
  <c r="R71" i="95"/>
  <c r="N47" i="95"/>
  <c r="N35" i="95"/>
  <c r="N70" i="95" s="1"/>
  <c r="F29" i="101"/>
  <c r="F53" i="108"/>
  <c r="U14" i="103"/>
  <c r="U28" i="103" s="1"/>
  <c r="E41" i="113"/>
  <c r="T35" i="90"/>
  <c r="R22" i="113"/>
  <c r="R22" i="95"/>
  <c r="E28" i="105"/>
  <c r="E52" i="105"/>
  <c r="E40" i="105"/>
  <c r="S40" i="105"/>
  <c r="S52" i="105"/>
  <c r="T26" i="102"/>
  <c r="O32" i="113"/>
  <c r="O44" i="113"/>
  <c r="P52" i="113"/>
  <c r="T46" i="103"/>
  <c r="J15" i="88"/>
  <c r="K15" i="88" s="1"/>
  <c r="D44" i="113"/>
  <c r="T38" i="88"/>
  <c r="X11" i="113"/>
  <c r="V15" i="109"/>
  <c r="F29" i="109"/>
  <c r="X11" i="95"/>
  <c r="F53" i="109"/>
  <c r="F41" i="109"/>
  <c r="T41" i="109"/>
  <c r="T53" i="109"/>
  <c r="S12" i="111"/>
  <c r="M64" i="113"/>
  <c r="M42" i="95"/>
  <c r="M30" i="95"/>
  <c r="V53" i="95"/>
  <c r="F47" i="107"/>
  <c r="H14" i="89"/>
  <c r="T54" i="104"/>
  <c r="W41" i="113"/>
  <c r="T35" i="108"/>
  <c r="Z63" i="95"/>
  <c r="J19" i="113"/>
  <c r="S37" i="96"/>
  <c r="S49" i="96"/>
  <c r="E25" i="96"/>
  <c r="E37" i="96"/>
  <c r="J19" i="95"/>
  <c r="E49" i="96"/>
  <c r="P48" i="95"/>
  <c r="P36" i="95"/>
  <c r="T22" i="87"/>
  <c r="C28" i="113"/>
  <c r="O25" i="97" s="1"/>
  <c r="T22" i="105"/>
  <c r="R28" i="113"/>
  <c r="R64" i="113" s="1"/>
  <c r="R40" i="113"/>
  <c r="M43" i="95"/>
  <c r="M31" i="95"/>
  <c r="M66" i="95" s="1"/>
  <c r="E12" i="92"/>
  <c r="S40" i="107"/>
  <c r="F33" i="91"/>
  <c r="F39" i="95"/>
  <c r="C35" i="113"/>
  <c r="T15" i="91"/>
  <c r="T51" i="106"/>
  <c r="G10" i="94"/>
  <c r="W10" i="94" s="1"/>
  <c r="O5" i="113"/>
  <c r="V9" i="102"/>
  <c r="O5" i="95"/>
  <c r="H23" i="113"/>
  <c r="E29" i="93"/>
  <c r="F29" i="93" s="1"/>
  <c r="E53" i="93"/>
  <c r="F53" i="93" s="1"/>
  <c r="H23" i="95"/>
  <c r="S41" i="93"/>
  <c r="S53" i="93"/>
  <c r="T53" i="93" s="1"/>
  <c r="E41" i="93"/>
  <c r="T23" i="104"/>
  <c r="Q41" i="113"/>
  <c r="Q29" i="113"/>
  <c r="Q65" i="113" s="1"/>
  <c r="E46" i="113"/>
  <c r="T40" i="90"/>
  <c r="L17" i="113"/>
  <c r="S35" i="89"/>
  <c r="E23" i="89"/>
  <c r="L17" i="95"/>
  <c r="E47" i="89"/>
  <c r="E35" i="89"/>
  <c r="S47" i="89"/>
  <c r="T29" i="109"/>
  <c r="X35" i="113"/>
  <c r="E42" i="113"/>
  <c r="T36" i="90"/>
  <c r="N59" i="95"/>
  <c r="F53" i="101"/>
  <c r="U6" i="113"/>
  <c r="V10" i="99"/>
  <c r="U6" i="95"/>
  <c r="T23" i="90"/>
  <c r="E29" i="113"/>
  <c r="P40" i="95"/>
  <c r="P28" i="95"/>
  <c r="P63" i="95" s="1"/>
  <c r="F22" i="103"/>
  <c r="X29" i="95"/>
  <c r="X64" i="95" s="1"/>
  <c r="F23" i="109"/>
  <c r="P25" i="97"/>
  <c r="P45" i="97" s="1"/>
  <c r="D64" i="113"/>
  <c r="P35" i="97" s="1"/>
  <c r="W11" i="99"/>
  <c r="D65" i="113"/>
  <c r="P36" i="97" s="1"/>
  <c r="R12" i="111"/>
  <c r="S26" i="111" s="1"/>
  <c r="N12" i="111"/>
  <c r="T22" i="89"/>
  <c r="L28" i="113"/>
  <c r="L64" i="113" s="1"/>
  <c r="L40" i="113"/>
  <c r="T24" i="100"/>
  <c r="M30" i="113"/>
  <c r="M42" i="113"/>
  <c r="W14" i="88"/>
  <c r="V41" i="95"/>
  <c r="F35" i="107"/>
  <c r="F13" i="91"/>
  <c r="G13" i="91" s="1"/>
  <c r="H13" i="91" s="1"/>
  <c r="I13" i="91" s="1"/>
  <c r="J13" i="91" s="1"/>
  <c r="X7" i="113"/>
  <c r="X7" i="95"/>
  <c r="Z65" i="113"/>
  <c r="Z57" i="113"/>
  <c r="T51" i="111"/>
  <c r="F29" i="90"/>
  <c r="T14" i="91"/>
  <c r="K14" i="91"/>
  <c r="W14" i="91" s="1"/>
  <c r="M10" i="113"/>
  <c r="M70" i="113" s="1"/>
  <c r="F52" i="100"/>
  <c r="V14" i="100"/>
  <c r="M10" i="95"/>
  <c r="F40" i="100"/>
  <c r="F28" i="100"/>
  <c r="T52" i="100"/>
  <c r="T25" i="100"/>
  <c r="M31" i="113"/>
  <c r="M43" i="113"/>
  <c r="F21" i="91"/>
  <c r="F27" i="95"/>
  <c r="T46" i="87"/>
  <c r="W12" i="111"/>
  <c r="I13" i="93"/>
  <c r="J13" i="93" s="1"/>
  <c r="D54" i="95"/>
  <c r="F48" i="88"/>
  <c r="I52" i="113"/>
  <c r="T46" i="94"/>
  <c r="Q35" i="95"/>
  <c r="Q70" i="95" s="1"/>
  <c r="Q47" i="95"/>
  <c r="F29" i="104"/>
  <c r="M24" i="113"/>
  <c r="M24" i="95"/>
  <c r="E42" i="100"/>
  <c r="E30" i="100"/>
  <c r="E54" i="100"/>
  <c r="S54" i="100"/>
  <c r="S42" i="100"/>
  <c r="N11" i="106"/>
  <c r="R11" i="106"/>
  <c r="S25" i="106" s="1"/>
  <c r="U25" i="106" s="1"/>
  <c r="W11" i="106"/>
  <c r="V11" i="106" s="1"/>
  <c r="S23" i="113"/>
  <c r="E29" i="106"/>
  <c r="S23" i="95"/>
  <c r="S41" i="106"/>
  <c r="E41" i="106"/>
  <c r="S53" i="106"/>
  <c r="E53" i="106"/>
  <c r="T16" i="91"/>
  <c r="G11" i="87"/>
  <c r="E34" i="95"/>
  <c r="E69" i="95" s="1"/>
  <c r="F28" i="90"/>
  <c r="L15" i="94"/>
  <c r="T15" i="94"/>
  <c r="U45" i="95"/>
  <c r="U33" i="95"/>
  <c r="T26" i="97"/>
  <c r="T46" i="97" s="1"/>
  <c r="H65" i="113"/>
  <c r="T36" i="97" s="1"/>
  <c r="H15" i="89"/>
  <c r="AA24" i="113"/>
  <c r="E30" i="112"/>
  <c r="S42" i="112"/>
  <c r="S54" i="112"/>
  <c r="E42" i="112"/>
  <c r="AA24" i="95"/>
  <c r="E54" i="112"/>
  <c r="T23" i="100"/>
  <c r="M29" i="113"/>
  <c r="M65" i="113" s="1"/>
  <c r="M41" i="113"/>
  <c r="V21" i="113"/>
  <c r="E27" i="107"/>
  <c r="E51" i="107"/>
  <c r="S39" i="107"/>
  <c r="V21" i="95"/>
  <c r="E39" i="107"/>
  <c r="S51" i="107"/>
  <c r="R10" i="99"/>
  <c r="S24" i="99" s="1"/>
  <c r="U24" i="99" s="1"/>
  <c r="N10" i="99"/>
  <c r="X41" i="95"/>
  <c r="F35" i="109"/>
  <c r="O24" i="113"/>
  <c r="S42" i="102"/>
  <c r="S54" i="102"/>
  <c r="E42" i="102"/>
  <c r="E54" i="102"/>
  <c r="E30" i="102"/>
  <c r="O24" i="95"/>
  <c r="D56" i="113"/>
  <c r="T50" i="88"/>
  <c r="N20" i="113"/>
  <c r="N20" i="95"/>
  <c r="E50" i="101"/>
  <c r="E38" i="101"/>
  <c r="E26" i="101"/>
  <c r="S38" i="101"/>
  <c r="S50" i="101"/>
  <c r="T36" i="100"/>
  <c r="R9" i="94"/>
  <c r="S23" i="94" s="1"/>
  <c r="N9" i="94"/>
  <c r="S15" i="111"/>
  <c r="V41" i="113"/>
  <c r="T35" i="107"/>
  <c r="R70" i="95"/>
  <c r="R11" i="109"/>
  <c r="S25" i="109" s="1"/>
  <c r="U25" i="109" s="1"/>
  <c r="N11" i="109"/>
  <c r="W11" i="109"/>
  <c r="V11" i="109" s="1"/>
  <c r="T27" i="111"/>
  <c r="Z33" i="113"/>
  <c r="F53" i="90"/>
  <c r="E8" i="92"/>
  <c r="W8" i="92" s="1"/>
  <c r="T8" i="92"/>
  <c r="U8" i="92" s="1"/>
  <c r="W53" i="113"/>
  <c r="T47" i="108"/>
  <c r="Z64" i="113"/>
  <c r="T12" i="111"/>
  <c r="V18" i="113"/>
  <c r="S36" i="107"/>
  <c r="U36" i="107" s="1"/>
  <c r="E48" i="107"/>
  <c r="G48" i="107" s="1"/>
  <c r="V18" i="95"/>
  <c r="E24" i="107"/>
  <c r="G24" i="107" s="1"/>
  <c r="E36" i="107"/>
  <c r="G36" i="107" s="1"/>
  <c r="S48" i="107"/>
  <c r="U48" i="107" s="1"/>
  <c r="C32" i="113"/>
  <c r="F45" i="91"/>
  <c r="F51" i="95"/>
  <c r="F22" i="87"/>
  <c r="V9" i="89"/>
  <c r="T38" i="110"/>
  <c r="S11" i="105"/>
  <c r="I52" i="95"/>
  <c r="F46" i="94"/>
  <c r="H12" i="99"/>
  <c r="I12" i="99" s="1"/>
  <c r="I40" i="95"/>
  <c r="F34" i="94"/>
  <c r="E13" i="92"/>
  <c r="F13" i="92" s="1"/>
  <c r="G13" i="92" s="1"/>
  <c r="H13" i="92" s="1"/>
  <c r="I13" i="92" s="1"/>
  <c r="J13" i="92" s="1"/>
  <c r="R13" i="92" s="1"/>
  <c r="S27" i="92" s="1"/>
  <c r="R42" i="95"/>
  <c r="R30" i="95"/>
  <c r="R65" i="95" s="1"/>
  <c r="T26" i="107"/>
  <c r="V32" i="113"/>
  <c r="E54" i="113"/>
  <c r="T48" i="90"/>
  <c r="T27" i="99"/>
  <c r="U45" i="113"/>
  <c r="U33" i="113"/>
  <c r="M6" i="113"/>
  <c r="M6" i="95"/>
  <c r="V10" i="100"/>
  <c r="F24" i="100"/>
  <c r="F36" i="100"/>
  <c r="F48" i="100"/>
  <c r="T48" i="100"/>
  <c r="O24" i="97"/>
  <c r="O44" i="97" s="1"/>
  <c r="C63" i="113"/>
  <c r="O34" i="97" s="1"/>
  <c r="G15" i="95"/>
  <c r="G15" i="113"/>
  <c r="S45" i="92"/>
  <c r="U45" i="92" s="1"/>
  <c r="S33" i="92"/>
  <c r="U33" i="92" s="1"/>
  <c r="E33" i="92"/>
  <c r="G33" i="92" s="1"/>
  <c r="E45" i="92"/>
  <c r="G45" i="92" s="1"/>
  <c r="E21" i="92"/>
  <c r="G21" i="92" s="1"/>
  <c r="I14" i="96"/>
  <c r="J14" i="96" s="1"/>
  <c r="K14" i="96" s="1"/>
  <c r="E53" i="113"/>
  <c r="T47" i="90"/>
  <c r="P52" i="95"/>
  <c r="F46" i="103"/>
  <c r="X41" i="113"/>
  <c r="T35" i="109"/>
  <c r="T9" i="91"/>
  <c r="T27" i="89"/>
  <c r="L45" i="113"/>
  <c r="L33" i="113"/>
  <c r="H11" i="113"/>
  <c r="H11" i="95"/>
  <c r="V15" i="93"/>
  <c r="T23" i="107"/>
  <c r="V29" i="113"/>
  <c r="V65" i="113" s="1"/>
  <c r="AA10" i="95"/>
  <c r="V14" i="112"/>
  <c r="Z45" i="95"/>
  <c r="F39" i="111"/>
  <c r="H15" i="112"/>
  <c r="N10" i="101"/>
  <c r="R10" i="101"/>
  <c r="S24" i="101" s="1"/>
  <c r="U24" i="101" s="1"/>
  <c r="T50" i="102"/>
  <c r="U12" i="93"/>
  <c r="U26" i="93" s="1"/>
  <c r="V8" i="113"/>
  <c r="V12" i="107"/>
  <c r="V8" i="95"/>
  <c r="F50" i="107"/>
  <c r="T38" i="107"/>
  <c r="F38" i="107"/>
  <c r="T50" i="107"/>
  <c r="T24" i="96"/>
  <c r="J30" i="113"/>
  <c r="F38" i="110"/>
  <c r="Y44" i="95"/>
  <c r="T45" i="91"/>
  <c r="F51" i="113"/>
  <c r="F34" i="87"/>
  <c r="U71" i="95" l="1"/>
  <c r="S68" i="95"/>
  <c r="T50" i="106"/>
  <c r="G26" i="106"/>
  <c r="E40" i="107"/>
  <c r="V22" i="95"/>
  <c r="U28" i="107"/>
  <c r="E52" i="107"/>
  <c r="V58" i="95" s="1"/>
  <c r="V22" i="113"/>
  <c r="U16" i="91"/>
  <c r="S52" i="107"/>
  <c r="V58" i="113" s="1"/>
  <c r="E28" i="107"/>
  <c r="F28" i="107" s="1"/>
  <c r="F42" i="94"/>
  <c r="Z68" i="95"/>
  <c r="G28" i="112"/>
  <c r="Z69" i="113"/>
  <c r="F40" i="112"/>
  <c r="E15" i="107"/>
  <c r="F15" i="107" s="1"/>
  <c r="G15" i="107" s="1"/>
  <c r="H15" i="107" s="1"/>
  <c r="I15" i="107" s="1"/>
  <c r="J15" i="107" s="1"/>
  <c r="K15" i="107" s="1"/>
  <c r="L15" i="107" s="1"/>
  <c r="N15" i="107" s="1"/>
  <c r="B16" i="107"/>
  <c r="D16" i="107"/>
  <c r="G39" i="103"/>
  <c r="P9" i="95"/>
  <c r="T51" i="103"/>
  <c r="U27" i="103"/>
  <c r="F51" i="103"/>
  <c r="U69" i="113"/>
  <c r="U68" i="95"/>
  <c r="V12" i="101"/>
  <c r="W70" i="95"/>
  <c r="U16" i="88"/>
  <c r="R10" i="95"/>
  <c r="T50" i="87"/>
  <c r="R66" i="113"/>
  <c r="Q71" i="113"/>
  <c r="AA12" i="95"/>
  <c r="O67" i="95"/>
  <c r="M67" i="113"/>
  <c r="N8" i="95"/>
  <c r="U25" i="99"/>
  <c r="U7" i="113"/>
  <c r="U26" i="101"/>
  <c r="U14" i="94"/>
  <c r="V14" i="105"/>
  <c r="V11" i="99"/>
  <c r="R10" i="113"/>
  <c r="G30" i="112"/>
  <c r="V16" i="112"/>
  <c r="U30" i="112"/>
  <c r="Y67" i="95"/>
  <c r="L69" i="113"/>
  <c r="M69" i="95"/>
  <c r="I12" i="95"/>
  <c r="I71" i="95" s="1"/>
  <c r="Y68" i="113"/>
  <c r="F51" i="94"/>
  <c r="G42" i="94"/>
  <c r="T42" i="94"/>
  <c r="V16" i="94"/>
  <c r="T30" i="94"/>
  <c r="I9" i="95"/>
  <c r="F30" i="94"/>
  <c r="I12" i="113"/>
  <c r="I72" i="113" s="1"/>
  <c r="T51" i="94"/>
  <c r="S34" i="91"/>
  <c r="T34" i="91" s="1"/>
  <c r="V14" i="88"/>
  <c r="M64" i="95"/>
  <c r="E22" i="91"/>
  <c r="F28" i="95" s="1"/>
  <c r="R19" i="97" s="1"/>
  <c r="F16" i="113"/>
  <c r="F26" i="87"/>
  <c r="D10" i="113"/>
  <c r="F29" i="87"/>
  <c r="S46" i="91"/>
  <c r="T46" i="91" s="1"/>
  <c r="F16" i="95"/>
  <c r="R14" i="97" s="1"/>
  <c r="G35" i="87"/>
  <c r="T26" i="87"/>
  <c r="E46" i="91"/>
  <c r="F52" i="95" s="1"/>
  <c r="G30" i="94"/>
  <c r="X12" i="95"/>
  <c r="F42" i="109"/>
  <c r="G53" i="87"/>
  <c r="C41" i="95"/>
  <c r="F53" i="87"/>
  <c r="G29" i="87"/>
  <c r="U29" i="87"/>
  <c r="C11" i="95"/>
  <c r="C70" i="95" s="1"/>
  <c r="U53" i="87"/>
  <c r="N71" i="113"/>
  <c r="V15" i="87"/>
  <c r="U41" i="87"/>
  <c r="C11" i="113"/>
  <c r="C71" i="113" s="1"/>
  <c r="G47" i="87"/>
  <c r="T53" i="87"/>
  <c r="G41" i="87"/>
  <c r="T29" i="87"/>
  <c r="T41" i="87"/>
  <c r="G50" i="87"/>
  <c r="F38" i="87"/>
  <c r="F23" i="87"/>
  <c r="U23" i="87"/>
  <c r="F50" i="87"/>
  <c r="C5" i="113"/>
  <c r="U50" i="87"/>
  <c r="F54" i="94"/>
  <c r="C8" i="95"/>
  <c r="U38" i="87"/>
  <c r="G23" i="87"/>
  <c r="U27" i="94"/>
  <c r="T38" i="87"/>
  <c r="C8" i="113"/>
  <c r="C68" i="113" s="1"/>
  <c r="F47" i="87"/>
  <c r="G38" i="87"/>
  <c r="G54" i="94"/>
  <c r="F27" i="94"/>
  <c r="V12" i="87"/>
  <c r="C5" i="95"/>
  <c r="C64" i="95" s="1"/>
  <c r="O30" i="97" s="1"/>
  <c r="G26" i="87"/>
  <c r="U26" i="87"/>
  <c r="F35" i="87"/>
  <c r="U27" i="87"/>
  <c r="U12" i="100"/>
  <c r="V12" i="100" s="1"/>
  <c r="C29" i="113"/>
  <c r="O26" i="97" s="1"/>
  <c r="T23" i="87"/>
  <c r="G40" i="104"/>
  <c r="V13" i="87"/>
  <c r="T52" i="104"/>
  <c r="V14" i="104"/>
  <c r="C9" i="95"/>
  <c r="F52" i="104"/>
  <c r="U28" i="104"/>
  <c r="Q10" i="95"/>
  <c r="G28" i="104"/>
  <c r="F24" i="87"/>
  <c r="F40" i="104"/>
  <c r="V16" i="109"/>
  <c r="F27" i="107"/>
  <c r="V15" i="106"/>
  <c r="F48" i="87"/>
  <c r="S11" i="95"/>
  <c r="T54" i="94"/>
  <c r="T36" i="87"/>
  <c r="S11" i="113"/>
  <c r="U24" i="87"/>
  <c r="T47" i="87"/>
  <c r="V13" i="107"/>
  <c r="I5" i="95"/>
  <c r="U10" i="97" s="1"/>
  <c r="V10" i="87"/>
  <c r="S50" i="91"/>
  <c r="G39" i="107"/>
  <c r="V9" i="95"/>
  <c r="V9" i="94"/>
  <c r="C6" i="95"/>
  <c r="O11" i="97" s="1"/>
  <c r="T48" i="87"/>
  <c r="E38" i="91"/>
  <c r="F44" i="95" s="1"/>
  <c r="U47" i="87"/>
  <c r="U23" i="94"/>
  <c r="V9" i="113"/>
  <c r="S38" i="91"/>
  <c r="F44" i="113" s="1"/>
  <c r="F28" i="112"/>
  <c r="U15" i="111"/>
  <c r="Z11" i="113" s="1"/>
  <c r="C67" i="95"/>
  <c r="F20" i="95"/>
  <c r="U54" i="94"/>
  <c r="O15" i="97"/>
  <c r="E50" i="91"/>
  <c r="F56" i="95" s="1"/>
  <c r="E9" i="95"/>
  <c r="X70" i="95"/>
  <c r="V13" i="90"/>
  <c r="U14" i="87"/>
  <c r="C10" i="95" s="1"/>
  <c r="E26" i="91"/>
  <c r="F32" i="95" s="1"/>
  <c r="F26" i="108"/>
  <c r="U15" i="94"/>
  <c r="I11" i="95" s="1"/>
  <c r="V12" i="108"/>
  <c r="F20" i="113"/>
  <c r="W8" i="95"/>
  <c r="F36" i="87"/>
  <c r="W8" i="113"/>
  <c r="U10" i="91"/>
  <c r="F6" i="113" s="1"/>
  <c r="U42" i="94"/>
  <c r="M9" i="95"/>
  <c r="T35" i="87"/>
  <c r="F51" i="100"/>
  <c r="U35" i="87"/>
  <c r="X12" i="113"/>
  <c r="F4" i="95"/>
  <c r="R9" i="97" s="1"/>
  <c r="F4" i="113"/>
  <c r="U30" i="87"/>
  <c r="U22" i="91"/>
  <c r="F49" i="89"/>
  <c r="J66" i="113"/>
  <c r="F39" i="103"/>
  <c r="L7" i="113"/>
  <c r="F34" i="91"/>
  <c r="V8" i="91"/>
  <c r="U9" i="91"/>
  <c r="F5" i="113" s="1"/>
  <c r="M12" i="95"/>
  <c r="L7" i="95"/>
  <c r="L66" i="95" s="1"/>
  <c r="T42" i="87"/>
  <c r="C63" i="95"/>
  <c r="O29" i="97" s="1"/>
  <c r="E70" i="95"/>
  <c r="V16" i="87"/>
  <c r="F54" i="87"/>
  <c r="Q71" i="95"/>
  <c r="U25" i="89"/>
  <c r="C12" i="95"/>
  <c r="F30" i="87"/>
  <c r="V11" i="96"/>
  <c r="T49" i="89"/>
  <c r="O68" i="113"/>
  <c r="F25" i="89"/>
  <c r="U12" i="91"/>
  <c r="T26" i="91" s="1"/>
  <c r="F27" i="100"/>
  <c r="G27" i="100"/>
  <c r="M9" i="113"/>
  <c r="O39" i="97"/>
  <c r="O45" i="97"/>
  <c r="V41" i="97"/>
  <c r="G39" i="100"/>
  <c r="J65" i="95"/>
  <c r="V31" i="97" s="1"/>
  <c r="F39" i="100"/>
  <c r="V13" i="100"/>
  <c r="J7" i="113"/>
  <c r="N9" i="92"/>
  <c r="S9" i="92"/>
  <c r="V16" i="100"/>
  <c r="W14" i="96"/>
  <c r="M65" i="95"/>
  <c r="M12" i="113"/>
  <c r="F29" i="102"/>
  <c r="J8" i="95"/>
  <c r="V12" i="96"/>
  <c r="F27" i="103"/>
  <c r="G30" i="100"/>
  <c r="J7" i="95"/>
  <c r="W12" i="99"/>
  <c r="S12" i="99"/>
  <c r="T13" i="91"/>
  <c r="F26" i="106"/>
  <c r="G40" i="103"/>
  <c r="U28" i="94"/>
  <c r="T15" i="92"/>
  <c r="G42" i="102"/>
  <c r="F23" i="102"/>
  <c r="F63" i="113"/>
  <c r="R34" i="97" s="1"/>
  <c r="U25" i="111"/>
  <c r="G28" i="103"/>
  <c r="F28" i="104"/>
  <c r="G30" i="102"/>
  <c r="C64" i="113"/>
  <c r="O35" i="97" s="1"/>
  <c r="F23" i="105"/>
  <c r="H47" i="113"/>
  <c r="U41" i="93"/>
  <c r="F35" i="101"/>
  <c r="G35" i="101"/>
  <c r="F52" i="112"/>
  <c r="G52" i="112"/>
  <c r="AA48" i="113"/>
  <c r="U42" i="112"/>
  <c r="H47" i="95"/>
  <c r="G41" i="93"/>
  <c r="V46" i="113"/>
  <c r="U40" i="107"/>
  <c r="U11" i="105"/>
  <c r="R7" i="95" s="1"/>
  <c r="N56" i="95"/>
  <c r="G50" i="101"/>
  <c r="F42" i="100"/>
  <c r="G42" i="100"/>
  <c r="T35" i="89"/>
  <c r="U35" i="89"/>
  <c r="H59" i="113"/>
  <c r="U53" i="93"/>
  <c r="J43" i="95"/>
  <c r="G37" i="96"/>
  <c r="F28" i="105"/>
  <c r="G28" i="105"/>
  <c r="T14" i="110"/>
  <c r="T36" i="106"/>
  <c r="U36" i="106"/>
  <c r="C48" i="113"/>
  <c r="U42" i="87"/>
  <c r="C57" i="113"/>
  <c r="U51" i="87"/>
  <c r="W56" i="113"/>
  <c r="U50" i="108"/>
  <c r="I45" i="95"/>
  <c r="G39" i="94"/>
  <c r="X36" i="95"/>
  <c r="G30" i="109"/>
  <c r="W14" i="99"/>
  <c r="T36" i="89"/>
  <c r="U36" i="89"/>
  <c r="M57" i="113"/>
  <c r="U51" i="100"/>
  <c r="W13" i="93"/>
  <c r="J55" i="113"/>
  <c r="U49" i="96"/>
  <c r="F41" i="102"/>
  <c r="F35" i="102"/>
  <c r="G35" i="102"/>
  <c r="C45" i="95"/>
  <c r="G39" i="87"/>
  <c r="H44" i="113"/>
  <c r="U38" i="93"/>
  <c r="Y53" i="95"/>
  <c r="G47" i="110"/>
  <c r="T52" i="112"/>
  <c r="U52" i="112"/>
  <c r="W44" i="95"/>
  <c r="G38" i="108"/>
  <c r="U14" i="109"/>
  <c r="U28" i="109" s="1"/>
  <c r="C42" i="95"/>
  <c r="G36" i="87"/>
  <c r="F38" i="108"/>
  <c r="U30" i="91"/>
  <c r="L55" i="113"/>
  <c r="U49" i="89"/>
  <c r="V57" i="113"/>
  <c r="U51" i="107"/>
  <c r="H56" i="113"/>
  <c r="U50" i="93"/>
  <c r="C30" i="95"/>
  <c r="O21" i="97" s="1"/>
  <c r="G24" i="87"/>
  <c r="T42" i="102"/>
  <c r="U42" i="102"/>
  <c r="S59" i="95"/>
  <c r="G53" i="106"/>
  <c r="F54" i="112"/>
  <c r="G54" i="112"/>
  <c r="S59" i="113"/>
  <c r="U53" i="106"/>
  <c r="T51" i="100"/>
  <c r="S13" i="93"/>
  <c r="L53" i="113"/>
  <c r="U47" i="89"/>
  <c r="H59" i="95"/>
  <c r="G53" i="93"/>
  <c r="J43" i="113"/>
  <c r="U37" i="96"/>
  <c r="S15" i="88"/>
  <c r="C48" i="95"/>
  <c r="G42" i="87"/>
  <c r="P71" i="95"/>
  <c r="Y41" i="113"/>
  <c r="U35" i="110"/>
  <c r="T35" i="101"/>
  <c r="U35" i="101"/>
  <c r="P58" i="95"/>
  <c r="G52" i="103"/>
  <c r="T39" i="103"/>
  <c r="U39" i="103"/>
  <c r="W44" i="113"/>
  <c r="U38" i="108"/>
  <c r="C54" i="95"/>
  <c r="G48" i="87"/>
  <c r="I33" i="95"/>
  <c r="G27" i="94"/>
  <c r="Q58" i="113"/>
  <c r="U52" i="104"/>
  <c r="F48" i="113"/>
  <c r="U42" i="91"/>
  <c r="O60" i="113"/>
  <c r="U54" i="102"/>
  <c r="J31" i="95"/>
  <c r="G25" i="96"/>
  <c r="X60" i="95"/>
  <c r="G54" i="109"/>
  <c r="N56" i="113"/>
  <c r="U50" i="101"/>
  <c r="F41" i="106"/>
  <c r="G41" i="106"/>
  <c r="R58" i="113"/>
  <c r="U52" i="105"/>
  <c r="F30" i="100"/>
  <c r="C60" i="95"/>
  <c r="G54" i="87"/>
  <c r="R53" i="113"/>
  <c r="U47" i="105"/>
  <c r="O53" i="95"/>
  <c r="G47" i="102"/>
  <c r="C57" i="95"/>
  <c r="G51" i="87"/>
  <c r="S56" i="113"/>
  <c r="U50" i="106"/>
  <c r="AA46" i="95"/>
  <c r="G40" i="112"/>
  <c r="C42" i="113"/>
  <c r="U36" i="87"/>
  <c r="I45" i="113"/>
  <c r="U39" i="94"/>
  <c r="Q58" i="95"/>
  <c r="G52" i="104"/>
  <c r="F60" i="113"/>
  <c r="U54" i="91"/>
  <c r="L43" i="95"/>
  <c r="G25" i="89"/>
  <c r="M57" i="95"/>
  <c r="G51" i="100"/>
  <c r="C60" i="113"/>
  <c r="U54" i="87"/>
  <c r="T35" i="105"/>
  <c r="U35" i="105"/>
  <c r="O53" i="113"/>
  <c r="U47" i="102"/>
  <c r="T41" i="93"/>
  <c r="V45" i="113"/>
  <c r="U39" i="107"/>
  <c r="F35" i="89"/>
  <c r="G35" i="89"/>
  <c r="F41" i="93"/>
  <c r="T38" i="101"/>
  <c r="U38" i="101"/>
  <c r="V57" i="95"/>
  <c r="G51" i="107"/>
  <c r="AA48" i="95"/>
  <c r="G42" i="112"/>
  <c r="T41" i="106"/>
  <c r="U41" i="106"/>
  <c r="M60" i="113"/>
  <c r="U54" i="100"/>
  <c r="L53" i="95"/>
  <c r="G47" i="89"/>
  <c r="V46" i="95"/>
  <c r="G40" i="107"/>
  <c r="T40" i="105"/>
  <c r="U40" i="105"/>
  <c r="F38" i="106"/>
  <c r="T39" i="94"/>
  <c r="F35" i="105"/>
  <c r="G35" i="105"/>
  <c r="O59" i="95"/>
  <c r="G53" i="102"/>
  <c r="H56" i="95"/>
  <c r="G50" i="93"/>
  <c r="F36" i="89"/>
  <c r="G36" i="89"/>
  <c r="Y41" i="95"/>
  <c r="G35" i="110"/>
  <c r="P58" i="113"/>
  <c r="U52" i="103"/>
  <c r="S56" i="95"/>
  <c r="G50" i="106"/>
  <c r="AA46" i="113"/>
  <c r="U40" i="112"/>
  <c r="S13" i="112"/>
  <c r="W32" i="95"/>
  <c r="G26" i="108"/>
  <c r="T47" i="112"/>
  <c r="U47" i="112"/>
  <c r="X48" i="95"/>
  <c r="G42" i="109"/>
  <c r="F56" i="113"/>
  <c r="F48" i="95"/>
  <c r="G42" i="91"/>
  <c r="F37" i="89"/>
  <c r="G37" i="89"/>
  <c r="C45" i="113"/>
  <c r="U39" i="87"/>
  <c r="I57" i="95"/>
  <c r="G51" i="94"/>
  <c r="F40" i="95"/>
  <c r="G34" i="91"/>
  <c r="T39" i="107"/>
  <c r="T42" i="100"/>
  <c r="U42" i="100"/>
  <c r="H35" i="95"/>
  <c r="H70" i="95" s="1"/>
  <c r="G29" i="93"/>
  <c r="T54" i="87"/>
  <c r="F26" i="101"/>
  <c r="G26" i="101"/>
  <c r="V33" i="95"/>
  <c r="G27" i="107"/>
  <c r="T54" i="112"/>
  <c r="U54" i="112"/>
  <c r="M60" i="95"/>
  <c r="G54" i="100"/>
  <c r="T14" i="99"/>
  <c r="T47" i="102"/>
  <c r="J55" i="95"/>
  <c r="G49" i="96"/>
  <c r="F40" i="105"/>
  <c r="G40" i="105"/>
  <c r="F36" i="106"/>
  <c r="G36" i="106"/>
  <c r="P72" i="113"/>
  <c r="R53" i="95"/>
  <c r="G47" i="105"/>
  <c r="O59" i="113"/>
  <c r="U53" i="102"/>
  <c r="T35" i="102"/>
  <c r="U35" i="102"/>
  <c r="H44" i="95"/>
  <c r="G38" i="93"/>
  <c r="F51" i="87"/>
  <c r="U40" i="103"/>
  <c r="P57" i="113"/>
  <c r="U51" i="103"/>
  <c r="X60" i="113"/>
  <c r="U54" i="109"/>
  <c r="F60" i="95"/>
  <c r="G54" i="91"/>
  <c r="L55" i="95"/>
  <c r="G49" i="89"/>
  <c r="T39" i="100"/>
  <c r="U39" i="100"/>
  <c r="T52" i="105"/>
  <c r="W56" i="95"/>
  <c r="G50" i="108"/>
  <c r="V67" i="95"/>
  <c r="F38" i="101"/>
  <c r="G38" i="101"/>
  <c r="O60" i="95"/>
  <c r="G54" i="102"/>
  <c r="F29" i="106"/>
  <c r="G29" i="106"/>
  <c r="N8" i="92"/>
  <c r="L41" i="95"/>
  <c r="G23" i="89"/>
  <c r="R58" i="95"/>
  <c r="G52" i="105"/>
  <c r="C36" i="95"/>
  <c r="G30" i="87"/>
  <c r="T41" i="102"/>
  <c r="U41" i="102"/>
  <c r="C33" i="95"/>
  <c r="G27" i="87"/>
  <c r="H32" i="95"/>
  <c r="G26" i="93"/>
  <c r="Y53" i="113"/>
  <c r="U47" i="110"/>
  <c r="T38" i="106"/>
  <c r="U38" i="106"/>
  <c r="P57" i="95"/>
  <c r="G51" i="103"/>
  <c r="F47" i="112"/>
  <c r="G47" i="112"/>
  <c r="C54" i="113"/>
  <c r="U48" i="87"/>
  <c r="I57" i="113"/>
  <c r="U51" i="94"/>
  <c r="X48" i="113"/>
  <c r="U42" i="109"/>
  <c r="T40" i="104"/>
  <c r="U40" i="104"/>
  <c r="U15" i="91"/>
  <c r="F11" i="113" s="1"/>
  <c r="F36" i="95"/>
  <c r="G30" i="91"/>
  <c r="T37" i="89"/>
  <c r="U37" i="89"/>
  <c r="S14" i="99"/>
  <c r="V68" i="113"/>
  <c r="M66" i="113"/>
  <c r="F12" i="113"/>
  <c r="F42" i="91"/>
  <c r="F30" i="91"/>
  <c r="F54" i="91"/>
  <c r="F12" i="95"/>
  <c r="V16" i="91"/>
  <c r="T42" i="91"/>
  <c r="T54" i="91"/>
  <c r="I11" i="113"/>
  <c r="Y7" i="113"/>
  <c r="Y7" i="95"/>
  <c r="D12" i="113"/>
  <c r="V16" i="88"/>
  <c r="D12" i="95"/>
  <c r="F39" i="107"/>
  <c r="V45" i="95"/>
  <c r="N15" i="94"/>
  <c r="R15" i="94"/>
  <c r="S29" i="94" s="1"/>
  <c r="I6" i="113"/>
  <c r="V10" i="94"/>
  <c r="I6" i="95"/>
  <c r="I13" i="102"/>
  <c r="J13" i="102" s="1"/>
  <c r="V10" i="113"/>
  <c r="V10" i="95"/>
  <c r="V14" i="107"/>
  <c r="T40" i="107"/>
  <c r="F40" i="107"/>
  <c r="T52" i="107"/>
  <c r="F49" i="96"/>
  <c r="S14" i="96"/>
  <c r="AA36" i="95"/>
  <c r="AA60" i="95"/>
  <c r="Z20" i="113"/>
  <c r="E26" i="111"/>
  <c r="E38" i="111"/>
  <c r="E50" i="111"/>
  <c r="Z20" i="95"/>
  <c r="S38" i="111"/>
  <c r="S50" i="111"/>
  <c r="T23" i="89"/>
  <c r="L29" i="113"/>
  <c r="L65" i="113" s="1"/>
  <c r="L41" i="113"/>
  <c r="T29" i="93"/>
  <c r="H35" i="113"/>
  <c r="H71" i="113" s="1"/>
  <c r="L15" i="88"/>
  <c r="T15" i="88"/>
  <c r="F53" i="106"/>
  <c r="R12" i="96"/>
  <c r="S26" i="96" s="1"/>
  <c r="U26" i="96" s="1"/>
  <c r="N12" i="96"/>
  <c r="F54" i="100"/>
  <c r="S54" i="95"/>
  <c r="F48" i="106"/>
  <c r="U14" i="91"/>
  <c r="V14" i="91" s="1"/>
  <c r="S11" i="92"/>
  <c r="H11" i="92"/>
  <c r="T10" i="92"/>
  <c r="N53" i="113"/>
  <c r="T47" i="101"/>
  <c r="T26" i="108"/>
  <c r="W32" i="113"/>
  <c r="I13" i="110"/>
  <c r="W10" i="91"/>
  <c r="N10" i="91"/>
  <c r="R10" i="91"/>
  <c r="J14" i="93"/>
  <c r="T14" i="93" s="1"/>
  <c r="Z54" i="95"/>
  <c r="F48" i="111"/>
  <c r="Q21" i="97"/>
  <c r="Q41" i="97" s="1"/>
  <c r="E65" i="95"/>
  <c r="Q31" i="97" s="1"/>
  <c r="T47" i="110"/>
  <c r="R11" i="110"/>
  <c r="S25" i="110" s="1"/>
  <c r="U25" i="110" s="1"/>
  <c r="N11" i="110"/>
  <c r="W11" i="110"/>
  <c r="V11" i="110" s="1"/>
  <c r="F37" i="96"/>
  <c r="S13" i="92"/>
  <c r="T42" i="109"/>
  <c r="F52" i="105"/>
  <c r="T45" i="92"/>
  <c r="G51" i="113"/>
  <c r="T24" i="107"/>
  <c r="V30" i="113"/>
  <c r="V66" i="113" s="1"/>
  <c r="T50" i="101"/>
  <c r="T24" i="89"/>
  <c r="L30" i="113"/>
  <c r="L66" i="113" s="1"/>
  <c r="L42" i="113"/>
  <c r="X22" i="113"/>
  <c r="X22" i="95"/>
  <c r="S40" i="109"/>
  <c r="E40" i="109"/>
  <c r="E28" i="109"/>
  <c r="E52" i="109"/>
  <c r="S52" i="109"/>
  <c r="I15" i="112"/>
  <c r="N14" i="96"/>
  <c r="R14" i="96"/>
  <c r="S28" i="96" s="1"/>
  <c r="V54" i="113"/>
  <c r="T48" i="107"/>
  <c r="N32" i="95"/>
  <c r="N67" i="95" s="1"/>
  <c r="N44" i="95"/>
  <c r="T30" i="102"/>
  <c r="O48" i="113"/>
  <c r="O36" i="113"/>
  <c r="R10" i="94"/>
  <c r="S24" i="94" s="1"/>
  <c r="U24" i="94" s="1"/>
  <c r="N10" i="94"/>
  <c r="T53" i="106"/>
  <c r="S42" i="95"/>
  <c r="S30" i="95"/>
  <c r="S65" i="95" s="1"/>
  <c r="F24" i="106"/>
  <c r="S15" i="92"/>
  <c r="L15" i="92"/>
  <c r="W15" i="92" s="1"/>
  <c r="T42" i="112"/>
  <c r="F23" i="113"/>
  <c r="S41" i="91"/>
  <c r="S53" i="91"/>
  <c r="E41" i="91"/>
  <c r="E53" i="91"/>
  <c r="E29" i="91"/>
  <c r="F23" i="95"/>
  <c r="S29" i="91"/>
  <c r="I16" i="110"/>
  <c r="J16" i="110" s="1"/>
  <c r="K16" i="110" s="1"/>
  <c r="L16" i="110" s="1"/>
  <c r="Z19" i="113"/>
  <c r="E49" i="111"/>
  <c r="F49" i="111" s="1"/>
  <c r="E25" i="111"/>
  <c r="F25" i="111" s="1"/>
  <c r="E37" i="111"/>
  <c r="F37" i="111" s="1"/>
  <c r="Z19" i="95"/>
  <c r="S37" i="111"/>
  <c r="T37" i="111" s="1"/>
  <c r="S49" i="111"/>
  <c r="G18" i="113"/>
  <c r="S36" i="92"/>
  <c r="E48" i="92"/>
  <c r="G18" i="95"/>
  <c r="S16" i="97" s="1"/>
  <c r="E24" i="92"/>
  <c r="E36" i="92"/>
  <c r="S48" i="92"/>
  <c r="W15" i="94"/>
  <c r="F23" i="110"/>
  <c r="Y29" i="95"/>
  <c r="Y64" i="95" s="1"/>
  <c r="T47" i="89"/>
  <c r="S44" i="95"/>
  <c r="S32" i="95"/>
  <c r="S67" i="95" s="1"/>
  <c r="J13" i="112"/>
  <c r="W13" i="112" s="1"/>
  <c r="T13" i="112"/>
  <c r="N10" i="92"/>
  <c r="AA53" i="95"/>
  <c r="AA29" i="95"/>
  <c r="AA64" i="95" s="1"/>
  <c r="F23" i="112"/>
  <c r="F36" i="111"/>
  <c r="Z42" i="95"/>
  <c r="N13" i="92"/>
  <c r="T49" i="96"/>
  <c r="T54" i="109"/>
  <c r="Q20" i="97"/>
  <c r="Q40" i="97" s="1"/>
  <c r="E64" i="95"/>
  <c r="Q30" i="97" s="1"/>
  <c r="R11" i="102"/>
  <c r="S25" i="102" s="1"/>
  <c r="U25" i="102" s="1"/>
  <c r="N11" i="102"/>
  <c r="Z54" i="113"/>
  <c r="T48" i="111"/>
  <c r="H8" i="113"/>
  <c r="T38" i="93"/>
  <c r="V12" i="93"/>
  <c r="F38" i="93"/>
  <c r="T50" i="93"/>
  <c r="H8" i="95"/>
  <c r="F50" i="93"/>
  <c r="F26" i="93"/>
  <c r="F42" i="87"/>
  <c r="F21" i="92"/>
  <c r="G27" i="95"/>
  <c r="V42" i="95"/>
  <c r="F36" i="107"/>
  <c r="T30" i="112"/>
  <c r="AA36" i="113"/>
  <c r="AA72" i="113" s="1"/>
  <c r="AA60" i="113"/>
  <c r="I15" i="89"/>
  <c r="R13" i="93"/>
  <c r="S27" i="93" s="1"/>
  <c r="N13" i="93"/>
  <c r="Q26" i="97"/>
  <c r="Q46" i="97" s="1"/>
  <c r="E65" i="113"/>
  <c r="Q36" i="97" s="1"/>
  <c r="P10" i="113"/>
  <c r="V14" i="103"/>
  <c r="F28" i="103"/>
  <c r="F52" i="103"/>
  <c r="P10" i="95"/>
  <c r="F40" i="103"/>
  <c r="T52" i="103"/>
  <c r="K14" i="110"/>
  <c r="W14" i="110" s="1"/>
  <c r="S14" i="110"/>
  <c r="G11" i="91"/>
  <c r="S11" i="91" s="1"/>
  <c r="I15" i="110"/>
  <c r="F30" i="112"/>
  <c r="T9" i="92"/>
  <c r="F50" i="101"/>
  <c r="O41" i="95"/>
  <c r="O29" i="95"/>
  <c r="O64" i="95" s="1"/>
  <c r="T27" i="87"/>
  <c r="C33" i="113"/>
  <c r="C69" i="113" s="1"/>
  <c r="L54" i="113"/>
  <c r="T48" i="89"/>
  <c r="F39" i="87"/>
  <c r="W10" i="92"/>
  <c r="N53" i="95"/>
  <c r="F47" i="101"/>
  <c r="F23" i="89"/>
  <c r="N9" i="91"/>
  <c r="R9" i="91"/>
  <c r="T24" i="111"/>
  <c r="Z30" i="113"/>
  <c r="Z66" i="113" s="1"/>
  <c r="T28" i="104"/>
  <c r="Q34" i="113"/>
  <c r="Q70" i="113" s="1"/>
  <c r="Q46" i="113"/>
  <c r="T25" i="89"/>
  <c r="L31" i="113"/>
  <c r="L43" i="113"/>
  <c r="F47" i="110"/>
  <c r="S11" i="94"/>
  <c r="S19" i="113"/>
  <c r="S37" i="106"/>
  <c r="S19" i="95"/>
  <c r="E49" i="106"/>
  <c r="G49" i="106" s="1"/>
  <c r="E37" i="106"/>
  <c r="E25" i="106"/>
  <c r="G25" i="106" s="1"/>
  <c r="S49" i="106"/>
  <c r="U49" i="106" s="1"/>
  <c r="N11" i="94"/>
  <c r="R11" i="94"/>
  <c r="S25" i="94" s="1"/>
  <c r="T24" i="87"/>
  <c r="C30" i="113"/>
  <c r="C66" i="113" s="1"/>
  <c r="Z23" i="113"/>
  <c r="Z23" i="95"/>
  <c r="E29" i="111"/>
  <c r="E53" i="111"/>
  <c r="E41" i="111"/>
  <c r="S41" i="111"/>
  <c r="S53" i="111"/>
  <c r="T27" i="100"/>
  <c r="M45" i="113"/>
  <c r="M33" i="113"/>
  <c r="F45" i="92"/>
  <c r="G51" i="95"/>
  <c r="V30" i="95"/>
  <c r="V65" i="95" s="1"/>
  <c r="F24" i="107"/>
  <c r="T26" i="101"/>
  <c r="N32" i="113"/>
  <c r="N68" i="113" s="1"/>
  <c r="N44" i="113"/>
  <c r="O48" i="95"/>
  <c r="O36" i="95"/>
  <c r="T30" i="100"/>
  <c r="M36" i="113"/>
  <c r="M48" i="113"/>
  <c r="N14" i="91"/>
  <c r="R14" i="91"/>
  <c r="P21" i="97"/>
  <c r="P41" i="97" s="1"/>
  <c r="D65" i="95"/>
  <c r="P31" i="97" s="1"/>
  <c r="R41" i="95"/>
  <c r="R29" i="95"/>
  <c r="R64" i="95" s="1"/>
  <c r="F42" i="112"/>
  <c r="W9" i="92"/>
  <c r="F27" i="87"/>
  <c r="F47" i="89"/>
  <c r="T28" i="112"/>
  <c r="AA58" i="113"/>
  <c r="AA34" i="113"/>
  <c r="AA70" i="113" s="1"/>
  <c r="T23" i="112"/>
  <c r="AA29" i="113"/>
  <c r="AA65" i="113" s="1"/>
  <c r="AA53" i="113"/>
  <c r="T50" i="108"/>
  <c r="F24" i="111"/>
  <c r="Z30" i="95"/>
  <c r="Z65" i="95" s="1"/>
  <c r="F35" i="110"/>
  <c r="M45" i="95"/>
  <c r="M33" i="95"/>
  <c r="N14" i="99"/>
  <c r="R14" i="99"/>
  <c r="S28" i="99" s="1"/>
  <c r="T37" i="96"/>
  <c r="T14" i="96"/>
  <c r="F30" i="109"/>
  <c r="G21" i="113"/>
  <c r="E51" i="92"/>
  <c r="G21" i="95"/>
  <c r="S39" i="92"/>
  <c r="E39" i="92"/>
  <c r="E27" i="92"/>
  <c r="S51" i="92"/>
  <c r="D24" i="113"/>
  <c r="E30" i="88"/>
  <c r="D24" i="95"/>
  <c r="E54" i="88"/>
  <c r="S54" i="88"/>
  <c r="S42" i="88"/>
  <c r="E42" i="88"/>
  <c r="S30" i="88"/>
  <c r="U30" i="88" s="1"/>
  <c r="T27" i="107"/>
  <c r="V33" i="113"/>
  <c r="S47" i="95"/>
  <c r="S35" i="95"/>
  <c r="F12" i="92"/>
  <c r="G12" i="92" s="1"/>
  <c r="H12" i="92" s="1"/>
  <c r="I12" i="92" s="1"/>
  <c r="T25" i="96"/>
  <c r="J31" i="113"/>
  <c r="U12" i="111"/>
  <c r="U26" i="111" s="1"/>
  <c r="X71" i="113"/>
  <c r="T28" i="105"/>
  <c r="R34" i="113"/>
  <c r="R46" i="113"/>
  <c r="D22" i="113"/>
  <c r="E28" i="88"/>
  <c r="G28" i="88" s="1"/>
  <c r="D22" i="95"/>
  <c r="S40" i="88"/>
  <c r="U40" i="88" s="1"/>
  <c r="E52" i="88"/>
  <c r="G52" i="88" s="1"/>
  <c r="E40" i="88"/>
  <c r="G40" i="88" s="1"/>
  <c r="S52" i="88"/>
  <c r="U52" i="88" s="1"/>
  <c r="S28" i="88"/>
  <c r="U28" i="88" s="1"/>
  <c r="T24" i="106"/>
  <c r="S30" i="113"/>
  <c r="S66" i="113" s="1"/>
  <c r="S42" i="113"/>
  <c r="H12" i="94"/>
  <c r="I12" i="94" s="1"/>
  <c r="S13" i="91"/>
  <c r="E21" i="113"/>
  <c r="E21" i="95"/>
  <c r="E51" i="90"/>
  <c r="G51" i="90" s="1"/>
  <c r="E27" i="90"/>
  <c r="G27" i="90" s="1"/>
  <c r="S27" i="90"/>
  <c r="U27" i="90" s="1"/>
  <c r="E39" i="90"/>
  <c r="G39" i="90" s="1"/>
  <c r="S39" i="90"/>
  <c r="U39" i="90" s="1"/>
  <c r="S51" i="90"/>
  <c r="U51" i="90" s="1"/>
  <c r="G17" i="113"/>
  <c r="S35" i="92"/>
  <c r="E47" i="92"/>
  <c r="E23" i="92"/>
  <c r="E35" i="92"/>
  <c r="G17" i="95"/>
  <c r="S15" i="97" s="1"/>
  <c r="S47" i="92"/>
  <c r="O47" i="95"/>
  <c r="O35" i="95"/>
  <c r="O70" i="95" s="1"/>
  <c r="U25" i="97"/>
  <c r="U45" i="97" s="1"/>
  <c r="I64" i="113"/>
  <c r="U35" i="97" s="1"/>
  <c r="T23" i="102"/>
  <c r="O29" i="113"/>
  <c r="O65" i="113" s="1"/>
  <c r="O41" i="113"/>
  <c r="O12" i="113"/>
  <c r="T54" i="102"/>
  <c r="O12" i="95"/>
  <c r="V16" i="102"/>
  <c r="F42" i="102"/>
  <c r="F54" i="102"/>
  <c r="F30" i="102"/>
  <c r="L42" i="95"/>
  <c r="F24" i="89"/>
  <c r="T23" i="110"/>
  <c r="Y29" i="113"/>
  <c r="Y65" i="113" s="1"/>
  <c r="N29" i="95"/>
  <c r="N64" i="95" s="1"/>
  <c r="N41" i="95"/>
  <c r="F23" i="101"/>
  <c r="T27" i="103"/>
  <c r="P33" i="113"/>
  <c r="P69" i="113" s="1"/>
  <c r="P45" i="113"/>
  <c r="AA41" i="113"/>
  <c r="T35" i="112"/>
  <c r="T38" i="108"/>
  <c r="T30" i="109"/>
  <c r="X36" i="113"/>
  <c r="T30" i="91"/>
  <c r="F36" i="113"/>
  <c r="F54" i="109"/>
  <c r="S54" i="113"/>
  <c r="T48" i="106"/>
  <c r="I10" i="113"/>
  <c r="V14" i="94"/>
  <c r="I10" i="95"/>
  <c r="P46" i="95"/>
  <c r="P34" i="95"/>
  <c r="F33" i="92"/>
  <c r="G39" i="95"/>
  <c r="I17" i="113"/>
  <c r="S35" i="94"/>
  <c r="U35" i="94" s="1"/>
  <c r="I17" i="95"/>
  <c r="U15" i="97" s="1"/>
  <c r="E47" i="94"/>
  <c r="G47" i="94" s="1"/>
  <c r="E35" i="94"/>
  <c r="G35" i="94" s="1"/>
  <c r="E23" i="94"/>
  <c r="G23" i="94" s="1"/>
  <c r="S47" i="94"/>
  <c r="U47" i="94" s="1"/>
  <c r="U18" i="113"/>
  <c r="S36" i="99"/>
  <c r="U18" i="95"/>
  <c r="E48" i="99"/>
  <c r="G48" i="99" s="1"/>
  <c r="E36" i="99"/>
  <c r="E24" i="99"/>
  <c r="G24" i="99" s="1"/>
  <c r="S48" i="99"/>
  <c r="U48" i="99" s="1"/>
  <c r="N18" i="113"/>
  <c r="S36" i="101"/>
  <c r="E24" i="101"/>
  <c r="G24" i="101" s="1"/>
  <c r="E36" i="101"/>
  <c r="E48" i="101"/>
  <c r="G48" i="101" s="1"/>
  <c r="N18" i="95"/>
  <c r="S48" i="101"/>
  <c r="U48" i="101" s="1"/>
  <c r="T33" i="92"/>
  <c r="G39" i="113"/>
  <c r="T13" i="92"/>
  <c r="V54" i="95"/>
  <c r="F48" i="107"/>
  <c r="T51" i="107"/>
  <c r="M48" i="95"/>
  <c r="M36" i="95"/>
  <c r="N13" i="91"/>
  <c r="R13" i="91"/>
  <c r="R46" i="95"/>
  <c r="R34" i="95"/>
  <c r="T54" i="100"/>
  <c r="T47" i="105"/>
  <c r="F16" i="92"/>
  <c r="M20" i="113"/>
  <c r="E26" i="100"/>
  <c r="E38" i="100"/>
  <c r="M20" i="95"/>
  <c r="S38" i="100"/>
  <c r="E50" i="100"/>
  <c r="S50" i="100"/>
  <c r="L54" i="95"/>
  <c r="F48" i="89"/>
  <c r="T51" i="87"/>
  <c r="W11" i="102"/>
  <c r="V11" i="102" s="1"/>
  <c r="C22" i="113"/>
  <c r="E52" i="87"/>
  <c r="E28" i="87"/>
  <c r="C22" i="95"/>
  <c r="E40" i="87"/>
  <c r="S28" i="87"/>
  <c r="S40" i="87"/>
  <c r="S52" i="87"/>
  <c r="Z7" i="113"/>
  <c r="Z7" i="95"/>
  <c r="V11" i="111"/>
  <c r="T28" i="103"/>
  <c r="P34" i="113"/>
  <c r="P46" i="113"/>
  <c r="T26" i="106"/>
  <c r="S44" i="113"/>
  <c r="S32" i="113"/>
  <c r="S68" i="113" s="1"/>
  <c r="F14" i="92"/>
  <c r="R11" i="105"/>
  <c r="S25" i="105" s="1"/>
  <c r="N11" i="105"/>
  <c r="P45" i="95"/>
  <c r="P33" i="95"/>
  <c r="P68" i="95" s="1"/>
  <c r="M16" i="101"/>
  <c r="T16" i="101"/>
  <c r="T22" i="91"/>
  <c r="F28" i="113"/>
  <c r="R25" i="97" s="1"/>
  <c r="Z42" i="113"/>
  <c r="T36" i="111"/>
  <c r="T35" i="110"/>
  <c r="T12" i="99"/>
  <c r="W9" i="91"/>
  <c r="S16" i="101"/>
  <c r="T28" i="107"/>
  <c r="V34" i="113"/>
  <c r="T29" i="102"/>
  <c r="O47" i="113"/>
  <c r="O35" i="113"/>
  <c r="O71" i="113" s="1"/>
  <c r="I22" i="113"/>
  <c r="E52" i="94"/>
  <c r="E28" i="94"/>
  <c r="I22" i="95"/>
  <c r="E40" i="94"/>
  <c r="S40" i="94"/>
  <c r="S52" i="94"/>
  <c r="T26" i="93"/>
  <c r="H32" i="113"/>
  <c r="G4" i="113"/>
  <c r="V8" i="92"/>
  <c r="G4" i="95"/>
  <c r="AA41" i="95"/>
  <c r="F35" i="112"/>
  <c r="T27" i="94"/>
  <c r="I33" i="113"/>
  <c r="I69" i="113" s="1"/>
  <c r="H11" i="87"/>
  <c r="T11" i="87"/>
  <c r="S11" i="87"/>
  <c r="T11" i="94"/>
  <c r="T21" i="92"/>
  <c r="G27" i="113"/>
  <c r="S24" i="97" s="1"/>
  <c r="S44" i="97" s="1"/>
  <c r="W13" i="92"/>
  <c r="N12" i="99"/>
  <c r="R12" i="99"/>
  <c r="S26" i="99" s="1"/>
  <c r="V42" i="113"/>
  <c r="T36" i="107"/>
  <c r="X19" i="113"/>
  <c r="S37" i="109"/>
  <c r="U37" i="109" s="1"/>
  <c r="S49" i="109"/>
  <c r="U49" i="109" s="1"/>
  <c r="E49" i="109"/>
  <c r="G49" i="109" s="1"/>
  <c r="E25" i="109"/>
  <c r="G25" i="109" s="1"/>
  <c r="E37" i="109"/>
  <c r="G37" i="109" s="1"/>
  <c r="X19" i="95"/>
  <c r="F51" i="107"/>
  <c r="T29" i="106"/>
  <c r="S35" i="113"/>
  <c r="S47" i="113"/>
  <c r="R8" i="92"/>
  <c r="S22" i="92" s="1"/>
  <c r="U22" i="92" s="1"/>
  <c r="I14" i="89"/>
  <c r="T30" i="87"/>
  <c r="C36" i="113"/>
  <c r="C72" i="113" s="1"/>
  <c r="T23" i="105"/>
  <c r="R29" i="113"/>
  <c r="R65" i="113" s="1"/>
  <c r="R41" i="113"/>
  <c r="T11" i="92"/>
  <c r="W11" i="94"/>
  <c r="T39" i="87"/>
  <c r="O7" i="113"/>
  <c r="O7" i="95"/>
  <c r="T23" i="101"/>
  <c r="N29" i="113"/>
  <c r="N65" i="113" s="1"/>
  <c r="N41" i="113"/>
  <c r="T40" i="103"/>
  <c r="AA34" i="95"/>
  <c r="AA69" i="95" s="1"/>
  <c r="AA58" i="95"/>
  <c r="F50" i="108"/>
  <c r="Q46" i="95"/>
  <c r="Q34" i="95"/>
  <c r="F32" i="113"/>
  <c r="U19" i="113"/>
  <c r="E49" i="99"/>
  <c r="G49" i="99" s="1"/>
  <c r="E37" i="99"/>
  <c r="E25" i="99"/>
  <c r="G25" i="99" s="1"/>
  <c r="U19" i="95"/>
  <c r="S37" i="99"/>
  <c r="S49" i="99"/>
  <c r="U49" i="99" s="1"/>
  <c r="U19" i="97"/>
  <c r="U39" i="97" s="1"/>
  <c r="I63" i="95"/>
  <c r="U29" i="97" s="1"/>
  <c r="F25" i="96"/>
  <c r="T13" i="93"/>
  <c r="W13" i="91"/>
  <c r="W11" i="105"/>
  <c r="S10" i="92"/>
  <c r="U52" i="107" l="1"/>
  <c r="F52" i="107"/>
  <c r="G28" i="107"/>
  <c r="G52" i="107"/>
  <c r="V34" i="95"/>
  <c r="V69" i="95" s="1"/>
  <c r="R15" i="107"/>
  <c r="S29" i="107" s="1"/>
  <c r="S15" i="107"/>
  <c r="W15" i="107"/>
  <c r="T15" i="107"/>
  <c r="E16" i="107"/>
  <c r="R69" i="95"/>
  <c r="AA71" i="95"/>
  <c r="R70" i="113"/>
  <c r="M8" i="113"/>
  <c r="X71" i="95"/>
  <c r="Q69" i="95"/>
  <c r="S70" i="95"/>
  <c r="X72" i="113"/>
  <c r="V14" i="87"/>
  <c r="U26" i="100"/>
  <c r="F40" i="113"/>
  <c r="I68" i="95"/>
  <c r="U34" i="91"/>
  <c r="F46" i="91"/>
  <c r="C25" i="32"/>
  <c r="G25" i="32" s="1"/>
  <c r="G28" i="32" s="1"/>
  <c r="M68" i="95"/>
  <c r="F22" i="91"/>
  <c r="O10" i="97"/>
  <c r="O40" i="97" s="1"/>
  <c r="V15" i="111"/>
  <c r="V15" i="94"/>
  <c r="U29" i="94"/>
  <c r="G22" i="91"/>
  <c r="G26" i="100"/>
  <c r="C10" i="113"/>
  <c r="U46" i="91"/>
  <c r="G46" i="91"/>
  <c r="M8" i="95"/>
  <c r="W68" i="113"/>
  <c r="F52" i="113"/>
  <c r="U28" i="87"/>
  <c r="V69" i="113"/>
  <c r="U29" i="111"/>
  <c r="Z11" i="95"/>
  <c r="C68" i="95"/>
  <c r="C65" i="113"/>
  <c r="O36" i="97" s="1"/>
  <c r="S71" i="113"/>
  <c r="V68" i="95"/>
  <c r="F6" i="95"/>
  <c r="R11" i="97" s="1"/>
  <c r="V10" i="91"/>
  <c r="M69" i="113"/>
  <c r="J67" i="113"/>
  <c r="O72" i="113"/>
  <c r="J66" i="95"/>
  <c r="F5" i="95"/>
  <c r="R10" i="97" s="1"/>
  <c r="U50" i="91"/>
  <c r="V9" i="91"/>
  <c r="W67" i="95"/>
  <c r="L67" i="113"/>
  <c r="W13" i="102"/>
  <c r="C71" i="95"/>
  <c r="V14" i="109"/>
  <c r="T13" i="102"/>
  <c r="C65" i="95"/>
  <c r="O31" i="97" s="1"/>
  <c r="X10" i="95"/>
  <c r="O41" i="97"/>
  <c r="X10" i="113"/>
  <c r="F28" i="109"/>
  <c r="M72" i="113"/>
  <c r="U12" i="99"/>
  <c r="V12" i="99" s="1"/>
  <c r="M71" i="95"/>
  <c r="T50" i="91"/>
  <c r="F38" i="91"/>
  <c r="G38" i="91"/>
  <c r="V12" i="91"/>
  <c r="G26" i="91"/>
  <c r="U26" i="91"/>
  <c r="F50" i="91"/>
  <c r="T38" i="91"/>
  <c r="G50" i="91"/>
  <c r="U38" i="91"/>
  <c r="F26" i="91"/>
  <c r="F8" i="113"/>
  <c r="F68" i="113" s="1"/>
  <c r="F8" i="95"/>
  <c r="F67" i="95" s="1"/>
  <c r="U9" i="92"/>
  <c r="U23" i="92" s="1"/>
  <c r="U13" i="93"/>
  <c r="H9" i="113" s="1"/>
  <c r="T40" i="109"/>
  <c r="U14" i="99"/>
  <c r="U28" i="99" s="1"/>
  <c r="T52" i="109"/>
  <c r="H67" i="95"/>
  <c r="F52" i="109"/>
  <c r="U14" i="110"/>
  <c r="Y10" i="95" s="1"/>
  <c r="U13" i="91"/>
  <c r="F9" i="113" s="1"/>
  <c r="R39" i="97"/>
  <c r="R45" i="97"/>
  <c r="F41" i="91"/>
  <c r="F53" i="91"/>
  <c r="U29" i="91"/>
  <c r="T41" i="91"/>
  <c r="U11" i="92"/>
  <c r="G7" i="113" s="1"/>
  <c r="U15" i="88"/>
  <c r="D11" i="113" s="1"/>
  <c r="U15" i="92"/>
  <c r="G11" i="95" s="1"/>
  <c r="U11" i="87"/>
  <c r="C7" i="113" s="1"/>
  <c r="F63" i="95"/>
  <c r="R29" i="97" s="1"/>
  <c r="F29" i="91"/>
  <c r="U13" i="112"/>
  <c r="AA9" i="113" s="1"/>
  <c r="G54" i="95"/>
  <c r="T36" i="99"/>
  <c r="U36" i="99"/>
  <c r="D36" i="95"/>
  <c r="D71" i="95" s="1"/>
  <c r="G30" i="88"/>
  <c r="Z47" i="113"/>
  <c r="U41" i="111"/>
  <c r="G30" i="95"/>
  <c r="S21" i="97" s="1"/>
  <c r="F37" i="99"/>
  <c r="G37" i="99"/>
  <c r="I46" i="95"/>
  <c r="G40" i="94"/>
  <c r="C46" i="95"/>
  <c r="G40" i="87"/>
  <c r="T36" i="101"/>
  <c r="U36" i="101"/>
  <c r="F11" i="95"/>
  <c r="G41" i="95"/>
  <c r="Z47" i="95"/>
  <c r="G41" i="111"/>
  <c r="Z31" i="95"/>
  <c r="Z66" i="95" s="1"/>
  <c r="G25" i="111"/>
  <c r="F47" i="95"/>
  <c r="G41" i="91"/>
  <c r="Z32" i="95"/>
  <c r="G26" i="111"/>
  <c r="F71" i="95"/>
  <c r="G57" i="113"/>
  <c r="G53" i="95"/>
  <c r="T12" i="92"/>
  <c r="D48" i="95"/>
  <c r="G42" i="88"/>
  <c r="G33" i="95"/>
  <c r="Z35" i="95"/>
  <c r="G29" i="111"/>
  <c r="G42" i="113"/>
  <c r="F47" i="113"/>
  <c r="U41" i="91"/>
  <c r="X58" i="95"/>
  <c r="G52" i="109"/>
  <c r="G29" i="95"/>
  <c r="S20" i="97" s="1"/>
  <c r="U10" i="92"/>
  <c r="U24" i="92" s="1"/>
  <c r="I34" i="95"/>
  <c r="I69" i="95" s="1"/>
  <c r="G28" i="94"/>
  <c r="C34" i="95"/>
  <c r="C69" i="95" s="1"/>
  <c r="G28" i="87"/>
  <c r="M56" i="95"/>
  <c r="G50" i="100"/>
  <c r="V11" i="105"/>
  <c r="I58" i="95"/>
  <c r="G52" i="94"/>
  <c r="C58" i="95"/>
  <c r="G52" i="87"/>
  <c r="T38" i="100"/>
  <c r="U38" i="100"/>
  <c r="T53" i="91"/>
  <c r="O71" i="95"/>
  <c r="G41" i="113"/>
  <c r="S12" i="92"/>
  <c r="D48" i="113"/>
  <c r="U42" i="88"/>
  <c r="G45" i="95"/>
  <c r="F37" i="106"/>
  <c r="G37" i="106"/>
  <c r="X34" i="95"/>
  <c r="G28" i="109"/>
  <c r="Z56" i="113"/>
  <c r="U50" i="111"/>
  <c r="F36" i="99"/>
  <c r="G36" i="99"/>
  <c r="D60" i="113"/>
  <c r="U54" i="88"/>
  <c r="Z55" i="113"/>
  <c r="U49" i="111"/>
  <c r="X46" i="95"/>
  <c r="G40" i="109"/>
  <c r="Z44" i="113"/>
  <c r="U38" i="111"/>
  <c r="F59" i="113"/>
  <c r="U53" i="91"/>
  <c r="G45" i="113"/>
  <c r="T37" i="99"/>
  <c r="U37" i="99"/>
  <c r="U25" i="105"/>
  <c r="T49" i="111"/>
  <c r="C58" i="113"/>
  <c r="U52" i="87"/>
  <c r="F38" i="100"/>
  <c r="G38" i="100"/>
  <c r="V15" i="91"/>
  <c r="D60" i="95"/>
  <c r="G54" i="88"/>
  <c r="F40" i="109"/>
  <c r="G54" i="113"/>
  <c r="Z43" i="113"/>
  <c r="U37" i="111"/>
  <c r="R7" i="113"/>
  <c r="X46" i="113"/>
  <c r="U40" i="109"/>
  <c r="Z59" i="95"/>
  <c r="G53" i="111"/>
  <c r="Z55" i="95"/>
  <c r="G49" i="111"/>
  <c r="I58" i="113"/>
  <c r="U52" i="94"/>
  <c r="C46" i="113"/>
  <c r="U40" i="87"/>
  <c r="F36" i="101"/>
  <c r="G36" i="101"/>
  <c r="G53" i="113"/>
  <c r="G57" i="95"/>
  <c r="Z59" i="113"/>
  <c r="U53" i="111"/>
  <c r="T37" i="106"/>
  <c r="U37" i="106"/>
  <c r="G42" i="95"/>
  <c r="F35" i="95"/>
  <c r="G29" i="91"/>
  <c r="Z56" i="95"/>
  <c r="G50" i="111"/>
  <c r="M56" i="113"/>
  <c r="U50" i="100"/>
  <c r="X58" i="113"/>
  <c r="U52" i="109"/>
  <c r="I46" i="113"/>
  <c r="U40" i="94"/>
  <c r="Z43" i="95"/>
  <c r="G37" i="111"/>
  <c r="F59" i="95"/>
  <c r="G53" i="91"/>
  <c r="Z44" i="95"/>
  <c r="G38" i="111"/>
  <c r="I41" i="113"/>
  <c r="T35" i="94"/>
  <c r="G33" i="113"/>
  <c r="F22" i="113"/>
  <c r="S40" i="91"/>
  <c r="T40" i="91" s="1"/>
  <c r="S52" i="91"/>
  <c r="T52" i="91" s="1"/>
  <c r="F22" i="95"/>
  <c r="E40" i="91"/>
  <c r="F40" i="91" s="1"/>
  <c r="E52" i="91"/>
  <c r="F52" i="91" s="1"/>
  <c r="E28" i="91"/>
  <c r="F28" i="91" s="1"/>
  <c r="S28" i="91"/>
  <c r="U28" i="91" s="1"/>
  <c r="S55" i="113"/>
  <c r="T49" i="106"/>
  <c r="U11" i="94"/>
  <c r="U25" i="94" s="1"/>
  <c r="J15" i="110"/>
  <c r="K15" i="110" s="1"/>
  <c r="F50" i="100"/>
  <c r="P69" i="95"/>
  <c r="T53" i="111"/>
  <c r="F64" i="113"/>
  <c r="R35" i="97" s="1"/>
  <c r="I23" i="113"/>
  <c r="I23" i="95"/>
  <c r="E53" i="94"/>
  <c r="G53" i="94" s="1"/>
  <c r="E29" i="94"/>
  <c r="G29" i="94" s="1"/>
  <c r="E41" i="94"/>
  <c r="G41" i="94" s="1"/>
  <c r="S41" i="94"/>
  <c r="U41" i="94" s="1"/>
  <c r="S53" i="94"/>
  <c r="U53" i="94" s="1"/>
  <c r="F30" i="88"/>
  <c r="U55" i="95"/>
  <c r="F49" i="99"/>
  <c r="R16" i="101"/>
  <c r="S30" i="101" s="1"/>
  <c r="N16" i="101"/>
  <c r="W16" i="101"/>
  <c r="T28" i="87"/>
  <c r="C34" i="113"/>
  <c r="M44" i="95"/>
  <c r="M32" i="95"/>
  <c r="T24" i="101"/>
  <c r="N30" i="113"/>
  <c r="N66" i="113" s="1"/>
  <c r="N42" i="113"/>
  <c r="T24" i="99"/>
  <c r="U42" i="113"/>
  <c r="U30" i="113"/>
  <c r="U66" i="113" s="1"/>
  <c r="T23" i="94"/>
  <c r="I29" i="113"/>
  <c r="E57" i="113"/>
  <c r="T51" i="90"/>
  <c r="T28" i="88"/>
  <c r="D34" i="113"/>
  <c r="D70" i="113" s="1"/>
  <c r="S43" i="95"/>
  <c r="S31" i="95"/>
  <c r="S66" i="95" s="1"/>
  <c r="F25" i="106"/>
  <c r="H21" i="113"/>
  <c r="H21" i="95"/>
  <c r="E27" i="93"/>
  <c r="E51" i="93"/>
  <c r="S39" i="93"/>
  <c r="S51" i="93"/>
  <c r="E39" i="93"/>
  <c r="T41" i="111"/>
  <c r="O19" i="113"/>
  <c r="S37" i="102"/>
  <c r="O19" i="95"/>
  <c r="E37" i="102"/>
  <c r="E49" i="102"/>
  <c r="G49" i="102" s="1"/>
  <c r="E25" i="102"/>
  <c r="G25" i="102" s="1"/>
  <c r="S49" i="102"/>
  <c r="U49" i="102" s="1"/>
  <c r="G30" i="113"/>
  <c r="G63" i="113"/>
  <c r="S34" i="97" s="1"/>
  <c r="U14" i="96"/>
  <c r="U28" i="96" s="1"/>
  <c r="U11" i="97"/>
  <c r="X43" i="95"/>
  <c r="F37" i="109"/>
  <c r="T52" i="94"/>
  <c r="E45" i="113"/>
  <c r="T39" i="90"/>
  <c r="S12" i="94"/>
  <c r="D58" i="113"/>
  <c r="T52" i="88"/>
  <c r="N12" i="92"/>
  <c r="R12" i="92"/>
  <c r="S26" i="92" s="1"/>
  <c r="U22" i="113"/>
  <c r="E28" i="99"/>
  <c r="U22" i="95"/>
  <c r="E40" i="99"/>
  <c r="E52" i="99"/>
  <c r="S40" i="99"/>
  <c r="S52" i="99"/>
  <c r="F29" i="111"/>
  <c r="I18" i="113"/>
  <c r="S36" i="94"/>
  <c r="U36" i="94" s="1"/>
  <c r="E48" i="94"/>
  <c r="G48" i="94" s="1"/>
  <c r="I18" i="95"/>
  <c r="U16" i="97" s="1"/>
  <c r="E36" i="94"/>
  <c r="G36" i="94" s="1"/>
  <c r="E24" i="94"/>
  <c r="G24" i="94" s="1"/>
  <c r="S48" i="94"/>
  <c r="U48" i="94" s="1"/>
  <c r="J22" i="113"/>
  <c r="S40" i="96"/>
  <c r="S52" i="96"/>
  <c r="J22" i="95"/>
  <c r="E52" i="96"/>
  <c r="E28" i="96"/>
  <c r="E40" i="96"/>
  <c r="U13" i="92"/>
  <c r="G39" i="92" s="1"/>
  <c r="J13" i="110"/>
  <c r="S13" i="110"/>
  <c r="T13" i="110"/>
  <c r="R11" i="92"/>
  <c r="S25" i="92" s="1"/>
  <c r="N11" i="92"/>
  <c r="W11" i="92"/>
  <c r="V70" i="113"/>
  <c r="T25" i="99"/>
  <c r="U43" i="113"/>
  <c r="U31" i="113"/>
  <c r="U67" i="113" s="1"/>
  <c r="J14" i="89"/>
  <c r="T14" i="89" s="1"/>
  <c r="G16" i="113"/>
  <c r="S34" i="92"/>
  <c r="U34" i="92" s="1"/>
  <c r="E22" i="92"/>
  <c r="G22" i="92" s="1"/>
  <c r="E46" i="92"/>
  <c r="G46" i="92" s="1"/>
  <c r="G16" i="95"/>
  <c r="S14" i="97" s="1"/>
  <c r="E34" i="92"/>
  <c r="G34" i="92" s="1"/>
  <c r="S46" i="92"/>
  <c r="U46" i="92" s="1"/>
  <c r="F25" i="109"/>
  <c r="X31" i="95"/>
  <c r="X66" i="95" s="1"/>
  <c r="U20" i="113"/>
  <c r="E38" i="99"/>
  <c r="E26" i="99"/>
  <c r="U20" i="95"/>
  <c r="E50" i="99"/>
  <c r="S38" i="99"/>
  <c r="S50" i="99"/>
  <c r="N54" i="113"/>
  <c r="T48" i="101"/>
  <c r="U54" i="113"/>
  <c r="T48" i="99"/>
  <c r="I53" i="113"/>
  <c r="T47" i="94"/>
  <c r="T40" i="94"/>
  <c r="E45" i="95"/>
  <c r="F39" i="90"/>
  <c r="T12" i="94"/>
  <c r="D46" i="95"/>
  <c r="F40" i="88"/>
  <c r="S55" i="95"/>
  <c r="F49" i="106"/>
  <c r="H11" i="91"/>
  <c r="T11" i="91"/>
  <c r="U11" i="91" s="1"/>
  <c r="F26" i="100"/>
  <c r="F41" i="111"/>
  <c r="T52" i="87"/>
  <c r="J20" i="113"/>
  <c r="S38" i="96"/>
  <c r="U38" i="96" s="1"/>
  <c r="J20" i="95"/>
  <c r="E26" i="96"/>
  <c r="G26" i="96" s="1"/>
  <c r="E38" i="96"/>
  <c r="G38" i="96" s="1"/>
  <c r="E50" i="96"/>
  <c r="G50" i="96" s="1"/>
  <c r="S50" i="96"/>
  <c r="U50" i="96" s="1"/>
  <c r="S13" i="102"/>
  <c r="U55" i="113"/>
  <c r="T49" i="99"/>
  <c r="N11" i="87"/>
  <c r="R11" i="87"/>
  <c r="U42" i="95"/>
  <c r="U30" i="95"/>
  <c r="U65" i="95" s="1"/>
  <c r="F24" i="99"/>
  <c r="I29" i="95"/>
  <c r="F23" i="94"/>
  <c r="F28" i="94"/>
  <c r="T27" i="90"/>
  <c r="E33" i="113"/>
  <c r="E69" i="113" s="1"/>
  <c r="N12" i="94"/>
  <c r="R12" i="94"/>
  <c r="S26" i="94" s="1"/>
  <c r="D58" i="95"/>
  <c r="F52" i="88"/>
  <c r="T29" i="111"/>
  <c r="Z35" i="113"/>
  <c r="Z71" i="113" s="1"/>
  <c r="P70" i="113"/>
  <c r="J15" i="89"/>
  <c r="K15" i="89" s="1"/>
  <c r="L15" i="89" s="1"/>
  <c r="T40" i="87"/>
  <c r="N13" i="102"/>
  <c r="R13" i="102"/>
  <c r="S27" i="102" s="1"/>
  <c r="T54" i="88"/>
  <c r="W11" i="87"/>
  <c r="X55" i="95"/>
  <c r="F49" i="109"/>
  <c r="X55" i="113"/>
  <c r="T49" i="109"/>
  <c r="S9" i="97"/>
  <c r="R19" i="113"/>
  <c r="R19" i="95"/>
  <c r="E49" i="105"/>
  <c r="G49" i="105" s="1"/>
  <c r="E37" i="105"/>
  <c r="E25" i="105"/>
  <c r="G25" i="105" s="1"/>
  <c r="S37" i="105"/>
  <c r="S49" i="105"/>
  <c r="U49" i="105" s="1"/>
  <c r="T26" i="100"/>
  <c r="M32" i="113"/>
  <c r="M44" i="113"/>
  <c r="N54" i="95"/>
  <c r="F48" i="101"/>
  <c r="I41" i="95"/>
  <c r="F35" i="94"/>
  <c r="G31" i="32"/>
  <c r="F52" i="94"/>
  <c r="E33" i="95"/>
  <c r="E68" i="95" s="1"/>
  <c r="F27" i="90"/>
  <c r="D46" i="113"/>
  <c r="T40" i="88"/>
  <c r="Z8" i="113"/>
  <c r="F26" i="111"/>
  <c r="Z8" i="95"/>
  <c r="F38" i="111"/>
  <c r="V12" i="111"/>
  <c r="F50" i="111"/>
  <c r="T38" i="111"/>
  <c r="T50" i="111"/>
  <c r="T25" i="106"/>
  <c r="S43" i="113"/>
  <c r="S31" i="113"/>
  <c r="S67" i="113" s="1"/>
  <c r="F53" i="111"/>
  <c r="H68" i="113"/>
  <c r="R13" i="112"/>
  <c r="S27" i="112" s="1"/>
  <c r="N13" i="112"/>
  <c r="T25" i="111"/>
  <c r="Z31" i="113"/>
  <c r="Z67" i="113" s="1"/>
  <c r="M16" i="110"/>
  <c r="S16" i="110"/>
  <c r="J15" i="112"/>
  <c r="K14" i="93"/>
  <c r="S14" i="93"/>
  <c r="U14" i="93" s="1"/>
  <c r="F28" i="87"/>
  <c r="T42" i="88"/>
  <c r="T16" i="110"/>
  <c r="U16" i="101"/>
  <c r="G16" i="92"/>
  <c r="F21" i="113"/>
  <c r="S39" i="91"/>
  <c r="E39" i="91"/>
  <c r="F21" i="95"/>
  <c r="E27" i="91"/>
  <c r="E51" i="91"/>
  <c r="S51" i="91"/>
  <c r="S27" i="91"/>
  <c r="U54" i="95"/>
  <c r="F48" i="99"/>
  <c r="I53" i="95"/>
  <c r="F47" i="94"/>
  <c r="F40" i="94"/>
  <c r="E57" i="95"/>
  <c r="F51" i="90"/>
  <c r="I19" i="113"/>
  <c r="E37" i="94"/>
  <c r="E25" i="94"/>
  <c r="S37" i="94"/>
  <c r="E49" i="94"/>
  <c r="I19" i="95"/>
  <c r="S49" i="94"/>
  <c r="F17" i="113"/>
  <c r="S35" i="91"/>
  <c r="U35" i="91" s="1"/>
  <c r="S23" i="91"/>
  <c r="U23" i="91" s="1"/>
  <c r="E35" i="91"/>
  <c r="G35" i="91" s="1"/>
  <c r="E23" i="91"/>
  <c r="G23" i="91" s="1"/>
  <c r="E47" i="91"/>
  <c r="G47" i="91" s="1"/>
  <c r="F17" i="95"/>
  <c r="R15" i="97" s="1"/>
  <c r="S47" i="91"/>
  <c r="U47" i="91" s="1"/>
  <c r="R14" i="110"/>
  <c r="S28" i="110" s="1"/>
  <c r="N14" i="110"/>
  <c r="T29" i="91"/>
  <c r="F35" i="113"/>
  <c r="F71" i="113" s="1"/>
  <c r="T28" i="109"/>
  <c r="X34" i="113"/>
  <c r="Y19" i="113"/>
  <c r="S37" i="110"/>
  <c r="U37" i="110" s="1"/>
  <c r="Y19" i="95"/>
  <c r="E25" i="110"/>
  <c r="G25" i="110" s="1"/>
  <c r="E37" i="110"/>
  <c r="G37" i="110" s="1"/>
  <c r="E49" i="110"/>
  <c r="G49" i="110" s="1"/>
  <c r="S49" i="110"/>
  <c r="U49" i="110" s="1"/>
  <c r="F18" i="113"/>
  <c r="S36" i="91"/>
  <c r="U36" i="91" s="1"/>
  <c r="S24" i="91"/>
  <c r="U24" i="91" s="1"/>
  <c r="E24" i="91"/>
  <c r="G24" i="91" s="1"/>
  <c r="E36" i="91"/>
  <c r="G36" i="91" s="1"/>
  <c r="F18" i="95"/>
  <c r="R16" i="97" s="1"/>
  <c r="E48" i="91"/>
  <c r="G48" i="91" s="1"/>
  <c r="S48" i="91"/>
  <c r="U48" i="91" s="1"/>
  <c r="F40" i="87"/>
  <c r="F10" i="113"/>
  <c r="F10" i="95"/>
  <c r="N15" i="88"/>
  <c r="R15" i="88"/>
  <c r="W15" i="88"/>
  <c r="T26" i="111"/>
  <c r="Z32" i="113"/>
  <c r="F54" i="88"/>
  <c r="W12" i="94"/>
  <c r="T25" i="109"/>
  <c r="X31" i="113"/>
  <c r="X67" i="113" s="1"/>
  <c r="U43" i="95"/>
  <c r="U31" i="95"/>
  <c r="U66" i="95" s="1"/>
  <c r="F25" i="99"/>
  <c r="X43" i="113"/>
  <c r="T37" i="109"/>
  <c r="T28" i="94"/>
  <c r="I34" i="113"/>
  <c r="I70" i="113" s="1"/>
  <c r="G14" i="92"/>
  <c r="N42" i="95"/>
  <c r="N30" i="95"/>
  <c r="N65" i="95" s="1"/>
  <c r="F24" i="101"/>
  <c r="G29" i="113"/>
  <c r="S26" i="97" s="1"/>
  <c r="D34" i="95"/>
  <c r="D69" i="95" s="1"/>
  <c r="F28" i="88"/>
  <c r="T30" i="88"/>
  <c r="D36" i="113"/>
  <c r="D72" i="113" s="1"/>
  <c r="T50" i="100"/>
  <c r="N15" i="92"/>
  <c r="R15" i="92"/>
  <c r="S29" i="92" s="1"/>
  <c r="F52" i="87"/>
  <c r="F42" i="88"/>
  <c r="W12" i="92"/>
  <c r="F72" i="113"/>
  <c r="S53" i="107" l="1"/>
  <c r="U15" i="107"/>
  <c r="T53" i="107" s="1"/>
  <c r="V23" i="95"/>
  <c r="V23" i="113"/>
  <c r="S41" i="107"/>
  <c r="E53" i="107"/>
  <c r="G53" i="107" s="1"/>
  <c r="E29" i="107"/>
  <c r="E41" i="107"/>
  <c r="V47" i="95" s="1"/>
  <c r="V11" i="113"/>
  <c r="V35" i="113"/>
  <c r="V59" i="113"/>
  <c r="F16" i="107"/>
  <c r="G30" i="32"/>
  <c r="G7" i="95"/>
  <c r="G29" i="32"/>
  <c r="M67" i="95"/>
  <c r="T52" i="99"/>
  <c r="M68" i="113"/>
  <c r="C70" i="113"/>
  <c r="Z70" i="95"/>
  <c r="X70" i="113"/>
  <c r="U10" i="95"/>
  <c r="O46" i="97"/>
  <c r="U28" i="110"/>
  <c r="U10" i="113"/>
  <c r="F52" i="99"/>
  <c r="F23" i="92"/>
  <c r="U8" i="95"/>
  <c r="G26" i="99"/>
  <c r="U13" i="102"/>
  <c r="V13" i="102" s="1"/>
  <c r="V13" i="91"/>
  <c r="U27" i="112"/>
  <c r="U25" i="92"/>
  <c r="F47" i="92"/>
  <c r="V9" i="92"/>
  <c r="U27" i="91"/>
  <c r="V13" i="112"/>
  <c r="T35" i="92"/>
  <c r="G5" i="113"/>
  <c r="G65" i="113" s="1"/>
  <c r="S36" i="97" s="1"/>
  <c r="T23" i="92"/>
  <c r="V11" i="92"/>
  <c r="F9" i="95"/>
  <c r="AA9" i="95"/>
  <c r="G5" i="95"/>
  <c r="G64" i="95" s="1"/>
  <c r="S30" i="97" s="1"/>
  <c r="U47" i="92"/>
  <c r="Z67" i="95"/>
  <c r="D11" i="95"/>
  <c r="U8" i="113"/>
  <c r="V14" i="110"/>
  <c r="V15" i="88"/>
  <c r="V14" i="99"/>
  <c r="G23" i="92"/>
  <c r="T48" i="92"/>
  <c r="X69" i="95"/>
  <c r="U26" i="99"/>
  <c r="Y10" i="113"/>
  <c r="G28" i="99"/>
  <c r="V11" i="87"/>
  <c r="G40" i="99"/>
  <c r="T24" i="92"/>
  <c r="F24" i="92"/>
  <c r="G6" i="95"/>
  <c r="S11" i="97" s="1"/>
  <c r="S41" i="97" s="1"/>
  <c r="V10" i="92"/>
  <c r="G36" i="92"/>
  <c r="F48" i="92"/>
  <c r="F36" i="92"/>
  <c r="G6" i="113"/>
  <c r="G66" i="113" s="1"/>
  <c r="U27" i="93"/>
  <c r="G11" i="113"/>
  <c r="G47" i="92"/>
  <c r="V13" i="93"/>
  <c r="H9" i="95"/>
  <c r="V15" i="92"/>
  <c r="T47" i="92"/>
  <c r="U48" i="92"/>
  <c r="U35" i="92"/>
  <c r="F35" i="92"/>
  <c r="G35" i="92"/>
  <c r="C7" i="95"/>
  <c r="U29" i="92"/>
  <c r="U12" i="92"/>
  <c r="U26" i="92" s="1"/>
  <c r="T36" i="92"/>
  <c r="U36" i="92"/>
  <c r="U30" i="101"/>
  <c r="S15" i="110"/>
  <c r="T38" i="99"/>
  <c r="U38" i="99"/>
  <c r="I31" i="95"/>
  <c r="G25" i="94"/>
  <c r="F45" i="113"/>
  <c r="U39" i="91"/>
  <c r="I43" i="95"/>
  <c r="G37" i="94"/>
  <c r="F37" i="105"/>
  <c r="G37" i="105"/>
  <c r="U56" i="113"/>
  <c r="U50" i="99"/>
  <c r="J46" i="95"/>
  <c r="G40" i="96"/>
  <c r="F58" i="95"/>
  <c r="G52" i="91"/>
  <c r="U39" i="92"/>
  <c r="F57" i="113"/>
  <c r="U51" i="91"/>
  <c r="U56" i="95"/>
  <c r="G50" i="99"/>
  <c r="J58" i="95"/>
  <c r="G52" i="96"/>
  <c r="T40" i="99"/>
  <c r="U40" i="99"/>
  <c r="H57" i="113"/>
  <c r="U51" i="93"/>
  <c r="J34" i="95"/>
  <c r="G28" i="96"/>
  <c r="I55" i="113"/>
  <c r="U49" i="94"/>
  <c r="F57" i="95"/>
  <c r="G51" i="91"/>
  <c r="F40" i="99"/>
  <c r="U58" i="95"/>
  <c r="G52" i="99"/>
  <c r="H45" i="113"/>
  <c r="U39" i="93"/>
  <c r="F58" i="113"/>
  <c r="U52" i="91"/>
  <c r="U58" i="113"/>
  <c r="U52" i="99"/>
  <c r="F37" i="102"/>
  <c r="G37" i="102"/>
  <c r="H57" i="95"/>
  <c r="G51" i="93"/>
  <c r="F46" i="113"/>
  <c r="U40" i="91"/>
  <c r="F70" i="95"/>
  <c r="H45" i="95"/>
  <c r="G39" i="93"/>
  <c r="J58" i="113"/>
  <c r="U52" i="96"/>
  <c r="I55" i="95"/>
  <c r="G49" i="94"/>
  <c r="F38" i="99"/>
  <c r="G38" i="99"/>
  <c r="J46" i="113"/>
  <c r="U40" i="96"/>
  <c r="H33" i="95"/>
  <c r="G27" i="93"/>
  <c r="F46" i="95"/>
  <c r="G40" i="91"/>
  <c r="F33" i="95"/>
  <c r="G27" i="91"/>
  <c r="I43" i="113"/>
  <c r="U37" i="94"/>
  <c r="F45" i="95"/>
  <c r="G39" i="91"/>
  <c r="T37" i="105"/>
  <c r="U37" i="105"/>
  <c r="T15" i="89"/>
  <c r="T37" i="102"/>
  <c r="U37" i="102"/>
  <c r="G24" i="92"/>
  <c r="G48" i="92"/>
  <c r="T27" i="92"/>
  <c r="U27" i="92"/>
  <c r="F34" i="95"/>
  <c r="F69" i="95" s="1"/>
  <c r="G28" i="91"/>
  <c r="G51" i="92"/>
  <c r="G27" i="92"/>
  <c r="U51" i="92"/>
  <c r="F7" i="113"/>
  <c r="F7" i="95"/>
  <c r="Y55" i="95"/>
  <c r="F49" i="110"/>
  <c r="F29" i="95"/>
  <c r="F23" i="91"/>
  <c r="U16" i="110"/>
  <c r="R43" i="95"/>
  <c r="R31" i="95"/>
  <c r="R66" i="95" s="1"/>
  <c r="F25" i="105"/>
  <c r="O21" i="113"/>
  <c r="S39" i="102"/>
  <c r="E27" i="102"/>
  <c r="O21" i="95"/>
  <c r="E51" i="102"/>
  <c r="E39" i="102"/>
  <c r="S51" i="102"/>
  <c r="U20" i="97"/>
  <c r="U40" i="97" s="1"/>
  <c r="I64" i="95"/>
  <c r="U30" i="97" s="1"/>
  <c r="J44" i="113"/>
  <c r="T38" i="96"/>
  <c r="G40" i="95"/>
  <c r="F34" i="92"/>
  <c r="T28" i="96"/>
  <c r="J34" i="113"/>
  <c r="I30" i="95"/>
  <c r="F24" i="94"/>
  <c r="U46" i="95"/>
  <c r="U34" i="95"/>
  <c r="T25" i="102"/>
  <c r="O31" i="113"/>
  <c r="O67" i="113" s="1"/>
  <c r="O43" i="113"/>
  <c r="F39" i="91"/>
  <c r="N24" i="113"/>
  <c r="E30" i="101"/>
  <c r="G30" i="101" s="1"/>
  <c r="N24" i="95"/>
  <c r="E54" i="101"/>
  <c r="F54" i="101" s="1"/>
  <c r="E42" i="101"/>
  <c r="G42" i="101" s="1"/>
  <c r="S54" i="101"/>
  <c r="T54" i="101" s="1"/>
  <c r="S42" i="101"/>
  <c r="T29" i="94"/>
  <c r="I35" i="113"/>
  <c r="I71" i="113" s="1"/>
  <c r="T28" i="91"/>
  <c r="F34" i="113"/>
  <c r="F70" i="113" s="1"/>
  <c r="F50" i="99"/>
  <c r="F27" i="93"/>
  <c r="F42" i="95"/>
  <c r="F36" i="91"/>
  <c r="Y43" i="95"/>
  <c r="F37" i="110"/>
  <c r="F41" i="95"/>
  <c r="F35" i="91"/>
  <c r="R16" i="110"/>
  <c r="S30" i="110" s="1"/>
  <c r="N16" i="110"/>
  <c r="W16" i="110"/>
  <c r="U44" i="95"/>
  <c r="U32" i="95"/>
  <c r="K14" i="89"/>
  <c r="S14" i="89"/>
  <c r="U14" i="89" s="1"/>
  <c r="G19" i="113"/>
  <c r="S37" i="92"/>
  <c r="U37" i="92" s="1"/>
  <c r="G19" i="95"/>
  <c r="E37" i="92"/>
  <c r="G37" i="92" s="1"/>
  <c r="E25" i="92"/>
  <c r="G25" i="92" s="1"/>
  <c r="E49" i="92"/>
  <c r="G49" i="92" s="1"/>
  <c r="S49" i="92"/>
  <c r="U49" i="92" s="1"/>
  <c r="I42" i="95"/>
  <c r="F36" i="94"/>
  <c r="W15" i="89"/>
  <c r="T28" i="99"/>
  <c r="U34" i="113"/>
  <c r="U46" i="113"/>
  <c r="O43" i="95"/>
  <c r="O31" i="95"/>
  <c r="O66" i="95" s="1"/>
  <c r="F25" i="102"/>
  <c r="T27" i="93"/>
  <c r="H33" i="113"/>
  <c r="H69" i="113" s="1"/>
  <c r="I35" i="95"/>
  <c r="I70" i="95" s="1"/>
  <c r="F29" i="94"/>
  <c r="F39" i="93"/>
  <c r="F30" i="95"/>
  <c r="F24" i="91"/>
  <c r="Y31" i="95"/>
  <c r="Y66" i="95" s="1"/>
  <c r="F25" i="110"/>
  <c r="T23" i="91"/>
  <c r="F29" i="113"/>
  <c r="R55" i="95"/>
  <c r="F49" i="105"/>
  <c r="I20" i="113"/>
  <c r="I20" i="95"/>
  <c r="E26" i="94"/>
  <c r="E38" i="94"/>
  <c r="E50" i="94"/>
  <c r="S38" i="94"/>
  <c r="S50" i="94"/>
  <c r="J56" i="113"/>
  <c r="T50" i="96"/>
  <c r="G52" i="95"/>
  <c r="F46" i="92"/>
  <c r="J10" i="95"/>
  <c r="J10" i="113"/>
  <c r="T40" i="96"/>
  <c r="V14" i="96"/>
  <c r="T52" i="96"/>
  <c r="F40" i="96"/>
  <c r="F52" i="96"/>
  <c r="F28" i="96"/>
  <c r="O55" i="95"/>
  <c r="F49" i="102"/>
  <c r="F51" i="91"/>
  <c r="U26" i="97"/>
  <c r="U46" i="97" s="1"/>
  <c r="I65" i="113"/>
  <c r="U36" i="97" s="1"/>
  <c r="I59" i="95"/>
  <c r="F53" i="94"/>
  <c r="F51" i="93"/>
  <c r="G23" i="113"/>
  <c r="S41" i="92"/>
  <c r="U41" i="92" s="1"/>
  <c r="S53" i="92"/>
  <c r="U53" i="92" s="1"/>
  <c r="E41" i="92"/>
  <c r="G41" i="92" s="1"/>
  <c r="E29" i="92"/>
  <c r="G29" i="92" s="1"/>
  <c r="G23" i="95"/>
  <c r="E53" i="92"/>
  <c r="G53" i="92" s="1"/>
  <c r="T24" i="91"/>
  <c r="F30" i="113"/>
  <c r="F66" i="113" s="1"/>
  <c r="F41" i="113"/>
  <c r="T35" i="91"/>
  <c r="T25" i="94"/>
  <c r="I31" i="113"/>
  <c r="T26" i="96"/>
  <c r="J32" i="113"/>
  <c r="J68" i="113" s="1"/>
  <c r="T26" i="99"/>
  <c r="U44" i="113"/>
  <c r="U32" i="113"/>
  <c r="G28" i="95"/>
  <c r="F22" i="92"/>
  <c r="I54" i="95"/>
  <c r="F48" i="94"/>
  <c r="G20" i="113"/>
  <c r="S38" i="92"/>
  <c r="G20" i="95"/>
  <c r="E50" i="92"/>
  <c r="E26" i="92"/>
  <c r="E38" i="92"/>
  <c r="S50" i="92"/>
  <c r="F27" i="91"/>
  <c r="T39" i="93"/>
  <c r="H14" i="92"/>
  <c r="D23" i="113"/>
  <c r="D23" i="95"/>
  <c r="E29" i="88"/>
  <c r="G29" i="88" s="1"/>
  <c r="S41" i="88"/>
  <c r="U41" i="88" s="1"/>
  <c r="S53" i="88"/>
  <c r="U53" i="88" s="1"/>
  <c r="E53" i="88"/>
  <c r="G53" i="88" s="1"/>
  <c r="E41" i="88"/>
  <c r="G41" i="88" s="1"/>
  <c r="S29" i="88"/>
  <c r="U29" i="88" s="1"/>
  <c r="F42" i="113"/>
  <c r="T36" i="91"/>
  <c r="Y43" i="113"/>
  <c r="T37" i="110"/>
  <c r="Y22" i="113"/>
  <c r="S52" i="110"/>
  <c r="U52" i="110" s="1"/>
  <c r="S40" i="110"/>
  <c r="U40" i="110" s="1"/>
  <c r="E40" i="110"/>
  <c r="G40" i="110" s="1"/>
  <c r="Y22" i="95"/>
  <c r="E52" i="110"/>
  <c r="G52" i="110" s="1"/>
  <c r="E28" i="110"/>
  <c r="G28" i="110" s="1"/>
  <c r="T27" i="91"/>
  <c r="F33" i="113"/>
  <c r="F69" i="113" s="1"/>
  <c r="H10" i="113"/>
  <c r="H10" i="95"/>
  <c r="Z68" i="113"/>
  <c r="T25" i="105"/>
  <c r="R43" i="113"/>
  <c r="R31" i="113"/>
  <c r="R67" i="113" s="1"/>
  <c r="N15" i="89"/>
  <c r="R15" i="89"/>
  <c r="S29" i="89" s="1"/>
  <c r="C19" i="113"/>
  <c r="E25" i="87"/>
  <c r="G25" i="87" s="1"/>
  <c r="E49" i="87"/>
  <c r="G49" i="87" s="1"/>
  <c r="C19" i="95"/>
  <c r="S37" i="87"/>
  <c r="U37" i="87" s="1"/>
  <c r="S25" i="87"/>
  <c r="U25" i="87" s="1"/>
  <c r="E37" i="87"/>
  <c r="G37" i="87" s="1"/>
  <c r="S49" i="87"/>
  <c r="U49" i="87" s="1"/>
  <c r="J56" i="95"/>
  <c r="F50" i="96"/>
  <c r="T22" i="92"/>
  <c r="G28" i="113"/>
  <c r="U13" i="110"/>
  <c r="I42" i="113"/>
  <c r="T36" i="94"/>
  <c r="L15" i="110"/>
  <c r="T15" i="110"/>
  <c r="T50" i="99"/>
  <c r="H16" i="92"/>
  <c r="I16" i="92" s="1"/>
  <c r="J16" i="92" s="1"/>
  <c r="K16" i="92" s="1"/>
  <c r="L16" i="92" s="1"/>
  <c r="M16" i="92" s="1"/>
  <c r="R14" i="93"/>
  <c r="S28" i="93" s="1"/>
  <c r="U28" i="93" s="1"/>
  <c r="N14" i="93"/>
  <c r="W14" i="93"/>
  <c r="V14" i="93" s="1"/>
  <c r="J44" i="95"/>
  <c r="F38" i="96"/>
  <c r="G40" i="113"/>
  <c r="T34" i="92"/>
  <c r="N13" i="110"/>
  <c r="R13" i="110"/>
  <c r="S27" i="110" s="1"/>
  <c r="W13" i="110"/>
  <c r="T24" i="94"/>
  <c r="I30" i="113"/>
  <c r="I66" i="113" s="1"/>
  <c r="T39" i="91"/>
  <c r="I59" i="113"/>
  <c r="T53" i="94"/>
  <c r="I7" i="113"/>
  <c r="T37" i="94"/>
  <c r="V11" i="94"/>
  <c r="F49" i="94"/>
  <c r="F25" i="94"/>
  <c r="F37" i="94"/>
  <c r="I7" i="95"/>
  <c r="T49" i="94"/>
  <c r="S15" i="89"/>
  <c r="F26" i="99"/>
  <c r="F53" i="113"/>
  <c r="T47" i="91"/>
  <c r="AA21" i="113"/>
  <c r="S39" i="112"/>
  <c r="U39" i="112" s="1"/>
  <c r="E39" i="112"/>
  <c r="G39" i="112" s="1"/>
  <c r="AA21" i="95"/>
  <c r="E27" i="112"/>
  <c r="G27" i="112" s="1"/>
  <c r="E51" i="112"/>
  <c r="S51" i="112"/>
  <c r="F54" i="113"/>
  <c r="T48" i="91"/>
  <c r="Y55" i="113"/>
  <c r="T49" i="110"/>
  <c r="N12" i="113"/>
  <c r="N12" i="95"/>
  <c r="V16" i="101"/>
  <c r="R55" i="113"/>
  <c r="T49" i="105"/>
  <c r="F28" i="99"/>
  <c r="J32" i="95"/>
  <c r="J67" i="95" s="1"/>
  <c r="F26" i="96"/>
  <c r="N11" i="91"/>
  <c r="R11" i="91"/>
  <c r="W11" i="91"/>
  <c r="V11" i="91" s="1"/>
  <c r="G9" i="113"/>
  <c r="G69" i="113" s="1"/>
  <c r="F27" i="92"/>
  <c r="F51" i="92"/>
  <c r="G9" i="95"/>
  <c r="G68" i="95" s="1"/>
  <c r="V13" i="92"/>
  <c r="F39" i="92"/>
  <c r="T39" i="92"/>
  <c r="T51" i="92"/>
  <c r="I47" i="113"/>
  <c r="T41" i="94"/>
  <c r="F54" i="95"/>
  <c r="F48" i="91"/>
  <c r="T25" i="110"/>
  <c r="Y31" i="113"/>
  <c r="Y67" i="113" s="1"/>
  <c r="F53" i="95"/>
  <c r="F47" i="91"/>
  <c r="K15" i="112"/>
  <c r="G52" i="113"/>
  <c r="T46" i="92"/>
  <c r="I54" i="113"/>
  <c r="T48" i="94"/>
  <c r="U12" i="94"/>
  <c r="U26" i="94" s="1"/>
  <c r="O55" i="113"/>
  <c r="T49" i="102"/>
  <c r="T51" i="91"/>
  <c r="I47" i="95"/>
  <c r="F41" i="94"/>
  <c r="T51" i="93"/>
  <c r="V11" i="95" l="1"/>
  <c r="U29" i="107"/>
  <c r="V15" i="107"/>
  <c r="F29" i="107"/>
  <c r="U53" i="107"/>
  <c r="T29" i="107"/>
  <c r="V35" i="95"/>
  <c r="U41" i="107"/>
  <c r="G29" i="107"/>
  <c r="V47" i="113"/>
  <c r="T41" i="107"/>
  <c r="G41" i="107"/>
  <c r="F41" i="107"/>
  <c r="F53" i="107"/>
  <c r="V59" i="95"/>
  <c r="V70" i="95"/>
  <c r="V71" i="113"/>
  <c r="G16" i="107"/>
  <c r="H16" i="107" s="1"/>
  <c r="I16" i="107" s="1"/>
  <c r="J16" i="107" s="1"/>
  <c r="K16" i="107" s="1"/>
  <c r="L16" i="107" s="1"/>
  <c r="M16" i="107" s="1"/>
  <c r="U68" i="113"/>
  <c r="U67" i="95"/>
  <c r="G65" i="95"/>
  <c r="S31" i="97" s="1"/>
  <c r="O9" i="95"/>
  <c r="U69" i="95"/>
  <c r="G27" i="102"/>
  <c r="F26" i="92"/>
  <c r="O9" i="113"/>
  <c r="U27" i="102"/>
  <c r="F51" i="102"/>
  <c r="U70" i="113"/>
  <c r="F68" i="95"/>
  <c r="F30" i="101"/>
  <c r="I67" i="113"/>
  <c r="S10" i="97"/>
  <c r="S40" i="97" s="1"/>
  <c r="U15" i="110"/>
  <c r="Y11" i="95" s="1"/>
  <c r="H68" i="95"/>
  <c r="T38" i="92"/>
  <c r="G8" i="95"/>
  <c r="T50" i="92"/>
  <c r="F38" i="92"/>
  <c r="F50" i="92"/>
  <c r="V12" i="92"/>
  <c r="G8" i="113"/>
  <c r="I66" i="95"/>
  <c r="J69" i="95"/>
  <c r="U15" i="89"/>
  <c r="L11" i="113" s="1"/>
  <c r="F42" i="101"/>
  <c r="F27" i="102"/>
  <c r="F51" i="112"/>
  <c r="G51" i="112"/>
  <c r="I44" i="95"/>
  <c r="G38" i="94"/>
  <c r="U27" i="110"/>
  <c r="G44" i="113"/>
  <c r="U38" i="92"/>
  <c r="I32" i="95"/>
  <c r="G26" i="94"/>
  <c r="T16" i="92"/>
  <c r="O57" i="113"/>
  <c r="U51" i="102"/>
  <c r="S16" i="92"/>
  <c r="G56" i="113"/>
  <c r="U50" i="92"/>
  <c r="T42" i="101"/>
  <c r="U42" i="101"/>
  <c r="F39" i="102"/>
  <c r="G39" i="102"/>
  <c r="G44" i="95"/>
  <c r="G38" i="92"/>
  <c r="N60" i="113"/>
  <c r="U54" i="101"/>
  <c r="O57" i="95"/>
  <c r="G51" i="102"/>
  <c r="G32" i="95"/>
  <c r="G26" i="92"/>
  <c r="I44" i="113"/>
  <c r="U38" i="94"/>
  <c r="I56" i="113"/>
  <c r="U50" i="94"/>
  <c r="T51" i="112"/>
  <c r="U51" i="112"/>
  <c r="G56" i="95"/>
  <c r="G50" i="92"/>
  <c r="J70" i="113"/>
  <c r="I56" i="95"/>
  <c r="G50" i="94"/>
  <c r="U30" i="110"/>
  <c r="N60" i="95"/>
  <c r="G54" i="101"/>
  <c r="T39" i="102"/>
  <c r="U39" i="102"/>
  <c r="Y11" i="113"/>
  <c r="F19" i="113"/>
  <c r="S37" i="91"/>
  <c r="U37" i="91" s="1"/>
  <c r="F19" i="95"/>
  <c r="E49" i="91"/>
  <c r="G49" i="91" s="1"/>
  <c r="E25" i="91"/>
  <c r="G25" i="91" s="1"/>
  <c r="E37" i="91"/>
  <c r="G37" i="91" s="1"/>
  <c r="S25" i="91"/>
  <c r="U25" i="91" s="1"/>
  <c r="S49" i="91"/>
  <c r="U49" i="91" s="1"/>
  <c r="AA45" i="113"/>
  <c r="T39" i="112"/>
  <c r="H22" i="113"/>
  <c r="E28" i="93"/>
  <c r="G28" i="93" s="1"/>
  <c r="H22" i="95"/>
  <c r="S40" i="93"/>
  <c r="U40" i="93" s="1"/>
  <c r="E52" i="93"/>
  <c r="G52" i="93" s="1"/>
  <c r="S52" i="93"/>
  <c r="U52" i="93" s="1"/>
  <c r="E40" i="93"/>
  <c r="G40" i="93" s="1"/>
  <c r="C55" i="113"/>
  <c r="T49" i="87"/>
  <c r="L23" i="113"/>
  <c r="E29" i="89"/>
  <c r="L23" i="95"/>
  <c r="S41" i="89"/>
  <c r="E53" i="89"/>
  <c r="E41" i="89"/>
  <c r="S53" i="89"/>
  <c r="T28" i="110"/>
  <c r="Y34" i="113"/>
  <c r="Y70" i="113" s="1"/>
  <c r="D59" i="113"/>
  <c r="T53" i="88"/>
  <c r="S19" i="97"/>
  <c r="S39" i="97" s="1"/>
  <c r="G63" i="95"/>
  <c r="S29" i="97" s="1"/>
  <c r="T29" i="92"/>
  <c r="G35" i="113"/>
  <c r="G71" i="113" s="1"/>
  <c r="G43" i="113"/>
  <c r="T37" i="92"/>
  <c r="L15" i="112"/>
  <c r="S15" i="112"/>
  <c r="T15" i="112"/>
  <c r="C43" i="95"/>
  <c r="F37" i="87"/>
  <c r="F28" i="110"/>
  <c r="Y34" i="95"/>
  <c r="Y69" i="95" s="1"/>
  <c r="D47" i="113"/>
  <c r="T41" i="88"/>
  <c r="G59" i="113"/>
  <c r="T53" i="92"/>
  <c r="R21" i="97"/>
  <c r="R41" i="97" s="1"/>
  <c r="F65" i="95"/>
  <c r="R31" i="97" s="1"/>
  <c r="I8" i="113"/>
  <c r="V12" i="94"/>
  <c r="I8" i="95"/>
  <c r="F26" i="94"/>
  <c r="F50" i="94"/>
  <c r="F38" i="94"/>
  <c r="T38" i="94"/>
  <c r="T50" i="94"/>
  <c r="T27" i="112"/>
  <c r="AA33" i="113"/>
  <c r="AA69" i="113" s="1"/>
  <c r="AA57" i="113"/>
  <c r="Y9" i="113"/>
  <c r="Y9" i="95"/>
  <c r="V13" i="110"/>
  <c r="T25" i="87"/>
  <c r="C31" i="113"/>
  <c r="C67" i="113" s="1"/>
  <c r="Y58" i="95"/>
  <c r="F52" i="110"/>
  <c r="D35" i="95"/>
  <c r="D70" i="95" s="1"/>
  <c r="F29" i="88"/>
  <c r="G47" i="113"/>
  <c r="T41" i="92"/>
  <c r="G55" i="113"/>
  <c r="T49" i="92"/>
  <c r="L10" i="113"/>
  <c r="L10" i="95"/>
  <c r="L69" i="95" s="1"/>
  <c r="T30" i="101"/>
  <c r="N48" i="113"/>
  <c r="N36" i="113"/>
  <c r="N72" i="113" s="1"/>
  <c r="Y12" i="113"/>
  <c r="V16" i="110"/>
  <c r="Y12" i="95"/>
  <c r="R16" i="92"/>
  <c r="S30" i="92" s="1"/>
  <c r="N16" i="92"/>
  <c r="C43" i="113"/>
  <c r="T37" i="87"/>
  <c r="G55" i="95"/>
  <c r="F49" i="92"/>
  <c r="N14" i="89"/>
  <c r="R14" i="89"/>
  <c r="S28" i="89" s="1"/>
  <c r="U28" i="89" s="1"/>
  <c r="W14" i="89"/>
  <c r="V14" i="89" s="1"/>
  <c r="S25" i="97"/>
  <c r="S45" i="97" s="1"/>
  <c r="G64" i="113"/>
  <c r="S35" i="97" s="1"/>
  <c r="Y46" i="95"/>
  <c r="F40" i="110"/>
  <c r="G59" i="95"/>
  <c r="F53" i="92"/>
  <c r="R26" i="97"/>
  <c r="R46" i="97" s="1"/>
  <c r="F65" i="113"/>
  <c r="R36" i="97" s="1"/>
  <c r="G31" i="95"/>
  <c r="G66" i="95" s="1"/>
  <c r="F25" i="92"/>
  <c r="O45" i="95"/>
  <c r="O33" i="95"/>
  <c r="R20" i="97"/>
  <c r="R40" i="97" s="1"/>
  <c r="F64" i="95"/>
  <c r="R30" i="97" s="1"/>
  <c r="C55" i="95"/>
  <c r="F49" i="87"/>
  <c r="Y46" i="113"/>
  <c r="T40" i="110"/>
  <c r="T29" i="88"/>
  <c r="D35" i="113"/>
  <c r="D71" i="113" s="1"/>
  <c r="G43" i="95"/>
  <c r="F37" i="92"/>
  <c r="N36" i="95"/>
  <c r="N71" i="95" s="1"/>
  <c r="N48" i="95"/>
  <c r="Y21" i="113"/>
  <c r="Y21" i="95"/>
  <c r="E27" i="110"/>
  <c r="S39" i="110"/>
  <c r="E39" i="110"/>
  <c r="S51" i="110"/>
  <c r="E51" i="110"/>
  <c r="C31" i="95"/>
  <c r="C66" i="95" s="1"/>
  <c r="F25" i="87"/>
  <c r="Y58" i="113"/>
  <c r="T52" i="110"/>
  <c r="D47" i="95"/>
  <c r="F41" i="88"/>
  <c r="I14" i="92"/>
  <c r="G35" i="95"/>
  <c r="G70" i="95" s="1"/>
  <c r="F29" i="92"/>
  <c r="T51" i="102"/>
  <c r="U21" i="97"/>
  <c r="U41" i="97" s="1"/>
  <c r="I65" i="95"/>
  <c r="U31" i="97" s="1"/>
  <c r="AA57" i="95"/>
  <c r="AA33" i="95"/>
  <c r="AA68" i="95" s="1"/>
  <c r="F27" i="112"/>
  <c r="F39" i="112"/>
  <c r="AA45" i="95"/>
  <c r="R15" i="110"/>
  <c r="S29" i="110" s="1"/>
  <c r="U29" i="110" s="1"/>
  <c r="N15" i="110"/>
  <c r="W15" i="110"/>
  <c r="D59" i="95"/>
  <c r="F53" i="88"/>
  <c r="T26" i="92"/>
  <c r="G32" i="113"/>
  <c r="G47" i="95"/>
  <c r="F41" i="92"/>
  <c r="T26" i="94"/>
  <c r="I32" i="113"/>
  <c r="T25" i="92"/>
  <c r="G31" i="113"/>
  <c r="G67" i="113" s="1"/>
  <c r="Y24" i="113"/>
  <c r="E30" i="110"/>
  <c r="Y24" i="95"/>
  <c r="S54" i="110"/>
  <c r="E42" i="110"/>
  <c r="E54" i="110"/>
  <c r="S42" i="110"/>
  <c r="T27" i="102"/>
  <c r="O33" i="113"/>
  <c r="O45" i="113"/>
  <c r="W16" i="92"/>
  <c r="V15" i="110" l="1"/>
  <c r="T16" i="107"/>
  <c r="S16" i="107"/>
  <c r="W16" i="107"/>
  <c r="N16" i="107"/>
  <c r="R16" i="107"/>
  <c r="O68" i="95"/>
  <c r="O69" i="113"/>
  <c r="U29" i="89"/>
  <c r="G68" i="113"/>
  <c r="F53" i="89"/>
  <c r="L11" i="95"/>
  <c r="L70" i="95" s="1"/>
  <c r="S46" i="97"/>
  <c r="G67" i="95"/>
  <c r="F29" i="89"/>
  <c r="V15" i="89"/>
  <c r="T53" i="89"/>
  <c r="G41" i="89"/>
  <c r="U16" i="92"/>
  <c r="V16" i="92" s="1"/>
  <c r="I67" i="95"/>
  <c r="Y48" i="113"/>
  <c r="U42" i="110"/>
  <c r="Y45" i="113"/>
  <c r="U39" i="110"/>
  <c r="T42" i="110"/>
  <c r="Y60" i="95"/>
  <c r="G54" i="110"/>
  <c r="Y33" i="95"/>
  <c r="Y68" i="95" s="1"/>
  <c r="G27" i="110"/>
  <c r="L59" i="113"/>
  <c r="U53" i="89"/>
  <c r="L59" i="95"/>
  <c r="G53" i="89"/>
  <c r="Y48" i="95"/>
  <c r="G42" i="110"/>
  <c r="Y60" i="113"/>
  <c r="U54" i="110"/>
  <c r="T41" i="89"/>
  <c r="U41" i="89"/>
  <c r="Y36" i="95"/>
  <c r="Y71" i="95" s="1"/>
  <c r="G30" i="110"/>
  <c r="Y57" i="113"/>
  <c r="U51" i="110"/>
  <c r="L47" i="95"/>
  <c r="G29" i="89"/>
  <c r="Y57" i="95"/>
  <c r="G51" i="110"/>
  <c r="F41" i="89"/>
  <c r="Y45" i="95"/>
  <c r="G39" i="110"/>
  <c r="U30" i="92"/>
  <c r="H46" i="95"/>
  <c r="F40" i="93"/>
  <c r="T51" i="110"/>
  <c r="U15" i="112"/>
  <c r="T29" i="89"/>
  <c r="L35" i="113"/>
  <c r="L71" i="113" s="1"/>
  <c r="L47" i="113"/>
  <c r="H58" i="113"/>
  <c r="T52" i="93"/>
  <c r="F55" i="113"/>
  <c r="T49" i="91"/>
  <c r="F30" i="110"/>
  <c r="N15" i="112"/>
  <c r="R15" i="112"/>
  <c r="S29" i="112" s="1"/>
  <c r="W15" i="112"/>
  <c r="H58" i="95"/>
  <c r="F52" i="93"/>
  <c r="T25" i="91"/>
  <c r="F31" i="113"/>
  <c r="F67" i="113" s="1"/>
  <c r="Y23" i="113"/>
  <c r="S53" i="110"/>
  <c r="U53" i="110" s="1"/>
  <c r="S41" i="110"/>
  <c r="U41" i="110" s="1"/>
  <c r="E29" i="110"/>
  <c r="G29" i="110" s="1"/>
  <c r="E41" i="110"/>
  <c r="G41" i="110" s="1"/>
  <c r="Y23" i="95"/>
  <c r="E53" i="110"/>
  <c r="G53" i="110" s="1"/>
  <c r="L22" i="113"/>
  <c r="E52" i="89"/>
  <c r="G52" i="89" s="1"/>
  <c r="E40" i="89"/>
  <c r="S40" i="89"/>
  <c r="E28" i="89"/>
  <c r="G28" i="89" s="1"/>
  <c r="L22" i="95"/>
  <c r="S52" i="89"/>
  <c r="U52" i="89" s="1"/>
  <c r="T39" i="110"/>
  <c r="I68" i="113"/>
  <c r="H46" i="113"/>
  <c r="T40" i="93"/>
  <c r="F43" i="95"/>
  <c r="F37" i="91"/>
  <c r="G24" i="113"/>
  <c r="G24" i="95"/>
  <c r="E54" i="92"/>
  <c r="E42" i="92"/>
  <c r="S42" i="92"/>
  <c r="E30" i="92"/>
  <c r="S54" i="92"/>
  <c r="F31" i="95"/>
  <c r="F66" i="95" s="1"/>
  <c r="F25" i="91"/>
  <c r="T27" i="110"/>
  <c r="Y33" i="113"/>
  <c r="Y69" i="113" s="1"/>
  <c r="F54" i="110"/>
  <c r="F27" i="110"/>
  <c r="H34" i="95"/>
  <c r="H69" i="95" s="1"/>
  <c r="F28" i="93"/>
  <c r="F55" i="95"/>
  <c r="F49" i="91"/>
  <c r="T30" i="110"/>
  <c r="Y36" i="113"/>
  <c r="Y72" i="113" s="1"/>
  <c r="J14" i="92"/>
  <c r="S14" i="92" s="1"/>
  <c r="T54" i="110"/>
  <c r="F51" i="110"/>
  <c r="F42" i="110"/>
  <c r="F39" i="110"/>
  <c r="G12" i="113"/>
  <c r="T28" i="93"/>
  <c r="H34" i="113"/>
  <c r="H70" i="113" s="1"/>
  <c r="F43" i="113"/>
  <c r="T37" i="91"/>
  <c r="U16" i="107" l="1"/>
  <c r="S30" i="107"/>
  <c r="E54" i="107"/>
  <c r="E42" i="107"/>
  <c r="S54" i="107"/>
  <c r="V24" i="95"/>
  <c r="S42" i="107"/>
  <c r="E30" i="107"/>
  <c r="V24" i="113"/>
  <c r="G12" i="95"/>
  <c r="F42" i="92"/>
  <c r="F30" i="92"/>
  <c r="T42" i="92"/>
  <c r="U29" i="112"/>
  <c r="F40" i="89"/>
  <c r="G40" i="89"/>
  <c r="G60" i="113"/>
  <c r="U54" i="92"/>
  <c r="G48" i="113"/>
  <c r="U42" i="92"/>
  <c r="G48" i="95"/>
  <c r="G42" i="92"/>
  <c r="T40" i="89"/>
  <c r="U40" i="89"/>
  <c r="G36" i="95"/>
  <c r="G30" i="92"/>
  <c r="G60" i="95"/>
  <c r="G54" i="92"/>
  <c r="AA11" i="113"/>
  <c r="V15" i="112"/>
  <c r="AA11" i="95"/>
  <c r="Y59" i="113"/>
  <c r="T53" i="110"/>
  <c r="T29" i="110"/>
  <c r="Y35" i="113"/>
  <c r="Y71" i="113" s="1"/>
  <c r="L58" i="95"/>
  <c r="F52" i="89"/>
  <c r="L58" i="113"/>
  <c r="T52" i="89"/>
  <c r="F54" i="92"/>
  <c r="L46" i="95"/>
  <c r="F28" i="89"/>
  <c r="Y59" i="95"/>
  <c r="F53" i="110"/>
  <c r="Y47" i="95"/>
  <c r="F41" i="110"/>
  <c r="F29" i="110"/>
  <c r="Y35" i="95"/>
  <c r="Y70" i="95" s="1"/>
  <c r="T30" i="92"/>
  <c r="G36" i="113"/>
  <c r="G72" i="113" s="1"/>
  <c r="K14" i="92"/>
  <c r="W14" i="92" s="1"/>
  <c r="T14" i="92"/>
  <c r="U14" i="92" s="1"/>
  <c r="T28" i="89"/>
  <c r="L34" i="113"/>
  <c r="L70" i="113" s="1"/>
  <c r="L46" i="113"/>
  <c r="T54" i="92"/>
  <c r="Y47" i="113"/>
  <c r="T41" i="110"/>
  <c r="AA23" i="113"/>
  <c r="S41" i="112"/>
  <c r="AA23" i="95"/>
  <c r="E29" i="112"/>
  <c r="E41" i="112"/>
  <c r="G41" i="112" s="1"/>
  <c r="S53" i="112"/>
  <c r="E53" i="112"/>
  <c r="V12" i="113" l="1"/>
  <c r="V12" i="95"/>
  <c r="V16" i="107"/>
  <c r="V36" i="95"/>
  <c r="G30" i="107"/>
  <c r="F30" i="107"/>
  <c r="V48" i="95"/>
  <c r="G42" i="107"/>
  <c r="F42" i="107"/>
  <c r="V48" i="113"/>
  <c r="U42" i="107"/>
  <c r="T42" i="107"/>
  <c r="V60" i="95"/>
  <c r="G54" i="107"/>
  <c r="F54" i="107"/>
  <c r="V36" i="113"/>
  <c r="U30" i="107"/>
  <c r="T30" i="107"/>
  <c r="V60" i="113"/>
  <c r="U54" i="107"/>
  <c r="T54" i="107"/>
  <c r="G71" i="95"/>
  <c r="F53" i="112"/>
  <c r="G53" i="112"/>
  <c r="T53" i="112"/>
  <c r="U53" i="112"/>
  <c r="F29" i="112"/>
  <c r="G29" i="112"/>
  <c r="AA47" i="113"/>
  <c r="U41" i="112"/>
  <c r="F41" i="112"/>
  <c r="AA47" i="95"/>
  <c r="G10" i="113"/>
  <c r="G10" i="95"/>
  <c r="V14" i="92"/>
  <c r="T41" i="112"/>
  <c r="T29" i="112"/>
  <c r="AA59" i="113"/>
  <c r="AA35" i="113"/>
  <c r="AA71" i="113" s="1"/>
  <c r="AA59" i="95"/>
  <c r="AA35" i="95"/>
  <c r="AA70" i="95" s="1"/>
  <c r="R14" i="92"/>
  <c r="S28" i="92" s="1"/>
  <c r="U28" i="92" s="1"/>
  <c r="N14" i="92"/>
  <c r="V71" i="95" l="1"/>
  <c r="V72" i="113"/>
  <c r="G22" i="113"/>
  <c r="E52" i="92"/>
  <c r="G52" i="92" s="1"/>
  <c r="G22" i="95"/>
  <c r="S40" i="92"/>
  <c r="U40" i="92" s="1"/>
  <c r="E28" i="92"/>
  <c r="G28" i="92" s="1"/>
  <c r="E40" i="92"/>
  <c r="G40" i="92" s="1"/>
  <c r="S52" i="92"/>
  <c r="U52" i="92" s="1"/>
  <c r="T28" i="92" l="1"/>
  <c r="G34" i="113"/>
  <c r="G70" i="113" s="1"/>
  <c r="G46" i="113"/>
  <c r="T40" i="92"/>
  <c r="G58" i="95"/>
  <c r="F52" i="92"/>
  <c r="G58" i="113"/>
  <c r="T52" i="92"/>
  <c r="G34" i="95"/>
  <c r="G69" i="95" s="1"/>
  <c r="F28" i="92"/>
  <c r="G46" i="95"/>
  <c r="F40" i="9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3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EB189A29-4DFE-FF4E-BE3E-6F013F4C5445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13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241BA8C8-FF7B-C043-8052-26B17EF7B9A5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3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F5EFD612-9308-6C42-BBFB-ABA33D835C96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C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79BF717B-E1AF-A343-96BF-8A69854B4757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1C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FB20B53A-4997-BA41-AC5D-0EE0C49C421D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C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3DC9B727-CE48-F548-9DF9-0819056C6DD8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D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05CF2DE0-2FCA-BB4B-BA5E-D2C560BEAC65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1D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CC461C24-A53E-FB4A-8337-B6B7CF2B44A1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D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F87FAD97-E137-064E-925C-0312ABBCF9AB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E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DEBAD577-18C7-174F-86AB-CFB261E3F44D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1E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A2112A0D-8D1D-5D49-BA5A-FDBE521F3C33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E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8DC37270-90BD-E944-86DF-30AD16E055CB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F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0E007665-E6C1-2540-AE3D-2E84FE44FF7C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1F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81DDAAFC-4FF5-6640-9920-5E7D731FFCDA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F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4D4DF8EE-0DDA-9B4B-BA98-7A93D8527383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0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BCCC3AA9-9C92-F243-A0D6-13F666C84062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20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58B1EE2C-F95D-0B44-B7E4-E77F012D2C73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20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6096658F-AACC-FC47-9B9D-74C593D60923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1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E4895BF9-17C5-1449-8330-6938BCFCF2A4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21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C76D4158-F228-5040-BB26-D41A76CC2CCA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21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B86FBCF3-6924-D242-9F01-37FD2762FEE1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2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D2E7EA68-9177-4A4E-A52A-A5B2EAEA4A47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22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5166985F-B041-FB4B-8F29-5601CE09E925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22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EB950640-FFAE-CA4F-8D7E-5A3CCD1B8163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3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1F86EC41-0595-F34A-8522-D7A2A3841593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23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12D0693C-8D4B-7C4B-BD1D-52DA4849F706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23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42590A03-F6EA-F041-AD3A-56F04CE58D2B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4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2A47523F-04EF-C045-8204-4D92FEB03B33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24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9C511A53-101A-8A4E-9774-95F67EABB0CD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24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88AF220B-91A2-6E47-ACCC-0DC1A777B1C8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5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5DB6AE9E-5E5F-4441-B844-FF76E27F0BDB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25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948D7066-76B6-134A-A158-2FE45BD8AFC9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25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37C04581-69F6-7940-BBF5-336E81B24D05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4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BA6FB122-3B23-D44E-BFE2-9A106F6795F6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14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B95D2F81-6D59-B041-ADF7-616B7B2C536B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4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507D30CF-1F08-1A47-B03A-B6774F13E6DA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6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5AB4D3F0-5B04-ED4B-9D86-D8995B5A8EFD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26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7026922E-0240-F843-B2B4-A3C980BCA6A9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26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7CB06203-47E5-BC49-ACEC-4A071E48950E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7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A4A38EB5-BD7C-6B4F-94B5-59E1193C9116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27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A859E91B-7882-8C43-8C8D-0A47178E9FDD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27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97FA4759-DF9D-CA47-8277-6A6C003734B1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8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ED341340-7313-7B4B-BF44-D18B61151F23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28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50983ECA-EA86-3143-A1AB-13D278CAA864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28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BB6DD1F0-5637-244B-9228-0A6B6BEE849C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9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E091A266-F183-994E-9054-1A4CE424774A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29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34104990-159A-8E47-9074-856F78003283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29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5532BFAE-860A-2542-9F13-F97D0679BEF3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A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17B981A6-B94E-D944-BC43-C8E40E893C29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2A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0B6C172C-C356-FD4D-9332-D1F21BDB8586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2A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B86C3F89-963C-3845-9871-B5D75E98319B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5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D321FB45-5678-0C4D-87F8-672F26E2ED4E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15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3E4C80AC-98A5-FE4E-95FC-AE3399598205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5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6ED877AC-A84B-E940-9741-7E938E6F0149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6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45F958A8-EDBD-EA48-A2FA-66FA2950E245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16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AF435D68-38C7-6E4F-92EA-16138A274C77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6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EC6728CB-71ED-9B4E-8804-DC5325AF8598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7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FF2021CD-6151-E742-A378-0EE0C8C68542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17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865B3B8F-86D0-CC4F-BB1C-A3421F582592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7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C1CBA484-C1E5-F24F-B193-467777278D9D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8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317BB6DD-2B38-984F-9CEB-55A61721E0F9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18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9DBEBA59-DF81-084B-9843-586F605C2FD7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8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EE2AF040-94A3-F24D-8820-1EAE0E036C65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9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5E4B44BA-B5D8-8B42-B7A7-5AC81691B98B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19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335B999D-97A0-2149-AFAC-63CCEFAD7F8B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9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B7093DF1-D9D4-284C-AC9A-A67986EC22B3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C549C061-3F5E-5C45-8A4A-11DB65B10D9B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1A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E97A7EBB-431C-7F47-96FC-9C18D2D8B5A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A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D8EEF419-EC2B-7B41-9EAF-A630FE09273F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B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402B71CC-B4F9-9143-A287-A78B6A1E1341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1B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A359F7A1-841D-0F4E-B756-225DDD78DE6B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B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94529879-36D7-304A-91B7-C694B17512E8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sharedStrings.xml><?xml version="1.0" encoding="utf-8"?>
<sst xmlns="http://schemas.openxmlformats.org/spreadsheetml/2006/main" count="2340" uniqueCount="217">
  <si>
    <t>Bust</t>
  </si>
  <si>
    <t>Ace</t>
  </si>
  <si>
    <t>Total</t>
  </si>
  <si>
    <t>OutCome</t>
  </si>
  <si>
    <t>Soft</t>
  </si>
  <si>
    <t>Start Card</t>
  </si>
  <si>
    <t>Stand</t>
  </si>
  <si>
    <t>Outcome</t>
  </si>
  <si>
    <t>Prob</t>
  </si>
  <si>
    <t>Hard</t>
  </si>
  <si>
    <t>Pair</t>
  </si>
  <si>
    <t>Dealer BJ</t>
  </si>
  <si>
    <t>Cards 2</t>
  </si>
  <si>
    <t>Cards1</t>
  </si>
  <si>
    <t>Probability</t>
  </si>
  <si>
    <t>%</t>
  </si>
  <si>
    <t>Hard Value EV</t>
  </si>
  <si>
    <t>Soft Value EV</t>
  </si>
  <si>
    <t>Pair Value EV</t>
  </si>
  <si>
    <t>Total EV</t>
  </si>
  <si>
    <t>5-8</t>
  </si>
  <si>
    <t>17-21</t>
  </si>
  <si>
    <t>A</t>
  </si>
  <si>
    <t>My Basic Strategy</t>
  </si>
  <si>
    <t>H = Hit</t>
  </si>
  <si>
    <t>D = Double</t>
  </si>
  <si>
    <t>S = Stand</t>
  </si>
  <si>
    <t>P = Split</t>
  </si>
  <si>
    <t>R = Surrender</t>
  </si>
  <si>
    <t>Dealer BlakJack EV</t>
  </si>
  <si>
    <t>Blackjack</t>
  </si>
  <si>
    <t>Dealer Blackjack</t>
  </si>
  <si>
    <t>Player Not Blackjack</t>
  </si>
  <si>
    <t>Value</t>
  </si>
  <si>
    <t>Total Win Prob</t>
  </si>
  <si>
    <t>Total Lost Prob</t>
  </si>
  <si>
    <t>Simplified</t>
  </si>
  <si>
    <t>Percentage</t>
  </si>
  <si>
    <t>Count</t>
  </si>
  <si>
    <t>Different</t>
  </si>
  <si>
    <t>Summary</t>
  </si>
  <si>
    <t>Win Prob</t>
  </si>
  <si>
    <t>Lose Prob</t>
  </si>
  <si>
    <t>Lose %</t>
  </si>
  <si>
    <t>Win %</t>
  </si>
  <si>
    <t>Differ</t>
  </si>
  <si>
    <t>Total ER</t>
  </si>
  <si>
    <t>Return</t>
  </si>
  <si>
    <t>EV</t>
  </si>
  <si>
    <t>Edge</t>
  </si>
  <si>
    <t>Rules</t>
  </si>
  <si>
    <t>Hit</t>
  </si>
  <si>
    <t>Options</t>
  </si>
  <si>
    <t>Rules!$B$4*</t>
  </si>
  <si>
    <t>Double</t>
  </si>
  <si>
    <t>9,10,11</t>
  </si>
  <si>
    <t>Yes</t>
  </si>
  <si>
    <t>No</t>
  </si>
  <si>
    <t>Surrender Ace</t>
  </si>
  <si>
    <t>Min :2</t>
  </si>
  <si>
    <t>Surrend Allow</t>
  </si>
  <si>
    <t>Pay 3 to 2</t>
  </si>
  <si>
    <t>Pay 6 to 5</t>
  </si>
  <si>
    <t>On Blackjack</t>
  </si>
  <si>
    <t>European</t>
  </si>
  <si>
    <t>American</t>
  </si>
  <si>
    <t>American Rule</t>
  </si>
  <si>
    <t>European Rule</t>
  </si>
  <si>
    <t>Expected Value</t>
  </si>
  <si>
    <t>Possitive</t>
  </si>
  <si>
    <t>Negatives</t>
  </si>
  <si>
    <t>Split up to</t>
  </si>
  <si>
    <t>Hands</t>
  </si>
  <si>
    <t>Double After Split</t>
  </si>
  <si>
    <t>Any 2 Cards</t>
  </si>
  <si>
    <t>SPLIT TO 5 HANDS</t>
  </si>
  <si>
    <t>SPLIT TO 4 HANDS</t>
  </si>
  <si>
    <t>SPLIT TO 3 HANDS</t>
  </si>
  <si>
    <t>SPLIT TO 2 HANDS</t>
  </si>
  <si>
    <t>Hit After Split Ace</t>
  </si>
  <si>
    <t>Max :5</t>
  </si>
  <si>
    <t>Max :100</t>
  </si>
  <si>
    <t>Min :0</t>
  </si>
  <si>
    <t>Pay Instantly</t>
  </si>
  <si>
    <t>Normal</t>
  </si>
  <si>
    <t>Pay Even Money</t>
  </si>
  <si>
    <t>Split Ace to</t>
  </si>
  <si>
    <t>On Player 21</t>
  </si>
  <si>
    <t>On Dealer 22</t>
  </si>
  <si>
    <t>Busted</t>
  </si>
  <si>
    <t>Pushes</t>
  </si>
  <si>
    <t>Total Point</t>
  </si>
  <si>
    <t>Soft Point</t>
  </si>
  <si>
    <t>3RD Total</t>
  </si>
  <si>
    <t>4RD Total</t>
  </si>
  <si>
    <t>Check Sum</t>
  </si>
  <si>
    <t>Soft Value</t>
  </si>
  <si>
    <t>Softvalue</t>
  </si>
  <si>
    <t>Total Stop</t>
  </si>
  <si>
    <t>Hard Total</t>
  </si>
  <si>
    <t>Soft Total</t>
  </si>
  <si>
    <t>3Card Stop</t>
  </si>
  <si>
    <t>4Card Stop</t>
  </si>
  <si>
    <t>5RD Total</t>
  </si>
  <si>
    <t>2 Card</t>
  </si>
  <si>
    <t>3 Card</t>
  </si>
  <si>
    <t>4 Card</t>
  </si>
  <si>
    <t>5 Card</t>
  </si>
  <si>
    <t>ฺBust</t>
  </si>
  <si>
    <t>Stop</t>
  </si>
  <si>
    <t>Success</t>
  </si>
  <si>
    <t>2Card Stop</t>
  </si>
  <si>
    <t>5 Cards</t>
  </si>
  <si>
    <t>Three 7 Cards</t>
  </si>
  <si>
    <t>Pay Double</t>
  </si>
  <si>
    <t>Three 7 Cards EV</t>
  </si>
  <si>
    <t>2 Cards</t>
  </si>
  <si>
    <t>3 Cards</t>
  </si>
  <si>
    <t>7 Cards</t>
  </si>
  <si>
    <t>Cards</t>
  </si>
  <si>
    <t>Blackjack Rules Expected Value</t>
  </si>
  <si>
    <t>Dealer on Soft 17</t>
  </si>
  <si>
    <t>No of 10 in Deck</t>
  </si>
  <si>
    <t>Wining</t>
  </si>
  <si>
    <t>Losing</t>
  </si>
  <si>
    <t>Win:</t>
  </si>
  <si>
    <t>Lose:</t>
  </si>
  <si>
    <t>EV:</t>
  </si>
  <si>
    <t>Strategy 1</t>
  </si>
  <si>
    <t>Strategy 2</t>
  </si>
  <si>
    <t>ER</t>
  </si>
  <si>
    <t>Blackjack Final EV</t>
  </si>
  <si>
    <t>Blackjack Hand Probabilities</t>
  </si>
  <si>
    <t>Blackjack Hand Expected Return</t>
  </si>
  <si>
    <t>Bankroll</t>
  </si>
  <si>
    <t>Level</t>
  </si>
  <si>
    <t>Check</t>
  </si>
  <si>
    <t>EL</t>
  </si>
  <si>
    <t>Total Requirement</t>
  </si>
  <si>
    <t>Level Requirement</t>
  </si>
  <si>
    <t>Level Bet</t>
  </si>
  <si>
    <t>Strategy 3</t>
  </si>
  <si>
    <t>1x2</t>
  </si>
  <si>
    <t>1x3</t>
  </si>
  <si>
    <t>1x4</t>
  </si>
  <si>
    <t>1x5</t>
  </si>
  <si>
    <t>1x6</t>
  </si>
  <si>
    <t>1x7</t>
  </si>
  <si>
    <t>1x8</t>
  </si>
  <si>
    <t>1x9</t>
  </si>
  <si>
    <t>1x10</t>
  </si>
  <si>
    <t>BYE</t>
  </si>
  <si>
    <t>ROI/BYE</t>
  </si>
  <si>
    <t>Expected Return on Each Situations</t>
  </si>
  <si>
    <t>Bet Your Edge Bankroll</t>
  </si>
  <si>
    <t>Bet Your Edge +1 Bankroll</t>
  </si>
  <si>
    <t>Risk</t>
  </si>
  <si>
    <t>Bet Your Edge x2 Bankroll</t>
  </si>
  <si>
    <t>Bet Your Edge ROI</t>
  </si>
  <si>
    <t>1x4 2 Level</t>
  </si>
  <si>
    <t>H.Edge Bankroll</t>
  </si>
  <si>
    <t>1x3 3 Level</t>
  </si>
  <si>
    <t>Suggest Strategy</t>
  </si>
  <si>
    <t>Bankroll Steps</t>
  </si>
  <si>
    <t>ROI</t>
  </si>
  <si>
    <t>2x3</t>
  </si>
  <si>
    <t>2x4</t>
  </si>
  <si>
    <t>2x5</t>
  </si>
  <si>
    <t>2x6</t>
  </si>
  <si>
    <t>2x7</t>
  </si>
  <si>
    <t>2x8</t>
  </si>
  <si>
    <t>2x9</t>
  </si>
  <si>
    <t>2x10</t>
  </si>
  <si>
    <t>Bet Your Edge + 1 Bankroll</t>
  </si>
  <si>
    <t>Bet Your Edge x 2 Bankroll</t>
  </si>
  <si>
    <t>Bet your Edge Bankroll</t>
  </si>
  <si>
    <t>3x4</t>
  </si>
  <si>
    <t>3x5</t>
  </si>
  <si>
    <t>3x6</t>
  </si>
  <si>
    <t>3x7</t>
  </si>
  <si>
    <t>3x8</t>
  </si>
  <si>
    <t>3x9</t>
  </si>
  <si>
    <t>3x10</t>
  </si>
  <si>
    <t>Bet your Edge ROI</t>
  </si>
  <si>
    <t>Lose</t>
  </si>
  <si>
    <t>1 HR</t>
  </si>
  <si>
    <t>Earning/Hour</t>
  </si>
  <si>
    <t>Strategy Evs</t>
  </si>
  <si>
    <t>Strategy Edges</t>
  </si>
  <si>
    <t>Rsik</t>
  </si>
  <si>
    <t>Method 2</t>
  </si>
  <si>
    <t>Total EL</t>
  </si>
  <si>
    <t>Average</t>
  </si>
  <si>
    <t>Sum</t>
  </si>
  <si>
    <t>Method 1 (Wrong)</t>
  </si>
  <si>
    <t>Each Lose</t>
  </si>
  <si>
    <t>Suggested</t>
  </si>
  <si>
    <t>Soft 17</t>
  </si>
  <si>
    <t>Surrender Allow</t>
  </si>
  <si>
    <t>Split Up to</t>
  </si>
  <si>
    <t>Strategy #1</t>
  </si>
  <si>
    <t>Strategy #2</t>
  </si>
  <si>
    <t>Strategy #1 Bet your Edge Bankroll</t>
  </si>
  <si>
    <t>Strategy #2 Bet your Edge Bankroll</t>
  </si>
  <si>
    <t>Strategy #1 Bet Your Edge ROI</t>
  </si>
  <si>
    <t>Strategy #2 Bet Your Edge ROI</t>
  </si>
  <si>
    <t>Strategy #1 Return</t>
  </si>
  <si>
    <t>Strategy #2 Return</t>
  </si>
  <si>
    <t>General Win</t>
  </si>
  <si>
    <t>General Lose</t>
  </si>
  <si>
    <t>General EV</t>
  </si>
  <si>
    <t>General Expected Return</t>
  </si>
  <si>
    <t>#1,#2 1x6x2</t>
  </si>
  <si>
    <t>Casino Name</t>
  </si>
  <si>
    <t>Version Date</t>
  </si>
  <si>
    <t>20190918</t>
  </si>
  <si>
    <t>Bet Construct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</si>
</sst>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%"/>
    <numFmt numFmtId="165" formatCode="0.0000%"/>
    <numFmt numFmtId="166" formatCode="_(* #,##0_);_(* \(#,##0\);_(* &quot;-&quot;??_);_(@_)"/>
    <numFmt numFmtId="167" formatCode="0.000"/>
    <numFmt numFmtId="168" formatCode="_(* #,##0.0000_);_(* \(#,##0.0000\);_(* &quot;-&quot;??_);_(@_)"/>
  </numFmts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FF0000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7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</borders>
  <cellStyleXfs count="28">
    <xf numFmtId="0" fontId="0" fillId="0" borderId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369">
    <xf numFmtId="0" fontId="0" fillId="0" borderId="0" xfId="0"/>
    <xf numFmtId="0" fontId="0" fillId="0" borderId="1" xfId="0" applyBorder="1"/>
    <xf numFmtId="0" fontId="0" fillId="0" borderId="3" xfId="0" applyBorder="1"/>
    <xf numFmtId="0" fontId="9" fillId="0" borderId="6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10" fillId="3" borderId="5" xfId="0" applyFont="1" applyFill="1" applyBorder="1" applyAlignment="1">
      <alignment horizontal="center"/>
    </xf>
    <xf numFmtId="164" fontId="8" fillId="3" borderId="3" xfId="1" applyNumberFormat="1" applyFont="1" applyFill="1" applyBorder="1"/>
    <xf numFmtId="164" fontId="8" fillId="3" borderId="1" xfId="1" applyNumberFormat="1" applyFont="1" applyFill="1" applyBorder="1"/>
    <xf numFmtId="164" fontId="8" fillId="3" borderId="16" xfId="1" applyNumberFormat="1" applyFont="1" applyFill="1" applyBorder="1"/>
    <xf numFmtId="0" fontId="10" fillId="2" borderId="7" xfId="0" applyFont="1" applyFill="1" applyBorder="1" applyAlignment="1">
      <alignment horizontal="center"/>
    </xf>
    <xf numFmtId="164" fontId="8" fillId="2" borderId="8" xfId="1" applyNumberFormat="1" applyFont="1" applyFill="1" applyBorder="1"/>
    <xf numFmtId="164" fontId="8" fillId="2" borderId="9" xfId="1" applyNumberFormat="1" applyFont="1" applyFill="1" applyBorder="1"/>
    <xf numFmtId="164" fontId="8" fillId="2" borderId="15" xfId="1" applyNumberFormat="1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0" xfId="0" applyBorder="1"/>
    <xf numFmtId="0" fontId="0" fillId="0" borderId="4" xfId="0" applyBorder="1"/>
    <xf numFmtId="10" fontId="0" fillId="0" borderId="0" xfId="1" applyNumberFormat="1" applyFont="1"/>
    <xf numFmtId="0" fontId="0" fillId="0" borderId="0" xfId="0" applyAlignment="1">
      <alignment horizontal="center"/>
    </xf>
    <xf numFmtId="0" fontId="11" fillId="4" borderId="1" xfId="18" applyFont="1" applyFill="1" applyBorder="1" applyAlignment="1">
      <alignment horizontal="center" vertical="center"/>
    </xf>
    <xf numFmtId="0" fontId="4" fillId="0" borderId="0" xfId="18"/>
    <xf numFmtId="0" fontId="4" fillId="0" borderId="1" xfId="18" applyBorder="1" applyAlignment="1">
      <alignment horizontal="center" vertical="center"/>
    </xf>
    <xf numFmtId="0" fontId="13" fillId="4" borderId="1" xfId="18" applyFont="1" applyFill="1" applyBorder="1" applyAlignment="1">
      <alignment horizontal="center" vertical="center"/>
    </xf>
    <xf numFmtId="0" fontId="4" fillId="0" borderId="0" xfId="18" applyAlignment="1">
      <alignment horizontal="center" vertical="center"/>
    </xf>
    <xf numFmtId="0" fontId="11" fillId="4" borderId="24" xfId="18" applyFont="1" applyFill="1" applyBorder="1"/>
    <xf numFmtId="0" fontId="11" fillId="4" borderId="25" xfId="18" applyFont="1" applyFill="1" applyBorder="1"/>
    <xf numFmtId="0" fontId="4" fillId="0" borderId="9" xfId="18" applyBorder="1"/>
    <xf numFmtId="0" fontId="12" fillId="0" borderId="0" xfId="18" applyFont="1"/>
    <xf numFmtId="165" fontId="0" fillId="0" borderId="0" xfId="19" applyNumberFormat="1" applyFont="1"/>
    <xf numFmtId="0" fontId="11" fillId="4" borderId="26" xfId="18" applyFont="1" applyFill="1" applyBorder="1" applyAlignment="1">
      <alignment horizontal="center" vertical="center"/>
    </xf>
    <xf numFmtId="0" fontId="11" fillId="4" borderId="27" xfId="18" applyFont="1" applyFill="1" applyBorder="1" applyAlignment="1">
      <alignment horizontal="center" vertical="center"/>
    </xf>
    <xf numFmtId="0" fontId="11" fillId="4" borderId="28" xfId="18" applyFont="1" applyFill="1" applyBorder="1" applyAlignment="1">
      <alignment horizontal="center" vertical="center"/>
    </xf>
    <xf numFmtId="0" fontId="11" fillId="4" borderId="19" xfId="18" applyFont="1" applyFill="1" applyBorder="1" applyAlignment="1">
      <alignment horizontal="center" vertical="center"/>
    </xf>
    <xf numFmtId="0" fontId="4" fillId="0" borderId="14" xfId="18" applyBorder="1" applyAlignment="1">
      <alignment horizontal="center" vertical="center"/>
    </xf>
    <xf numFmtId="0" fontId="13" fillId="4" borderId="14" xfId="18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2" fillId="0" borderId="23" xfId="18" applyFont="1" applyBorder="1"/>
    <xf numFmtId="0" fontId="15" fillId="7" borderId="17" xfId="18" applyFont="1" applyFill="1" applyBorder="1"/>
    <xf numFmtId="0" fontId="9" fillId="0" borderId="1" xfId="0" applyFont="1" applyBorder="1"/>
    <xf numFmtId="164" fontId="8" fillId="2" borderId="1" xfId="1" applyNumberFormat="1" applyFont="1" applyFill="1" applyBorder="1"/>
    <xf numFmtId="0" fontId="0" fillId="0" borderId="26" xfId="0" applyBorder="1" applyAlignment="1">
      <alignment horizontal="center"/>
    </xf>
    <xf numFmtId="164" fontId="8" fillId="2" borderId="27" xfId="1" applyNumberFormat="1" applyFont="1" applyFill="1" applyBorder="1"/>
    <xf numFmtId="164" fontId="8" fillId="3" borderId="27" xfId="1" applyNumberFormat="1" applyFont="1" applyFill="1" applyBorder="1"/>
    <xf numFmtId="0" fontId="0" fillId="0" borderId="28" xfId="0" applyBorder="1"/>
    <xf numFmtId="0" fontId="0" fillId="0" borderId="19" xfId="0" applyBorder="1" applyAlignment="1">
      <alignment horizontal="center"/>
    </xf>
    <xf numFmtId="0" fontId="0" fillId="0" borderId="29" xfId="0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164" fontId="10" fillId="3" borderId="27" xfId="1" applyNumberFormat="1" applyFont="1" applyFill="1" applyBorder="1" applyAlignment="1">
      <alignment horizontal="center"/>
    </xf>
    <xf numFmtId="164" fontId="10" fillId="2" borderId="27" xfId="1" applyNumberFormat="1" applyFont="1" applyFill="1" applyBorder="1" applyAlignment="1">
      <alignment horizontal="center"/>
    </xf>
    <xf numFmtId="164" fontId="8" fillId="2" borderId="16" xfId="1" applyNumberFormat="1" applyFont="1" applyFill="1" applyBorder="1"/>
    <xf numFmtId="164" fontId="8" fillId="3" borderId="5" xfId="1" applyNumberFormat="1" applyFont="1" applyFill="1" applyBorder="1"/>
    <xf numFmtId="10" fontId="0" fillId="0" borderId="0" xfId="0" applyNumberFormat="1"/>
    <xf numFmtId="0" fontId="11" fillId="4" borderId="35" xfId="18" applyFont="1" applyFill="1" applyBorder="1" applyAlignment="1">
      <alignment horizontal="center" vertical="center"/>
    </xf>
    <xf numFmtId="0" fontId="4" fillId="0" borderId="22" xfId="18" applyBorder="1" applyAlignment="1">
      <alignment horizontal="center" vertical="center"/>
    </xf>
    <xf numFmtId="0" fontId="4" fillId="0" borderId="5" xfId="18" applyBorder="1" applyAlignment="1">
      <alignment horizontal="center" vertical="center"/>
    </xf>
    <xf numFmtId="0" fontId="4" fillId="0" borderId="6" xfId="18" applyBorder="1" applyAlignment="1">
      <alignment horizontal="center" vertical="center"/>
    </xf>
    <xf numFmtId="0" fontId="4" fillId="0" borderId="28" xfId="18" applyBorder="1"/>
    <xf numFmtId="0" fontId="4" fillId="0" borderId="23" xfId="18" applyBorder="1"/>
    <xf numFmtId="0" fontId="4" fillId="0" borderId="1" xfId="18" applyBorder="1"/>
    <xf numFmtId="0" fontId="11" fillId="4" borderId="47" xfId="18" applyFont="1" applyFill="1" applyBorder="1" applyAlignment="1">
      <alignment horizontal="center" vertical="center"/>
    </xf>
    <xf numFmtId="10" fontId="4" fillId="0" borderId="48" xfId="1" applyNumberFormat="1" applyFont="1" applyBorder="1" applyAlignment="1">
      <alignment horizontal="center" vertical="center"/>
    </xf>
    <xf numFmtId="10" fontId="4" fillId="0" borderId="0" xfId="18" applyNumberFormat="1"/>
    <xf numFmtId="0" fontId="4" fillId="0" borderId="34" xfId="18" applyBorder="1"/>
    <xf numFmtId="0" fontId="11" fillId="4" borderId="49" xfId="18" applyFont="1" applyFill="1" applyBorder="1" applyAlignment="1">
      <alignment horizontal="center" vertical="center"/>
    </xf>
    <xf numFmtId="0" fontId="11" fillId="4" borderId="22" xfId="18" applyFont="1" applyFill="1" applyBorder="1" applyAlignment="1">
      <alignment horizontal="center" vertical="center"/>
    </xf>
    <xf numFmtId="0" fontId="13" fillId="4" borderId="22" xfId="18" applyFont="1" applyFill="1" applyBorder="1" applyAlignment="1">
      <alignment horizontal="center" vertical="center"/>
    </xf>
    <xf numFmtId="0" fontId="13" fillId="4" borderId="23" xfId="18" applyFont="1" applyFill="1" applyBorder="1" applyAlignment="1">
      <alignment horizontal="center" vertical="center"/>
    </xf>
    <xf numFmtId="0" fontId="4" fillId="0" borderId="26" xfId="18" applyBorder="1" applyAlignment="1">
      <alignment horizontal="center" vertical="center"/>
    </xf>
    <xf numFmtId="0" fontId="4" fillId="0" borderId="27" xfId="18" applyBorder="1" applyAlignment="1">
      <alignment horizontal="center" vertical="center"/>
    </xf>
    <xf numFmtId="0" fontId="4" fillId="0" borderId="28" xfId="18" applyBorder="1" applyAlignment="1">
      <alignment horizontal="center" vertical="center"/>
    </xf>
    <xf numFmtId="10" fontId="4" fillId="0" borderId="29" xfId="1" applyNumberFormat="1" applyFont="1" applyBorder="1" applyAlignment="1">
      <alignment horizontal="center" vertical="center"/>
    </xf>
    <xf numFmtId="10" fontId="4" fillId="0" borderId="16" xfId="1" applyNumberFormat="1" applyFont="1" applyBorder="1" applyAlignment="1">
      <alignment horizontal="center" vertical="center"/>
    </xf>
    <xf numFmtId="10" fontId="4" fillId="0" borderId="17" xfId="1" applyNumberFormat="1" applyFont="1" applyBorder="1" applyAlignment="1">
      <alignment horizontal="center" vertical="center"/>
    </xf>
    <xf numFmtId="0" fontId="11" fillId="4" borderId="33" xfId="18" applyFont="1" applyFill="1" applyBorder="1" applyAlignment="1">
      <alignment horizontal="center" vertical="center"/>
    </xf>
    <xf numFmtId="10" fontId="4" fillId="0" borderId="47" xfId="1" applyNumberFormat="1" applyFont="1" applyBorder="1" applyAlignment="1">
      <alignment horizontal="center" vertical="center"/>
    </xf>
    <xf numFmtId="10" fontId="4" fillId="0" borderId="50" xfId="1" applyNumberFormat="1" applyFont="1" applyBorder="1" applyAlignment="1">
      <alignment horizontal="center" vertical="center"/>
    </xf>
    <xf numFmtId="0" fontId="4" fillId="0" borderId="4" xfId="18" applyBorder="1" applyAlignment="1">
      <alignment horizontal="center" vertical="center"/>
    </xf>
    <xf numFmtId="10" fontId="15" fillId="7" borderId="2" xfId="1" applyNumberFormat="1" applyFont="1" applyFill="1" applyBorder="1"/>
    <xf numFmtId="0" fontId="0" fillId="0" borderId="19" xfId="0" applyBorder="1"/>
    <xf numFmtId="0" fontId="0" fillId="0" borderId="29" xfId="0" applyBorder="1"/>
    <xf numFmtId="0" fontId="0" fillId="0" borderId="32" xfId="0" applyBorder="1"/>
    <xf numFmtId="0" fontId="0" fillId="0" borderId="10" xfId="0" applyBorder="1"/>
    <xf numFmtId="0" fontId="0" fillId="0" borderId="11" xfId="0" applyBorder="1"/>
    <xf numFmtId="0" fontId="0" fillId="0" borderId="25" xfId="0" applyBorder="1"/>
    <xf numFmtId="0" fontId="0" fillId="0" borderId="30" xfId="0" applyBorder="1"/>
    <xf numFmtId="0" fontId="0" fillId="0" borderId="53" xfId="0" applyBorder="1"/>
    <xf numFmtId="0" fontId="0" fillId="0" borderId="51" xfId="0" applyBorder="1"/>
    <xf numFmtId="0" fontId="0" fillId="0" borderId="50" xfId="0" applyBorder="1"/>
    <xf numFmtId="0" fontId="0" fillId="0" borderId="36" xfId="0" applyBorder="1"/>
    <xf numFmtId="0" fontId="0" fillId="0" borderId="2" xfId="0" applyBorder="1"/>
    <xf numFmtId="0" fontId="0" fillId="0" borderId="40" xfId="0" applyBorder="1"/>
    <xf numFmtId="0" fontId="0" fillId="0" borderId="49" xfId="0" applyBorder="1"/>
    <xf numFmtId="0" fontId="0" fillId="0" borderId="42" xfId="0" applyBorder="1"/>
    <xf numFmtId="0" fontId="0" fillId="0" borderId="44" xfId="0" applyBorder="1"/>
    <xf numFmtId="0" fontId="0" fillId="0" borderId="26" xfId="0" applyBorder="1"/>
    <xf numFmtId="0" fontId="0" fillId="0" borderId="27" xfId="0" applyBorder="1"/>
    <xf numFmtId="0" fontId="0" fillId="0" borderId="16" xfId="0" applyBorder="1"/>
    <xf numFmtId="0" fontId="11" fillId="4" borderId="26" xfId="18" applyFont="1" applyFill="1" applyBorder="1" applyAlignment="1">
      <alignment horizontal="left" vertical="center"/>
    </xf>
    <xf numFmtId="0" fontId="11" fillId="4" borderId="19" xfId="18" applyFont="1" applyFill="1" applyBorder="1" applyAlignment="1">
      <alignment horizontal="left" vertical="center"/>
    </xf>
    <xf numFmtId="0" fontId="0" fillId="0" borderId="37" xfId="0" applyBorder="1"/>
    <xf numFmtId="0" fontId="12" fillId="0" borderId="28" xfId="18" applyFont="1" applyBorder="1"/>
    <xf numFmtId="0" fontId="12" fillId="0" borderId="17" xfId="18" applyFont="1" applyBorder="1"/>
    <xf numFmtId="0" fontId="0" fillId="0" borderId="38" xfId="0" applyBorder="1"/>
    <xf numFmtId="0" fontId="0" fillId="0" borderId="39" xfId="0" applyBorder="1"/>
    <xf numFmtId="0" fontId="0" fillId="0" borderId="47" xfId="0" applyBorder="1"/>
    <xf numFmtId="0" fontId="0" fillId="0" borderId="48" xfId="0" applyBorder="1"/>
    <xf numFmtId="0" fontId="0" fillId="0" borderId="60" xfId="0" applyBorder="1"/>
    <xf numFmtId="0" fontId="0" fillId="8" borderId="1" xfId="0" applyFill="1" applyBorder="1"/>
    <xf numFmtId="0" fontId="0" fillId="8" borderId="26" xfId="0" applyFill="1" applyBorder="1"/>
    <xf numFmtId="16" fontId="0" fillId="8" borderId="27" xfId="0" applyNumberFormat="1" applyFill="1" applyBorder="1"/>
    <xf numFmtId="0" fontId="0" fillId="8" borderId="28" xfId="0" applyFill="1" applyBorder="1"/>
    <xf numFmtId="0" fontId="0" fillId="8" borderId="19" xfId="0" applyFill="1" applyBorder="1"/>
    <xf numFmtId="0" fontId="0" fillId="8" borderId="14" xfId="0" applyFill="1" applyBorder="1"/>
    <xf numFmtId="0" fontId="0" fillId="0" borderId="58" xfId="0" applyBorder="1"/>
    <xf numFmtId="0" fontId="0" fillId="8" borderId="35" xfId="0" applyFill="1" applyBorder="1"/>
    <xf numFmtId="0" fontId="0" fillId="8" borderId="22" xfId="0" applyFill="1" applyBorder="1"/>
    <xf numFmtId="0" fontId="0" fillId="8" borderId="23" xfId="0" applyFill="1" applyBorder="1"/>
    <xf numFmtId="0" fontId="0" fillId="7" borderId="10" xfId="0" applyFill="1" applyBorder="1" applyAlignment="1" applyProtection="1">
      <alignment horizontal="left"/>
      <protection locked="0"/>
    </xf>
    <xf numFmtId="0" fontId="0" fillId="7" borderId="21" xfId="0" applyFill="1" applyBorder="1" applyAlignment="1" applyProtection="1">
      <alignment horizontal="left"/>
      <protection locked="0"/>
    </xf>
    <xf numFmtId="0" fontId="0" fillId="7" borderId="55" xfId="0" applyFill="1" applyBorder="1" applyAlignment="1" applyProtection="1">
      <alignment horizontal="left"/>
      <protection locked="0"/>
    </xf>
    <xf numFmtId="0" fontId="0" fillId="7" borderId="32" xfId="0" applyFill="1" applyBorder="1" applyAlignment="1" applyProtection="1">
      <alignment horizontal="left"/>
      <protection locked="0"/>
    </xf>
    <xf numFmtId="0" fontId="0" fillId="7" borderId="11" xfId="0" applyFill="1" applyBorder="1" applyAlignment="1" applyProtection="1">
      <alignment horizontal="left"/>
      <protection locked="0"/>
    </xf>
    <xf numFmtId="10" fontId="4" fillId="0" borderId="0" xfId="1" applyNumberFormat="1" applyFont="1"/>
    <xf numFmtId="0" fontId="0" fillId="8" borderId="27" xfId="0" applyFill="1" applyBorder="1"/>
    <xf numFmtId="0" fontId="9" fillId="0" borderId="56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0" borderId="62" xfId="0" applyFont="1" applyBorder="1" applyAlignment="1">
      <alignment horizontal="center"/>
    </xf>
    <xf numFmtId="0" fontId="0" fillId="0" borderId="63" xfId="0" applyBorder="1"/>
    <xf numFmtId="0" fontId="0" fillId="0" borderId="9" xfId="0" applyBorder="1"/>
    <xf numFmtId="0" fontId="0" fillId="0" borderId="12" xfId="0" applyBorder="1"/>
    <xf numFmtId="0" fontId="0" fillId="0" borderId="57" xfId="0" applyBorder="1"/>
    <xf numFmtId="0" fontId="11" fillId="4" borderId="59" xfId="18" applyFont="1" applyFill="1" applyBorder="1" applyAlignment="1">
      <alignment horizontal="left" vertical="center"/>
    </xf>
    <xf numFmtId="0" fontId="11" fillId="4" borderId="61" xfId="18" applyFont="1" applyFill="1" applyBorder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64" xfId="0" applyBorder="1"/>
    <xf numFmtId="0" fontId="0" fillId="0" borderId="65" xfId="0" applyBorder="1"/>
    <xf numFmtId="0" fontId="0" fillId="0" borderId="15" xfId="0" applyBorder="1"/>
    <xf numFmtId="0" fontId="0" fillId="0" borderId="55" xfId="0" applyBorder="1"/>
    <xf numFmtId="0" fontId="0" fillId="7" borderId="0" xfId="0" applyFill="1" applyAlignment="1" applyProtection="1">
      <alignment horizontal="left"/>
      <protection locked="0"/>
    </xf>
    <xf numFmtId="0" fontId="11" fillId="4" borderId="29" xfId="18" applyFont="1" applyFill="1" applyBorder="1" applyAlignment="1">
      <alignment horizontal="left" vertical="center"/>
    </xf>
    <xf numFmtId="0" fontId="11" fillId="4" borderId="16" xfId="18" applyFont="1" applyFill="1" applyBorder="1" applyAlignment="1">
      <alignment horizontal="left" vertical="center"/>
    </xf>
    <xf numFmtId="0" fontId="11" fillId="4" borderId="30" xfId="18" applyFont="1" applyFill="1" applyBorder="1" applyAlignment="1">
      <alignment horizontal="left" vertical="center"/>
    </xf>
    <xf numFmtId="0" fontId="11" fillId="4" borderId="9" xfId="18" applyFont="1" applyFill="1" applyBorder="1" applyAlignment="1">
      <alignment horizontal="left" vertical="center"/>
    </xf>
    <xf numFmtId="0" fontId="12" fillId="0" borderId="14" xfId="18" applyFont="1" applyBorder="1"/>
    <xf numFmtId="0" fontId="4" fillId="0" borderId="23" xfId="18" applyBorder="1" applyAlignment="1">
      <alignment horizontal="center" vertical="center"/>
    </xf>
    <xf numFmtId="0" fontId="11" fillId="4" borderId="4" xfId="18" applyFont="1" applyFill="1" applyBorder="1" applyAlignment="1">
      <alignment horizontal="center" vertical="center"/>
    </xf>
    <xf numFmtId="0" fontId="11" fillId="4" borderId="3" xfId="18" applyFont="1" applyFill="1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7" borderId="0" xfId="0" applyFill="1"/>
    <xf numFmtId="0" fontId="0" fillId="0" borderId="54" xfId="0" applyBorder="1"/>
    <xf numFmtId="0" fontId="0" fillId="0" borderId="52" xfId="0" applyBorder="1"/>
    <xf numFmtId="0" fontId="0" fillId="0" borderId="67" xfId="0" applyBorder="1"/>
    <xf numFmtId="0" fontId="0" fillId="0" borderId="68" xfId="0" applyBorder="1"/>
    <xf numFmtId="0" fontId="10" fillId="5" borderId="0" xfId="0" applyFont="1" applyFill="1" applyAlignment="1">
      <alignment horizontal="center"/>
    </xf>
    <xf numFmtId="0" fontId="0" fillId="0" borderId="4" xfId="0" applyBorder="1" applyAlignment="1">
      <alignment horizontal="center"/>
    </xf>
    <xf numFmtId="0" fontId="0" fillId="7" borderId="0" xfId="0" applyFill="1" applyProtection="1">
      <protection locked="0"/>
    </xf>
    <xf numFmtId="166" fontId="0" fillId="0" borderId="1" xfId="20" applyNumberFormat="1" applyFont="1" applyBorder="1"/>
    <xf numFmtId="0" fontId="10" fillId="5" borderId="22" xfId="0" applyFont="1" applyFill="1" applyBorder="1" applyAlignment="1">
      <alignment horizontal="center"/>
    </xf>
    <xf numFmtId="10" fontId="9" fillId="0" borderId="2" xfId="1" applyNumberFormat="1" applyFont="1" applyBorder="1" applyAlignment="1">
      <alignment horizontal="center"/>
    </xf>
    <xf numFmtId="43" fontId="0" fillId="0" borderId="1" xfId="0" applyNumberFormat="1" applyBorder="1"/>
    <xf numFmtId="0" fontId="10" fillId="5" borderId="24" xfId="0" applyFont="1" applyFill="1" applyBorder="1" applyAlignment="1">
      <alignment horizontal="center"/>
    </xf>
    <xf numFmtId="167" fontId="0" fillId="0" borderId="1" xfId="0" applyNumberFormat="1" applyBorder="1"/>
    <xf numFmtId="168" fontId="0" fillId="0" borderId="0" xfId="20" applyNumberFormat="1" applyFont="1"/>
    <xf numFmtId="168" fontId="0" fillId="0" borderId="54" xfId="20" applyNumberFormat="1" applyFont="1" applyBorder="1" applyAlignment="1">
      <alignment horizontal="center"/>
    </xf>
    <xf numFmtId="168" fontId="0" fillId="0" borderId="31" xfId="20" applyNumberFormat="1" applyFont="1" applyBorder="1"/>
    <xf numFmtId="168" fontId="0" fillId="0" borderId="24" xfId="20" applyNumberFormat="1" applyFont="1" applyBorder="1"/>
    <xf numFmtId="168" fontId="0" fillId="0" borderId="40" xfId="20" applyNumberFormat="1" applyFont="1" applyBorder="1" applyAlignment="1">
      <alignment horizontal="center"/>
    </xf>
    <xf numFmtId="168" fontId="0" fillId="0" borderId="38" xfId="20" applyNumberFormat="1" applyFont="1" applyBorder="1" applyAlignment="1">
      <alignment horizontal="center"/>
    </xf>
    <xf numFmtId="168" fontId="0" fillId="0" borderId="26" xfId="20" applyNumberFormat="1" applyFont="1" applyBorder="1"/>
    <xf numFmtId="168" fontId="0" fillId="0" borderId="19" xfId="20" applyNumberFormat="1" applyFont="1" applyBorder="1"/>
    <xf numFmtId="168" fontId="0" fillId="0" borderId="29" xfId="20" applyNumberFormat="1" applyFont="1" applyBorder="1"/>
    <xf numFmtId="168" fontId="0" fillId="0" borderId="51" xfId="20" applyNumberFormat="1" applyFont="1" applyBorder="1"/>
    <xf numFmtId="168" fontId="0" fillId="0" borderId="30" xfId="20" applyNumberFormat="1" applyFont="1" applyBorder="1"/>
    <xf numFmtId="168" fontId="0" fillId="0" borderId="53" xfId="20" applyNumberFormat="1" applyFont="1" applyBorder="1"/>
    <xf numFmtId="43" fontId="0" fillId="0" borderId="28" xfId="0" applyNumberFormat="1" applyBorder="1"/>
    <xf numFmtId="43" fontId="0" fillId="0" borderId="14" xfId="0" applyNumberFormat="1" applyBorder="1"/>
    <xf numFmtId="0" fontId="1" fillId="0" borderId="0" xfId="18" applyFont="1"/>
    <xf numFmtId="0" fontId="4" fillId="0" borderId="19" xfId="18" applyBorder="1"/>
    <xf numFmtId="0" fontId="4" fillId="0" borderId="29" xfId="18" applyBorder="1"/>
    <xf numFmtId="0" fontId="4" fillId="0" borderId="16" xfId="18" applyBorder="1"/>
    <xf numFmtId="0" fontId="4" fillId="0" borderId="3" xfId="18" applyBorder="1"/>
    <xf numFmtId="0" fontId="4" fillId="0" borderId="13" xfId="18" applyBorder="1"/>
    <xf numFmtId="0" fontId="4" fillId="0" borderId="20" xfId="18" applyBorder="1"/>
    <xf numFmtId="0" fontId="1" fillId="0" borderId="5" xfId="18" applyFont="1" applyBorder="1"/>
    <xf numFmtId="0" fontId="4" fillId="0" borderId="46" xfId="18" applyBorder="1"/>
    <xf numFmtId="0" fontId="4" fillId="0" borderId="69" xfId="18" applyBorder="1"/>
    <xf numFmtId="0" fontId="4" fillId="0" borderId="24" xfId="18" applyBorder="1"/>
    <xf numFmtId="0" fontId="4" fillId="0" borderId="66" xfId="18" applyBorder="1"/>
    <xf numFmtId="0" fontId="4" fillId="0" borderId="11" xfId="18" applyBorder="1"/>
    <xf numFmtId="0" fontId="4" fillId="0" borderId="32" xfId="18" applyBorder="1"/>
    <xf numFmtId="0" fontId="1" fillId="0" borderId="11" xfId="18" applyFont="1" applyBorder="1"/>
    <xf numFmtId="0" fontId="4" fillId="0" borderId="21" xfId="18" applyBorder="1"/>
    <xf numFmtId="0" fontId="4" fillId="0" borderId="10" xfId="18" applyBorder="1"/>
    <xf numFmtId="0" fontId="1" fillId="0" borderId="2" xfId="18" applyFont="1" applyBorder="1"/>
    <xf numFmtId="0" fontId="4" fillId="0" borderId="27" xfId="18" applyBorder="1"/>
    <xf numFmtId="0" fontId="4" fillId="0" borderId="17" xfId="18" applyBorder="1"/>
    <xf numFmtId="0" fontId="1" fillId="0" borderId="6" xfId="18" applyFont="1" applyBorder="1"/>
    <xf numFmtId="0" fontId="4" fillId="0" borderId="7" xfId="18" applyBorder="1"/>
    <xf numFmtId="0" fontId="4" fillId="0" borderId="8" xfId="18" applyBorder="1"/>
    <xf numFmtId="0" fontId="4" fillId="0" borderId="15" xfId="18" applyBorder="1"/>
    <xf numFmtId="0" fontId="4" fillId="0" borderId="2" xfId="18" applyBorder="1"/>
    <xf numFmtId="0" fontId="4" fillId="0" borderId="12" xfId="18" applyBorder="1"/>
    <xf numFmtId="0" fontId="4" fillId="0" borderId="61" xfId="18" applyBorder="1"/>
    <xf numFmtId="0" fontId="4" fillId="0" borderId="22" xfId="18" applyBorder="1"/>
    <xf numFmtId="0" fontId="4" fillId="0" borderId="65" xfId="18" applyBorder="1"/>
    <xf numFmtId="0" fontId="4" fillId="0" borderId="70" xfId="18" applyBorder="1"/>
    <xf numFmtId="10" fontId="4" fillId="0" borderId="34" xfId="1" applyNumberFormat="1" applyFont="1" applyBorder="1"/>
    <xf numFmtId="0" fontId="1" fillId="0" borderId="21" xfId="18" applyFont="1" applyBorder="1"/>
    <xf numFmtId="0" fontId="1" fillId="0" borderId="10" xfId="18" applyFont="1" applyBorder="1"/>
    <xf numFmtId="0" fontId="1" fillId="0" borderId="7" xfId="18" applyFont="1" applyBorder="1"/>
    <xf numFmtId="0" fontId="1" fillId="0" borderId="46" xfId="18" applyFont="1" applyBorder="1"/>
    <xf numFmtId="0" fontId="4" fillId="0" borderId="41" xfId="18" applyBorder="1"/>
    <xf numFmtId="0" fontId="15" fillId="0" borderId="38" xfId="18" applyFont="1" applyBorder="1"/>
    <xf numFmtId="0" fontId="15" fillId="0" borderId="39" xfId="18" applyFont="1" applyBorder="1"/>
    <xf numFmtId="0" fontId="15" fillId="0" borderId="40" xfId="18" applyFont="1" applyBorder="1"/>
    <xf numFmtId="0" fontId="21" fillId="0" borderId="26" xfId="18" applyFont="1" applyBorder="1"/>
    <xf numFmtId="10" fontId="21" fillId="0" borderId="27" xfId="1" applyNumberFormat="1" applyFont="1" applyBorder="1"/>
    <xf numFmtId="2" fontId="21" fillId="0" borderId="27" xfId="18" applyNumberFormat="1" applyFont="1" applyBorder="1"/>
    <xf numFmtId="0" fontId="21" fillId="0" borderId="28" xfId="18" applyFont="1" applyBorder="1"/>
    <xf numFmtId="0" fontId="21" fillId="0" borderId="35" xfId="18" applyFont="1" applyBorder="1"/>
    <xf numFmtId="10" fontId="21" fillId="0" borderId="22" xfId="1" applyNumberFormat="1" applyFont="1" applyBorder="1"/>
    <xf numFmtId="2" fontId="21" fillId="0" borderId="22" xfId="18" applyNumberFormat="1" applyFont="1" applyBorder="1"/>
    <xf numFmtId="0" fontId="21" fillId="0" borderId="23" xfId="18" applyFont="1" applyBorder="1"/>
    <xf numFmtId="0" fontId="21" fillId="0" borderId="4" xfId="18" applyFont="1" applyBorder="1"/>
    <xf numFmtId="10" fontId="21" fillId="0" borderId="5" xfId="1" applyNumberFormat="1" applyFont="1" applyBorder="1"/>
    <xf numFmtId="2" fontId="21" fillId="0" borderId="5" xfId="18" applyNumberFormat="1" applyFont="1" applyBorder="1"/>
    <xf numFmtId="0" fontId="21" fillId="0" borderId="6" xfId="18" applyFont="1" applyBorder="1"/>
    <xf numFmtId="0" fontId="21" fillId="0" borderId="42" xfId="18" applyFont="1" applyBorder="1"/>
    <xf numFmtId="10" fontId="21" fillId="0" borderId="44" xfId="1" applyNumberFormat="1" applyFont="1" applyBorder="1"/>
    <xf numFmtId="0" fontId="21" fillId="0" borderId="44" xfId="18" applyFont="1" applyBorder="1"/>
    <xf numFmtId="0" fontId="21" fillId="0" borderId="45" xfId="18" applyFont="1" applyBorder="1"/>
    <xf numFmtId="0" fontId="17" fillId="0" borderId="0" xfId="0" applyFont="1" applyAlignment="1">
      <alignment horizontal="center"/>
    </xf>
    <xf numFmtId="0" fontId="17" fillId="0" borderId="58" xfId="0" applyFont="1" applyBorder="1" applyAlignment="1" applyProtection="1">
      <alignment horizontal="center"/>
      <protection locked="0"/>
    </xf>
    <xf numFmtId="0" fontId="10" fillId="5" borderId="24" xfId="0" applyFont="1" applyFill="1" applyBorder="1"/>
    <xf numFmtId="0" fontId="10" fillId="5" borderId="25" xfId="0" applyFont="1" applyFill="1" applyBorder="1"/>
    <xf numFmtId="0" fontId="10" fillId="5" borderId="9" xfId="0" applyFont="1" applyFill="1" applyBorder="1"/>
    <xf numFmtId="0" fontId="17" fillId="0" borderId="72" xfId="0" applyFont="1" applyBorder="1" applyAlignment="1">
      <alignment horizontal="center"/>
    </xf>
    <xf numFmtId="0" fontId="22" fillId="2" borderId="1" xfId="0" applyFont="1" applyFill="1" applyBorder="1" applyAlignment="1" applyProtection="1">
      <alignment horizontal="center"/>
      <protection locked="0"/>
    </xf>
    <xf numFmtId="0" fontId="23" fillId="2" borderId="1" xfId="0" applyFont="1" applyFill="1" applyBorder="1" applyAlignment="1" applyProtection="1">
      <alignment horizontal="center"/>
      <protection locked="0"/>
    </xf>
    <xf numFmtId="0" fontId="0" fillId="0" borderId="46" xfId="0" applyBorder="1"/>
    <xf numFmtId="0" fontId="0" fillId="0" borderId="69" xfId="0" applyBorder="1"/>
    <xf numFmtId="0" fontId="0" fillId="0" borderId="24" xfId="0" applyBorder="1"/>
    <xf numFmtId="0" fontId="0" fillId="0" borderId="31" xfId="0" applyBorder="1"/>
    <xf numFmtId="0" fontId="0" fillId="0" borderId="66" xfId="0" applyBorder="1"/>
    <xf numFmtId="168" fontId="0" fillId="0" borderId="32" xfId="20" applyNumberFormat="1" applyFont="1" applyBorder="1"/>
    <xf numFmtId="168" fontId="0" fillId="0" borderId="11" xfId="20" applyNumberFormat="1" applyFont="1" applyBorder="1"/>
    <xf numFmtId="168" fontId="0" fillId="0" borderId="12" xfId="20" applyNumberFormat="1" applyFont="1" applyBorder="1"/>
    <xf numFmtId="168" fontId="0" fillId="0" borderId="55" xfId="20" applyNumberFormat="1" applyFont="1" applyBorder="1" applyAlignment="1">
      <alignment horizontal="center"/>
    </xf>
    <xf numFmtId="0" fontId="12" fillId="9" borderId="23" xfId="18" applyFont="1" applyFill="1" applyBorder="1"/>
    <xf numFmtId="10" fontId="12" fillId="9" borderId="6" xfId="1" applyNumberFormat="1" applyFont="1" applyFill="1" applyBorder="1"/>
    <xf numFmtId="0" fontId="12" fillId="9" borderId="22" xfId="18" applyFont="1" applyFill="1" applyBorder="1"/>
    <xf numFmtId="10" fontId="12" fillId="9" borderId="5" xfId="1" applyNumberFormat="1" applyFont="1" applyFill="1" applyBorder="1"/>
    <xf numFmtId="0" fontId="12" fillId="10" borderId="5" xfId="18" applyFont="1" applyFill="1" applyBorder="1"/>
    <xf numFmtId="0" fontId="12" fillId="10" borderId="0" xfId="18" applyFont="1" applyFill="1" applyBorder="1"/>
    <xf numFmtId="0" fontId="12" fillId="10" borderId="3" xfId="18" applyFont="1" applyFill="1" applyBorder="1"/>
    <xf numFmtId="0" fontId="1" fillId="0" borderId="73" xfId="18" applyFont="1" applyBorder="1"/>
    <xf numFmtId="0" fontId="12" fillId="10" borderId="4" xfId="18" applyFont="1" applyFill="1" applyBorder="1"/>
    <xf numFmtId="0" fontId="4" fillId="0" borderId="5" xfId="18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8" xfId="0" applyNumberFormat="1" applyBorder="1"/>
    <xf numFmtId="0" fontId="0" fillId="0" borderId="14" xfId="0" applyNumberFormat="1" applyBorder="1"/>
    <xf numFmtId="0" fontId="0" fillId="0" borderId="17" xfId="0" applyNumberFormat="1" applyBorder="1"/>
    <xf numFmtId="0" fontId="0" fillId="0" borderId="1" xfId="0" applyNumberFormat="1" applyBorder="1"/>
    <xf numFmtId="0" fontId="0" fillId="0" borderId="0" xfId="0" applyNumberFormat="1"/>
    <xf numFmtId="0" fontId="0" fillId="0" borderId="32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0" xfId="0" applyNumberFormat="1" applyBorder="1"/>
    <xf numFmtId="0" fontId="0" fillId="0" borderId="2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74" xfId="0" applyBorder="1"/>
    <xf numFmtId="0" fontId="0" fillId="0" borderId="55" xfId="0" applyFill="1" applyBorder="1" applyAlignment="1">
      <alignment horizontal="center"/>
    </xf>
    <xf numFmtId="0" fontId="0" fillId="0" borderId="2" xfId="0" applyNumberFormat="1" applyFill="1" applyBorder="1"/>
    <xf numFmtId="0" fontId="11" fillId="4" borderId="8" xfId="18" applyFont="1" applyFill="1" applyBorder="1" applyAlignment="1">
      <alignment horizontal="left" vertical="center"/>
    </xf>
    <xf numFmtId="0" fontId="10" fillId="5" borderId="3" xfId="0" applyFont="1" applyFill="1" applyBorder="1" applyAlignment="1">
      <alignment horizontal="center"/>
    </xf>
    <xf numFmtId="0" fontId="10" fillId="5" borderId="48" xfId="0" applyFont="1" applyFill="1" applyBorder="1" applyAlignment="1">
      <alignment horizontal="center"/>
    </xf>
    <xf numFmtId="49" fontId="0" fillId="7" borderId="1" xfId="0" applyNumberFormat="1" applyFill="1" applyBorder="1" applyAlignment="1" applyProtection="1">
      <alignment horizontal="left"/>
      <protection locked="0"/>
    </xf>
    <xf numFmtId="0" fontId="18" fillId="7" borderId="33" xfId="0" applyFont="1" applyFill="1" applyBorder="1" applyAlignment="1" applyProtection="1">
      <alignment horizontal="center"/>
      <protection locked="0"/>
    </xf>
    <xf numFmtId="0" fontId="18" fillId="7" borderId="18" xfId="0" applyFont="1" applyFill="1" applyBorder="1" applyAlignment="1" applyProtection="1">
      <alignment horizontal="center"/>
      <protection locked="0"/>
    </xf>
    <xf numFmtId="0" fontId="18" fillId="7" borderId="34" xfId="0" applyFont="1" applyFill="1" applyBorder="1" applyAlignment="1" applyProtection="1">
      <alignment horizontal="center"/>
      <protection locked="0"/>
    </xf>
    <xf numFmtId="0" fontId="9" fillId="0" borderId="1" xfId="0" applyFont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9" fontId="9" fillId="0" borderId="33" xfId="1" applyFont="1" applyBorder="1" applyAlignment="1">
      <alignment horizontal="center"/>
    </xf>
    <xf numFmtId="9" fontId="9" fillId="0" borderId="18" xfId="1" applyFont="1" applyBorder="1" applyAlignment="1">
      <alignment horizontal="center"/>
    </xf>
    <xf numFmtId="0" fontId="17" fillId="5" borderId="54" xfId="0" applyFont="1" applyFill="1" applyBorder="1" applyAlignment="1">
      <alignment horizontal="center"/>
    </xf>
    <xf numFmtId="0" fontId="17" fillId="5" borderId="37" xfId="0" applyFont="1" applyFill="1" applyBorder="1" applyAlignment="1">
      <alignment horizontal="center"/>
    </xf>
    <xf numFmtId="49" fontId="0" fillId="7" borderId="24" xfId="0" applyNumberFormat="1" applyFill="1" applyBorder="1" applyAlignment="1" applyProtection="1">
      <alignment horizontal="center"/>
      <protection locked="0"/>
    </xf>
    <xf numFmtId="49" fontId="0" fillId="7" borderId="25" xfId="0" applyNumberFormat="1" applyFill="1" applyBorder="1" applyAlignment="1" applyProtection="1">
      <alignment horizontal="center"/>
      <protection locked="0"/>
    </xf>
    <xf numFmtId="49" fontId="0" fillId="7" borderId="9" xfId="0" applyNumberFormat="1" applyFill="1" applyBorder="1" applyAlignment="1" applyProtection="1">
      <alignment horizontal="center"/>
      <protection locked="0"/>
    </xf>
    <xf numFmtId="0" fontId="0" fillId="0" borderId="57" xfId="0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8" fillId="0" borderId="33" xfId="18" applyFont="1" applyBorder="1" applyAlignment="1">
      <alignment horizontal="center"/>
    </xf>
    <xf numFmtId="0" fontId="18" fillId="0" borderId="18" xfId="18" applyFont="1" applyBorder="1" applyAlignment="1">
      <alignment horizontal="center"/>
    </xf>
    <xf numFmtId="0" fontId="18" fillId="0" borderId="34" xfId="18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33" xfId="18" applyFont="1" applyBorder="1" applyAlignment="1">
      <alignment horizontal="center"/>
    </xf>
    <xf numFmtId="0" fontId="14" fillId="0" borderId="18" xfId="18" applyFont="1" applyBorder="1" applyAlignment="1">
      <alignment horizontal="center"/>
    </xf>
    <xf numFmtId="0" fontId="14" fillId="0" borderId="34" xfId="18" applyFont="1" applyBorder="1" applyAlignment="1">
      <alignment horizontal="center"/>
    </xf>
    <xf numFmtId="0" fontId="11" fillId="4" borderId="24" xfId="18" applyFont="1" applyFill="1" applyBorder="1" applyAlignment="1">
      <alignment horizontal="left" vertical="center"/>
    </xf>
    <xf numFmtId="0" fontId="11" fillId="4" borderId="25" xfId="18" applyFont="1" applyFill="1" applyBorder="1" applyAlignment="1">
      <alignment horizontal="left" vertical="center"/>
    </xf>
    <xf numFmtId="0" fontId="12" fillId="0" borderId="32" xfId="18" applyFont="1" applyBorder="1" applyAlignment="1">
      <alignment horizontal="center" vertical="center"/>
    </xf>
    <xf numFmtId="0" fontId="12" fillId="0" borderId="11" xfId="18" applyFont="1" applyBorder="1" applyAlignment="1">
      <alignment horizontal="center" vertical="center"/>
    </xf>
    <xf numFmtId="0" fontId="12" fillId="0" borderId="12" xfId="18" applyFont="1" applyBorder="1" applyAlignment="1">
      <alignment horizontal="center" vertical="center"/>
    </xf>
    <xf numFmtId="0" fontId="11" fillId="4" borderId="26" xfId="18" applyFont="1" applyFill="1" applyBorder="1" applyAlignment="1">
      <alignment horizontal="left" vertical="center"/>
    </xf>
    <xf numFmtId="0" fontId="11" fillId="4" borderId="27" xfId="18" applyFont="1" applyFill="1" applyBorder="1" applyAlignment="1">
      <alignment horizontal="left" vertical="center"/>
    </xf>
    <xf numFmtId="0" fontId="11" fillId="4" borderId="19" xfId="18" applyFont="1" applyFill="1" applyBorder="1" applyAlignment="1">
      <alignment horizontal="left" vertical="center"/>
    </xf>
    <xf numFmtId="0" fontId="11" fillId="4" borderId="1" xfId="18" applyFont="1" applyFill="1" applyBorder="1" applyAlignment="1">
      <alignment horizontal="left" vertical="center"/>
    </xf>
    <xf numFmtId="0" fontId="11" fillId="4" borderId="29" xfId="18" applyFont="1" applyFill="1" applyBorder="1" applyAlignment="1">
      <alignment horizontal="left" vertical="center"/>
    </xf>
    <xf numFmtId="0" fontId="11" fillId="4" borderId="16" xfId="18" applyFont="1" applyFill="1" applyBorder="1" applyAlignment="1">
      <alignment horizontal="left" vertical="center"/>
    </xf>
    <xf numFmtId="0" fontId="21" fillId="0" borderId="4" xfId="18" applyFont="1" applyBorder="1" applyAlignment="1">
      <alignment horizontal="center"/>
    </xf>
    <xf numFmtId="0" fontId="21" fillId="0" borderId="46" xfId="18" applyFont="1" applyBorder="1" applyAlignment="1">
      <alignment horizontal="center"/>
    </xf>
    <xf numFmtId="0" fontId="21" fillId="0" borderId="42" xfId="18" applyFont="1" applyBorder="1" applyAlignment="1">
      <alignment horizontal="center"/>
    </xf>
    <xf numFmtId="0" fontId="21" fillId="0" borderId="43" xfId="18" applyFont="1" applyBorder="1" applyAlignment="1">
      <alignment horizontal="center"/>
    </xf>
    <xf numFmtId="0" fontId="21" fillId="0" borderId="33" xfId="18" applyFont="1" applyBorder="1" applyAlignment="1">
      <alignment horizontal="center"/>
    </xf>
    <xf numFmtId="0" fontId="21" fillId="0" borderId="18" xfId="18" applyFont="1" applyBorder="1" applyAlignment="1">
      <alignment horizontal="center"/>
    </xf>
    <xf numFmtId="0" fontId="21" fillId="0" borderId="34" xfId="18" applyFont="1" applyBorder="1" applyAlignment="1">
      <alignment horizontal="center"/>
    </xf>
    <xf numFmtId="0" fontId="12" fillId="10" borderId="36" xfId="18" applyFont="1" applyFill="1" applyBorder="1" applyAlignment="1">
      <alignment horizontal="center"/>
    </xf>
    <xf numFmtId="0" fontId="12" fillId="10" borderId="37" xfId="18" applyFont="1" applyFill="1" applyBorder="1" applyAlignment="1">
      <alignment horizontal="center"/>
    </xf>
    <xf numFmtId="0" fontId="12" fillId="10" borderId="71" xfId="18" applyFont="1" applyFill="1" applyBorder="1" applyAlignment="1">
      <alignment horizontal="center"/>
    </xf>
    <xf numFmtId="0" fontId="21" fillId="0" borderId="36" xfId="18" applyFont="1" applyBorder="1" applyAlignment="1">
      <alignment horizontal="center"/>
    </xf>
    <xf numFmtId="0" fontId="21" fillId="0" borderId="37" xfId="18" applyFont="1" applyBorder="1" applyAlignment="1">
      <alignment horizontal="center"/>
    </xf>
    <xf numFmtId="0" fontId="21" fillId="0" borderId="26" xfId="18" applyFont="1" applyBorder="1" applyAlignment="1">
      <alignment horizontal="left"/>
    </xf>
    <xf numFmtId="0" fontId="21" fillId="0" borderId="31" xfId="18" applyFont="1" applyBorder="1" applyAlignment="1">
      <alignment horizontal="left"/>
    </xf>
    <xf numFmtId="0" fontId="21" fillId="0" borderId="35" xfId="18" applyFont="1" applyBorder="1" applyAlignment="1">
      <alignment horizontal="left"/>
    </xf>
    <xf numFmtId="0" fontId="21" fillId="0" borderId="41" xfId="18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17" fillId="5" borderId="72" xfId="0" applyNumberFormat="1" applyFont="1" applyFill="1" applyBorder="1" applyAlignment="1">
      <alignment horizontal="center"/>
    </xf>
    <xf numFmtId="0" fontId="22" fillId="2" borderId="24" xfId="0" applyFont="1" applyFill="1" applyBorder="1" applyAlignment="1" applyProtection="1">
      <alignment horizontal="center"/>
      <protection locked="0"/>
    </xf>
    <xf numFmtId="0" fontId="22" fillId="2" borderId="9" xfId="0" applyFont="1" applyFill="1" applyBorder="1" applyAlignment="1" applyProtection="1">
      <alignment horizontal="center"/>
      <protection locked="0"/>
    </xf>
    <xf numFmtId="0" fontId="10" fillId="5" borderId="24" xfId="0" applyFont="1" applyFill="1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0" fillId="5" borderId="9" xfId="0" applyFont="1" applyFill="1" applyBorder="1" applyAlignment="1">
      <alignment horizontal="center"/>
    </xf>
    <xf numFmtId="0" fontId="22" fillId="2" borderId="1" xfId="0" applyFont="1" applyFill="1" applyBorder="1" applyAlignment="1" applyProtection="1">
      <alignment horizontal="center"/>
      <protection locked="0"/>
    </xf>
    <xf numFmtId="0" fontId="23" fillId="2" borderId="1" xfId="0" applyFont="1" applyFill="1" applyBorder="1" applyAlignment="1" applyProtection="1">
      <alignment horizontal="center"/>
      <protection locked="0"/>
    </xf>
    <xf numFmtId="10" fontId="22" fillId="2" borderId="1" xfId="1" applyNumberFormat="1" applyFont="1" applyFill="1" applyBorder="1" applyAlignment="1" applyProtection="1">
      <alignment horizontal="center"/>
      <protection locked="0"/>
    </xf>
    <xf numFmtId="0" fontId="10" fillId="5" borderId="0" xfId="0" applyFont="1" applyFill="1" applyAlignment="1">
      <alignment horizontal="center"/>
    </xf>
    <xf numFmtId="10" fontId="23" fillId="2" borderId="1" xfId="1" applyNumberFormat="1" applyFont="1" applyFill="1" applyBorder="1" applyAlignment="1" applyProtection="1">
      <alignment horizontal="center"/>
      <protection locked="0"/>
    </xf>
  </cellXfs>
  <cellStyles count="28">
    <cellStyle name="Comma" xfId="20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22" builtinId="9" hidden="1"/>
    <cellStyle name="Followed Hyperlink" xfId="2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21" builtinId="8" hidden="1"/>
    <cellStyle name="Hyperlink" xfId="23" builtinId="8" hidden="1"/>
    <cellStyle name="Normal" xfId="0" builtinId="0"/>
    <cellStyle name="Normal 2" xfId="18" xr:uid="{00000000-0005-0000-0000-000016000000}"/>
    <cellStyle name="Normal 2 2" xfId="26" xr:uid="{0E70685A-EF51-412E-B335-C96BFAAE989E}"/>
    <cellStyle name="Percent" xfId="1" builtinId="5"/>
    <cellStyle name="Percent 2" xfId="19" xr:uid="{00000000-0005-0000-0000-000018000000}"/>
    <cellStyle name="Percent 2 2" xfId="27" xr:uid="{3BA3BC36-525B-4F60-BA24-633D986E099F}"/>
    <cellStyle name="Percent 3" xfId="25" xr:uid="{7B833B04-084D-4732-A84D-CE437AB9CCEC}"/>
  </cellStyles>
  <dxfs count="830"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Analysis!$R$7</c:f>
              <c:strCache>
                <c:ptCount val="1"/>
                <c:pt idx="0">
                  <c:v> Edge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Analysis!$R$8:$R$17</c:f>
              <c:numCache>
                <c:formatCode>_(* #,##0.0000_);_(* \(#,##0.0000\);_(* "-"??_);_(@_)</c:formatCode>
                <c:ptCount val="10"/>
                <c:pt idx="0">
                  <c:v>-0.27688428941541049</c:v>
                </c:pt>
                <c:pt idx="1">
                  <c:v>-5.9870695311820099E-2</c:v>
                </c:pt>
                <c:pt idx="2">
                  <c:v>3.31834502689482E-2</c:v>
                </c:pt>
                <c:pt idx="3">
                  <c:v>7.8977528484643122E-2</c:v>
                </c:pt>
                <c:pt idx="4">
                  <c:v>0.10303753652823489</c:v>
                </c:pt>
                <c:pt idx="5">
                  <c:v>0.11611363640827854</c:v>
                </c:pt>
                <c:pt idx="6">
                  <c:v>0.12335109197166821</c:v>
                </c:pt>
                <c:pt idx="7">
                  <c:v>0.12739743053184643</c:v>
                </c:pt>
                <c:pt idx="8">
                  <c:v>0.12967239978549744</c:v>
                </c:pt>
                <c:pt idx="9">
                  <c:v>0.13095549036954318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6-754B-84BC-7D0C1DEB8F92}"/>
            </c:ext>
          </c:extLst>
        </c:ser>
        <c:ser>
          <c:idx val="1"/>
          <c:order val="1"/>
          <c:tx>
            <c:strRef>
              <c:f>Analysis!$S$7</c:f>
              <c:strCache>
                <c:ptCount val="1"/>
                <c:pt idx="0">
                  <c:v>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Analysis!$S$8:$S$17</c:f>
              <c:numCache>
                <c:formatCode>General</c:formatCode>
                <c:ptCount val="10"/>
                <c:pt idx="0">
                  <c:v>0.63359336930578902</c:v>
                </c:pt>
                <c:pt idx="1">
                  <c:v>1.3496511441289469</c:v>
                </c:pt>
                <c:pt idx="2">
                  <c:v>2.1364294176189458</c:v>
                </c:pt>
                <c:pt idx="3">
                  <c:v>2.9806348340350377</c:v>
                </c:pt>
                <c:pt idx="4">
                  <c:v>3.8692518129931615</c:v>
                </c:pt>
                <c:pt idx="5">
                  <c:v>4.7907828958630123</c:v>
                </c:pt>
                <c:pt idx="6">
                  <c:v>5.7358341832646618</c:v>
                </c:pt>
                <c:pt idx="7">
                  <c:v>6.6971840253316195</c:v>
                </c:pt>
                <c:pt idx="8">
                  <c:v>7.6695417362840868</c:v>
                </c:pt>
                <c:pt idx="9">
                  <c:v>8.6491770619577206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6-754B-84BC-7D0C1DEB8F92}"/>
            </c:ext>
          </c:extLst>
        </c:ser>
        <c:ser>
          <c:idx val="2"/>
          <c:order val="2"/>
          <c:tx>
            <c:strRef>
              <c:f>Analysis!$T$7</c:f>
              <c:strCache>
                <c:ptCount val="1"/>
                <c:pt idx="0">
                  <c:v>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Analysis!$T$8:$T$17</c:f>
              <c:numCache>
                <c:formatCode>General</c:formatCode>
                <c:ptCount val="10"/>
                <c:pt idx="0">
                  <c:v>-0.63844214470770522</c:v>
                </c:pt>
                <c:pt idx="1">
                  <c:v>-1.3599797801056628</c:v>
                </c:pt>
                <c:pt idx="2">
                  <c:v>-2.1527791253493644</c:v>
                </c:pt>
                <c:pt idx="3">
                  <c:v>-3.0034450930521084</c:v>
                </c:pt>
                <c:pt idx="4">
                  <c:v>-3.8988624969484191</c:v>
                </c:pt>
                <c:pt idx="5">
                  <c:v>-4.8274458904376445</c:v>
                </c:pt>
                <c:pt idx="6">
                  <c:v>-5.7797294843277971</c:v>
                </c:pt>
                <c:pt idx="7">
                  <c:v>-6.7484363627727681</c:v>
                </c:pt>
                <c:pt idx="8">
                  <c:v>-7.7282353513318727</c:v>
                </c:pt>
                <c:pt idx="9">
                  <c:v>-8.7153676488806688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66-754B-84BC-7D0C1DEB8F92}"/>
            </c:ext>
          </c:extLst>
        </c:ser>
        <c:ser>
          <c:idx val="3"/>
          <c:order val="3"/>
          <c:tx>
            <c:strRef>
              <c:f>Analysis!$U$7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Analysis!$U$8:$U$17</c:f>
              <c:numCache>
                <c:formatCode>_(* #,##0.0000_);_(* \(#,##0.0000\);_(* "-"??_);_(@_)</c:formatCode>
                <c:ptCount val="10"/>
                <c:pt idx="0">
                  <c:v>-4.8487754019161944E-3</c:v>
                </c:pt>
                <c:pt idx="1">
                  <c:v>-1.032863597671585E-2</c:v>
                </c:pt>
                <c:pt idx="2">
                  <c:v>-1.6349707730418661E-2</c:v>
                </c:pt>
                <c:pt idx="3">
                  <c:v>-2.2810259017070678E-2</c:v>
                </c:pt>
                <c:pt idx="4">
                  <c:v>-2.9610683955257677E-2</c:v>
                </c:pt>
                <c:pt idx="5">
                  <c:v>-3.6662994574632179E-2</c:v>
                </c:pt>
                <c:pt idx="6">
                  <c:v>-4.3895301063135328E-2</c:v>
                </c:pt>
                <c:pt idx="7">
                  <c:v>-5.1252337441148654E-2</c:v>
                </c:pt>
                <c:pt idx="8">
                  <c:v>-5.8693615047785919E-2</c:v>
                </c:pt>
                <c:pt idx="9">
                  <c:v>-6.6190586922948214E-2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F-FC44-ACD8-F3249BA2F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5963424"/>
        <c:axId val="-1985960080"/>
      </c:lineChart>
      <c:catAx>
        <c:axId val="-1985963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960080"/>
        <c:crosses val="autoZero"/>
        <c:auto val="1"/>
        <c:lblAlgn val="ctr"/>
        <c:lblOffset val="100"/>
        <c:noMultiLvlLbl val="0"/>
      </c:catAx>
      <c:valAx>
        <c:axId val="-198596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96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'1x8'!$E$20</c:f>
              <c:strCache>
                <c:ptCount val="1"/>
                <c:pt idx="0">
                  <c:v>BYE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'1x8'!$E$21:$E$30</c:f>
              <c:numCache>
                <c:formatCode>General</c:formatCode>
                <c:ptCount val="10"/>
                <c:pt idx="0">
                  <c:v>62.795615002613289</c:v>
                </c:pt>
                <c:pt idx="1">
                  <c:v>145.42282055564115</c:v>
                </c:pt>
                <c:pt idx="2">
                  <c:v>867.63951409307447</c:v>
                </c:pt>
                <c:pt idx="3">
                  <c:v>6035.6778851263234</c:v>
                </c:pt>
                <c:pt idx="4">
                  <c:v>44578.034386365311</c:v>
                </c:pt>
                <c:pt idx="5">
                  <c:v>339127.80085272511</c:v>
                </c:pt>
                <c:pt idx="6">
                  <c:v>2623228.1999589805</c:v>
                </c:pt>
                <c:pt idx="7">
                  <c:v>20499558.509468738</c:v>
                </c:pt>
                <c:pt idx="8">
                  <c:v>161266049.81941202</c:v>
                </c:pt>
                <c:pt idx="9">
                  <c:v>1274403867.2391505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141840"/>
        <c:axId val="-1936138816"/>
      </c:lineChart>
      <c:catAx>
        <c:axId val="-193614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138816"/>
        <c:crosses val="autoZero"/>
        <c:auto val="1"/>
        <c:lblAlgn val="ctr"/>
        <c:lblOffset val="100"/>
        <c:noMultiLvlLbl val="0"/>
      </c:catAx>
      <c:valAx>
        <c:axId val="-193613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14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'1x9'!$E$20</c:f>
              <c:strCache>
                <c:ptCount val="1"/>
                <c:pt idx="0">
                  <c:v>BYE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'1x9'!$E$21:$E$30</c:f>
              <c:numCache>
                <c:formatCode>General</c:formatCode>
                <c:ptCount val="10"/>
                <c:pt idx="0">
                  <c:v>69.40567163781725</c:v>
                </c:pt>
                <c:pt idx="1">
                  <c:v>180.78295720771439</c:v>
                </c:pt>
                <c:pt idx="2">
                  <c:v>1211.8479494184614</c:v>
                </c:pt>
                <c:pt idx="3">
                  <c:v>9486.16806962595</c:v>
                </c:pt>
                <c:pt idx="4">
                  <c:v>78854.652430309623</c:v>
                </c:pt>
                <c:pt idx="5">
                  <c:v>675142.46720814169</c:v>
                </c:pt>
                <c:pt idx="6">
                  <c:v>5877193.6546766125</c:v>
                </c:pt>
                <c:pt idx="7">
                  <c:v>51684492.095476255</c:v>
                </c:pt>
                <c:pt idx="8">
                  <c:v>457534380.91927403</c:v>
                </c:pt>
                <c:pt idx="9">
                  <c:v>4068538407.5469871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25917904"/>
        <c:axId val="-1925931872"/>
      </c:lineChart>
      <c:catAx>
        <c:axId val="-192591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5931872"/>
        <c:crosses val="autoZero"/>
        <c:auto val="1"/>
        <c:lblAlgn val="ctr"/>
        <c:lblOffset val="100"/>
        <c:noMultiLvlLbl val="0"/>
      </c:catAx>
      <c:valAx>
        <c:axId val="-19259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591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'1x10'!$E$20</c:f>
              <c:strCache>
                <c:ptCount val="1"/>
                <c:pt idx="0">
                  <c:v>BYE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'1x10'!$E$21:$E$30</c:f>
              <c:numCache>
                <c:formatCode>General</c:formatCode>
                <c:ptCount val="10"/>
                <c:pt idx="0">
                  <c:v>76.361823179623926</c:v>
                </c:pt>
                <c:pt idx="1">
                  <c:v>220.27773175146362</c:v>
                </c:pt>
                <c:pt idx="2">
                  <c:v>1638.7026712514032</c:v>
                </c:pt>
                <c:pt idx="3">
                  <c:v>14254.107936906505</c:v>
                </c:pt>
                <c:pt idx="4">
                  <c:v>131686.23249709958</c:v>
                </c:pt>
                <c:pt idx="5">
                  <c:v>1253037.5044723682</c:v>
                </c:pt>
                <c:pt idx="6">
                  <c:v>12122176.34121535</c:v>
                </c:pt>
                <c:pt idx="7">
                  <c:v>118468064.26358871</c:v>
                </c:pt>
                <c:pt idx="8">
                  <c:v>1165428447.8124032</c:v>
                </c:pt>
                <c:pt idx="9">
                  <c:v>11516296875.751574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2214848"/>
        <c:axId val="1993849392"/>
      </c:lineChart>
      <c:catAx>
        <c:axId val="-193221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849392"/>
        <c:crosses val="autoZero"/>
        <c:auto val="1"/>
        <c:lblAlgn val="ctr"/>
        <c:lblOffset val="100"/>
        <c:noMultiLvlLbl val="0"/>
      </c:catAx>
      <c:valAx>
        <c:axId val="199384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221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'2x3'!$U$6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'2x3'!$U$7:$U$16</c:f>
              <c:numCache>
                <c:formatCode>_(* #,##0.0000_);_(* \(#,##0.0000\);_(* "-"??_);_(@_)</c:formatCode>
                <c:ptCount val="10"/>
                <c:pt idx="0">
                  <c:v>-1.6474127006424895</c:v>
                </c:pt>
                <c:pt idx="1">
                  <c:v>-3.5491679723167415</c:v>
                </c:pt>
                <c:pt idx="2">
                  <c:v>-5.6219372500261819</c:v>
                </c:pt>
                <c:pt idx="3">
                  <c:v>-7.796815552422883</c:v>
                </c:pt>
                <c:pt idx="4">
                  <c:v>-10.027306633192346</c:v>
                </c:pt>
                <c:pt idx="5">
                  <c:v>-12.286074695461188</c:v>
                </c:pt>
                <c:pt idx="6">
                  <c:v>-14.558510749333479</c:v>
                </c:pt>
                <c:pt idx="7">
                  <c:v>-16.83731140127847</c:v>
                </c:pt>
                <c:pt idx="8">
                  <c:v>-19.118994425311875</c:v>
                </c:pt>
                <c:pt idx="9">
                  <c:v>-21.401955491491627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352000"/>
        <c:axId val="-2106348976"/>
      </c:lineChart>
      <c:catAx>
        <c:axId val="-210635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348976"/>
        <c:crosses val="autoZero"/>
        <c:auto val="1"/>
        <c:lblAlgn val="ctr"/>
        <c:lblOffset val="100"/>
        <c:noMultiLvlLbl val="0"/>
      </c:catAx>
      <c:valAx>
        <c:axId val="-21063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35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'2x4'!$U$6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'2x4'!$U$7:$U$16</c:f>
              <c:numCache>
                <c:formatCode>_(* #,##0.0000_);_(* \(#,##0.0000\);_(* "-"??_);_(@_)</c:formatCode>
                <c:ptCount val="10"/>
                <c:pt idx="0">
                  <c:v>-2.0794192697122256</c:v>
                </c:pt>
                <c:pt idx="1">
                  <c:v>-4.4755665502086046</c:v>
                </c:pt>
                <c:pt idx="2">
                  <c:v>-7.0992092501570161</c:v>
                </c:pt>
                <c:pt idx="3">
                  <c:v>-9.870178940405701</c:v>
                </c:pt>
                <c:pt idx="4">
                  <c:v>-12.728951708215595</c:v>
                </c:pt>
                <c:pt idx="5">
                  <c:v>-15.636788056002619</c:v>
                </c:pt>
                <c:pt idx="6">
                  <c:v>-18.570729178249458</c:v>
                </c:pt>
                <c:pt idx="7">
                  <c:v>-21.518053860979421</c:v>
                </c:pt>
                <c:pt idx="8">
                  <c:v>-24.472049310191963</c:v>
                </c:pt>
                <c:pt idx="9">
                  <c:v>-27.429298306349953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3360432"/>
        <c:axId val="-1933357408"/>
      </c:lineChart>
      <c:catAx>
        <c:axId val="-193336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357408"/>
        <c:crosses val="autoZero"/>
        <c:auto val="1"/>
        <c:lblAlgn val="ctr"/>
        <c:lblOffset val="100"/>
        <c:noMultiLvlLbl val="0"/>
      </c:catAx>
      <c:valAx>
        <c:axId val="-193335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36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'2x5'!$U$6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'2x5'!$U$7:$U$16</c:f>
              <c:numCache>
                <c:formatCode>_(* #,##0.0000_);_(* \(#,##0.0000\);_(* "-"??_);_(@_)</c:formatCode>
                <c:ptCount val="10"/>
                <c:pt idx="0">
                  <c:v>-2.5377746976048519</c:v>
                </c:pt>
                <c:pt idx="1">
                  <c:v>-5.4571213588186129</c:v>
                </c:pt>
                <c:pt idx="2">
                  <c:v>-8.6597737557111607</c:v>
                </c:pt>
                <c:pt idx="3">
                  <c:v>-12.053640328797163</c:v>
                </c:pt>
                <c:pt idx="4">
                  <c:v>-15.566886083475994</c:v>
                </c:pt>
                <c:pt idx="5">
                  <c:v>-19.150207103557921</c:v>
                </c:pt>
                <c:pt idx="6">
                  <c:v>-22.772743102467238</c:v>
                </c:pt>
                <c:pt idx="7">
                  <c:v>-26.416433041609711</c:v>
                </c:pt>
                <c:pt idx="8">
                  <c:v>-30.071216172279719</c:v>
                </c:pt>
                <c:pt idx="9">
                  <c:v>-33.731690402296024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3283616"/>
        <c:axId val="-1933280592"/>
      </c:lineChart>
      <c:catAx>
        <c:axId val="-193328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280592"/>
        <c:crosses val="autoZero"/>
        <c:auto val="1"/>
        <c:lblAlgn val="ctr"/>
        <c:lblOffset val="100"/>
        <c:noMultiLvlLbl val="0"/>
      </c:catAx>
      <c:valAx>
        <c:axId val="-19332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28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'2x6'!$U$6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'2x6'!$U$7:$U$16</c:f>
              <c:numCache>
                <c:formatCode>_(* #,##0.0000_);_(* \(#,##0.0000\);_(* "-"??_);_(@_)</c:formatCode>
                <c:ptCount val="10"/>
                <c:pt idx="0">
                  <c:v>-3.0237438709843829</c:v>
                </c:pt>
                <c:pt idx="1">
                  <c:v>-6.4980775204370609</c:v>
                </c:pt>
                <c:pt idx="2">
                  <c:v>-10.312879154494988</c:v>
                </c:pt>
                <c:pt idx="3">
                  <c:v>-14.362597287512395</c:v>
                </c:pt>
                <c:pt idx="4">
                  <c:v>-18.562686040270439</c:v>
                </c:pt>
                <c:pt idx="5">
                  <c:v>-22.853423847985589</c:v>
                </c:pt>
                <c:pt idx="6">
                  <c:v>-27.196301034727913</c:v>
                </c:pt>
                <c:pt idx="7">
                  <c:v>-31.568094895408155</c:v>
                </c:pt>
                <c:pt idx="8">
                  <c:v>-35.955479477182294</c:v>
                </c:pt>
                <c:pt idx="9">
                  <c:v>-40.351086751709794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3206736"/>
        <c:axId val="-1933203712"/>
      </c:lineChart>
      <c:catAx>
        <c:axId val="-193320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203712"/>
        <c:crosses val="autoZero"/>
        <c:auto val="1"/>
        <c:lblAlgn val="ctr"/>
        <c:lblOffset val="100"/>
        <c:noMultiLvlLbl val="0"/>
      </c:catAx>
      <c:valAx>
        <c:axId val="-19332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20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'2x7'!$U$6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'2x7'!$U$7:$U$16</c:f>
              <c:numCache>
                <c:formatCode>_(* #,##0.0000_);_(* \(#,##0.0000\);_(* "-"??_);_(@_)</c:formatCode>
                <c:ptCount val="10"/>
                <c:pt idx="0">
                  <c:v>-3.5330454322254354</c:v>
                </c:pt>
                <c:pt idx="1">
                  <c:v>-7.5896464603716298</c:v>
                </c:pt>
                <c:pt idx="2">
                  <c:v>-12.045647889855253</c:v>
                </c:pt>
                <c:pt idx="3">
                  <c:v>-16.780572306568917</c:v>
                </c:pt>
                <c:pt idx="4">
                  <c:v>-21.69650217569626</c:v>
                </c:pt>
                <c:pt idx="5">
                  <c:v>-26.723163546231305</c:v>
                </c:pt>
                <c:pt idx="6">
                  <c:v>-31.814489449942641</c:v>
                </c:pt>
                <c:pt idx="7">
                  <c:v>-36.942234143139387</c:v>
                </c:pt>
                <c:pt idx="8">
                  <c:v>-42.089919244338702</c:v>
                </c:pt>
                <c:pt idx="9">
                  <c:v>-47.248283884361015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3130400"/>
        <c:axId val="-1933127376"/>
      </c:lineChart>
      <c:catAx>
        <c:axId val="-193313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127376"/>
        <c:crosses val="autoZero"/>
        <c:auto val="1"/>
        <c:lblAlgn val="ctr"/>
        <c:lblOffset val="100"/>
        <c:noMultiLvlLbl val="0"/>
      </c:catAx>
      <c:valAx>
        <c:axId val="-19331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13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'2x8'!$U$6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'2x8'!$U$7:$U$16</c:f>
              <c:numCache>
                <c:formatCode>_(* #,##0.0000_);_(* \(#,##0.0000\);_(* "-"??_);_(@_)</c:formatCode>
                <c:ptCount val="10"/>
                <c:pt idx="0">
                  <c:v>-4.0601850456380451</c:v>
                </c:pt>
                <c:pt idx="1">
                  <c:v>-8.720046508987183</c:v>
                </c:pt>
                <c:pt idx="2">
                  <c:v>-13.839807318055378</c:v>
                </c:pt>
                <c:pt idx="3">
                  <c:v>-19.282899773230316</c:v>
                </c:pt>
                <c:pt idx="4">
                  <c:v>-24.937425129413004</c:v>
                </c:pt>
                <c:pt idx="5">
                  <c:v>-30.722360606713703</c:v>
                </c:pt>
                <c:pt idx="6">
                  <c:v>-36.584101289520987</c:v>
                </c:pt>
                <c:pt idx="7">
                  <c:v>-42.489472069940689</c:v>
                </c:pt>
                <c:pt idx="8">
                  <c:v>-48.418938659731104</c:v>
                </c:pt>
                <c:pt idx="9">
                  <c:v>-54.361421837597412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3053296"/>
        <c:axId val="-1933050272"/>
      </c:lineChart>
      <c:catAx>
        <c:axId val="-193305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050272"/>
        <c:crosses val="autoZero"/>
        <c:auto val="1"/>
        <c:lblAlgn val="ctr"/>
        <c:lblOffset val="100"/>
        <c:noMultiLvlLbl val="0"/>
      </c:catAx>
      <c:valAx>
        <c:axId val="-19330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05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'2x9'!$U$6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'2x9'!$U$7:$U$16</c:f>
              <c:numCache>
                <c:formatCode>_(* #,##0.0000_);_(* \(#,##0.0000\);_(* "-"??_);_(@_)</c:formatCode>
                <c:ptCount val="10"/>
                <c:pt idx="0">
                  <c:v>-4.6001678723592141</c:v>
                </c:pt>
                <c:pt idx="1">
                  <c:v>-9.8784540508915395</c:v>
                </c:pt>
                <c:pt idx="2">
                  <c:v>-15.678340687118524</c:v>
                </c:pt>
                <c:pt idx="3">
                  <c:v>-21.846316537654335</c:v>
                </c:pt>
                <c:pt idx="4">
                  <c:v>-28.256026440182112</c:v>
                </c:pt>
                <c:pt idx="5">
                  <c:v>-34.815523716773839</c:v>
                </c:pt>
                <c:pt idx="6">
                  <c:v>-41.463660134380532</c:v>
                </c:pt>
                <c:pt idx="7">
                  <c:v>-48.162393302361593</c:v>
                </c:pt>
                <c:pt idx="8">
                  <c:v>-54.889205782127995</c:v>
                </c:pt>
                <c:pt idx="9">
                  <c:v>-61.631260394635873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2976928"/>
        <c:axId val="-1932973904"/>
      </c:lineChart>
      <c:catAx>
        <c:axId val="-193297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2973904"/>
        <c:crosses val="autoZero"/>
        <c:auto val="1"/>
        <c:lblAlgn val="ctr"/>
        <c:lblOffset val="100"/>
        <c:noMultiLvlLbl val="0"/>
      </c:catAx>
      <c:valAx>
        <c:axId val="-19329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297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Analysis!$R$23</c:f>
              <c:strCache>
                <c:ptCount val="1"/>
                <c:pt idx="0">
                  <c:v> Edge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Analysis!$R$24:$R$33</c:f>
              <c:numCache>
                <c:formatCode>_(* #,##0.0000_);_(* \(#,##0.0000\);_(* "-"??_);_(@_)</c:formatCode>
                <c:ptCount val="10"/>
                <c:pt idx="0">
                  <c:v>-0.66008886489950536</c:v>
                </c:pt>
                <c:pt idx="1">
                  <c:v>-0.51433698064165956</c:v>
                </c:pt>
                <c:pt idx="2">
                  <c:v>-0.44260913717878708</c:v>
                </c:pt>
                <c:pt idx="3">
                  <c:v>-0.40492364250548801</c:v>
                </c:pt>
                <c:pt idx="4">
                  <c:v>-0.38444238200532121</c:v>
                </c:pt>
                <c:pt idx="5">
                  <c:v>-0.37310626388814522</c:v>
                </c:pt>
                <c:pt idx="6">
                  <c:v>-0.36676843266299863</c:v>
                </c:pt>
                <c:pt idx="7">
                  <c:v>-0.36320511956954249</c:v>
                </c:pt>
                <c:pt idx="8">
                  <c:v>-0.36119539857182709</c:v>
                </c:pt>
                <c:pt idx="9">
                  <c:v>-0.36005989409831463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E-934E-8148-2C34652223AE}"/>
            </c:ext>
          </c:extLst>
        </c:ser>
        <c:ser>
          <c:idx val="1"/>
          <c:order val="1"/>
          <c:tx>
            <c:strRef>
              <c:f>Analysis!$S$23</c:f>
              <c:strCache>
                <c:ptCount val="1"/>
                <c:pt idx="0">
                  <c:v>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Analysis!$S$24:$S$33</c:f>
              <c:numCache>
                <c:formatCode>General</c:formatCode>
                <c:ptCount val="10"/>
                <c:pt idx="0">
                  <c:v>1.1215703423698427</c:v>
                </c:pt>
                <c:pt idx="1">
                  <c:v>2.3539110955796825</c:v>
                </c:pt>
                <c:pt idx="2">
                  <c:v>3.6762007085290125</c:v>
                </c:pt>
                <c:pt idx="3">
                  <c:v>5.06805271316908</c:v>
                </c:pt>
                <c:pt idx="4">
                  <c:v>6.5114584947403316</c:v>
                </c:pt>
                <c:pt idx="5">
                  <c:v>7.9917042699222263</c:v>
                </c:pt>
                <c:pt idx="6">
                  <c:v>9.4974786772604052</c:v>
                </c:pt>
                <c:pt idx="7">
                  <c:v>11.020494848753335</c:v>
                </c:pt>
                <c:pt idx="8">
                  <c:v>12.554910040159815</c:v>
                </c:pt>
                <c:pt idx="9">
                  <c:v>14.09672919393793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E-934E-8148-2C34652223AE}"/>
            </c:ext>
          </c:extLst>
        </c:ser>
        <c:ser>
          <c:idx val="2"/>
          <c:order val="2"/>
          <c:tx>
            <c:strRef>
              <c:f>Analysis!$T$23</c:f>
              <c:strCache>
                <c:ptCount val="1"/>
                <c:pt idx="0">
                  <c:v>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Analysis!$T$24:$T$33</c:f>
              <c:numCache>
                <c:formatCode>General</c:formatCode>
                <c:ptCount val="10"/>
                <c:pt idx="0">
                  <c:v>-1.1301535172435953</c:v>
                </c:pt>
                <c:pt idx="1">
                  <c:v>-2.3719251512366255</c:v>
                </c:pt>
                <c:pt idx="2">
                  <c:v>-3.7043340073158242</c:v>
                </c:pt>
                <c:pt idx="3">
                  <c:v>-5.1068376034815426</c:v>
                </c:pt>
                <c:pt idx="4">
                  <c:v>-6.5612895083042648</c:v>
                </c:pt>
                <c:pt idx="5">
                  <c:v>-8.0528633365422646</c:v>
                </c:pt>
                <c:pt idx="6">
                  <c:v>-9.570161162938847</c:v>
                </c:pt>
                <c:pt idx="7">
                  <c:v>-11.104832701591233</c:v>
                </c:pt>
                <c:pt idx="8">
                  <c:v>-12.650990494793831</c:v>
                </c:pt>
                <c:pt idx="9">
                  <c:v>-14.204608911552294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DE-934E-8148-2C34652223AE}"/>
            </c:ext>
          </c:extLst>
        </c:ser>
        <c:ser>
          <c:idx val="3"/>
          <c:order val="3"/>
          <c:tx>
            <c:strRef>
              <c:f>Analysis!$U$23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Analysis!$U$24:$U$33</c:f>
              <c:numCache>
                <c:formatCode>_(* #,##0.0000_);_(* \(#,##0.0000\);_(* "-"??_);_(@_)</c:formatCode>
                <c:ptCount val="10"/>
                <c:pt idx="0">
                  <c:v>-8.583174873752597E-3</c:v>
                </c:pt>
                <c:pt idx="1">
                  <c:v>-1.8014055656943029E-2</c:v>
                </c:pt>
                <c:pt idx="2">
                  <c:v>-2.81332987868117E-2</c:v>
                </c:pt>
                <c:pt idx="3">
                  <c:v>-3.8784890312462572E-2</c:v>
                </c:pt>
                <c:pt idx="4">
                  <c:v>-4.9831013563933269E-2</c:v>
                </c:pt>
                <c:pt idx="5">
                  <c:v>-6.1159066620038338E-2</c:v>
                </c:pt>
                <c:pt idx="6">
                  <c:v>-7.2682485678441822E-2</c:v>
                </c:pt>
                <c:pt idx="7">
                  <c:v>-8.4337852837897742E-2</c:v>
                </c:pt>
                <c:pt idx="8">
                  <c:v>-9.6080454634016377E-2</c:v>
                </c:pt>
                <c:pt idx="9">
                  <c:v>-0.1078797176143631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D-BE40-AE07-4A63048AF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5900160"/>
        <c:axId val="-1985896816"/>
      </c:lineChart>
      <c:catAx>
        <c:axId val="-198590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896816"/>
        <c:crosses val="autoZero"/>
        <c:auto val="1"/>
        <c:lblAlgn val="ctr"/>
        <c:lblOffset val="100"/>
        <c:noMultiLvlLbl val="0"/>
      </c:catAx>
      <c:valAx>
        <c:axId val="-198589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90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'2x10'!$U$6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'2x10'!$U$7:$U$16</c:f>
              <c:numCache>
                <c:formatCode>_(* #,##0.0000_);_(* \(#,##0.0000\);_(* "-"??_);_(@_)</c:formatCode>
                <c:ptCount val="10"/>
                <c:pt idx="0">
                  <c:v>-5.1490282593588841</c:v>
                </c:pt>
                <c:pt idx="1">
                  <c:v>-11.056240372406927</c:v>
                </c:pt>
                <c:pt idx="2">
                  <c:v>-17.547610890733466</c:v>
                </c:pt>
                <c:pt idx="3">
                  <c:v>-24.452088777025505</c:v>
                </c:pt>
                <c:pt idx="4">
                  <c:v>-31.628520680977239</c:v>
                </c:pt>
                <c:pt idx="5">
                  <c:v>-38.973903013940614</c:v>
                </c:pt>
                <c:pt idx="6">
                  <c:v>-46.419533756087525</c:v>
                </c:pt>
                <c:pt idx="7">
                  <c:v>-53.922544447607812</c:v>
                </c:pt>
                <c:pt idx="8">
                  <c:v>-61.457486234122591</c:v>
                </c:pt>
                <c:pt idx="9">
                  <c:v>-69.009808443796402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389504"/>
        <c:axId val="-1935929568"/>
      </c:lineChart>
      <c:catAx>
        <c:axId val="-198538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5929568"/>
        <c:crosses val="autoZero"/>
        <c:auto val="1"/>
        <c:lblAlgn val="ctr"/>
        <c:lblOffset val="100"/>
        <c:noMultiLvlLbl val="0"/>
      </c:catAx>
      <c:valAx>
        <c:axId val="-19359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38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'3x4'!$U$6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'3x4'!$U$7:$U$16</c:f>
              <c:numCache>
                <c:formatCode>_(* #,##0.0000_);_(* \(#,##0.0000\);_(* "-"??_);_(@_)</c:formatCode>
                <c:ptCount val="10"/>
                <c:pt idx="0">
                  <c:v>-6.0720066559623138</c:v>
                </c:pt>
                <c:pt idx="1">
                  <c:v>-12.925649521719228</c:v>
                </c:pt>
                <c:pt idx="2">
                  <c:v>-20.078676283167965</c:v>
                </c:pt>
                <c:pt idx="3">
                  <c:v>-27.32519146887887</c:v>
                </c:pt>
                <c:pt idx="4">
                  <c:v>-34.597479701261605</c:v>
                </c:pt>
                <c:pt idx="5">
                  <c:v>-41.876350967216936</c:v>
                </c:pt>
                <c:pt idx="6">
                  <c:v>-49.156823387318752</c:v>
                </c:pt>
                <c:pt idx="7">
                  <c:v>-56.437672505828345</c:v>
                </c:pt>
                <c:pt idx="8">
                  <c:v>-63.718608158523793</c:v>
                </c:pt>
                <c:pt idx="9">
                  <c:v>-70.999563336737424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6-E343-B621-93D8E8709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556384"/>
        <c:axId val="-1985155968"/>
      </c:lineChart>
      <c:catAx>
        <c:axId val="-198555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155968"/>
        <c:crosses val="autoZero"/>
        <c:auto val="1"/>
        <c:lblAlgn val="ctr"/>
        <c:lblOffset val="100"/>
        <c:noMultiLvlLbl val="0"/>
      </c:catAx>
      <c:valAx>
        <c:axId val="-198515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55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'3x5'!$U$6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'3x5'!$U$7:$U$16</c:f>
              <c:numCache>
                <c:formatCode>_(* #,##0.0000_);_(* \(#,##0.0000\);_(* "-"??_);_(@_)</c:formatCode>
                <c:ptCount val="10"/>
                <c:pt idx="0">
                  <c:v>-7.7148859708677096</c:v>
                </c:pt>
                <c:pt idx="1">
                  <c:v>-16.44792800765002</c:v>
                </c:pt>
                <c:pt idx="2">
                  <c:v>-25.588751583630273</c:v>
                </c:pt>
                <c:pt idx="3">
                  <c:v>-34.863347298847316</c:v>
                </c:pt>
                <c:pt idx="4">
                  <c:v>-44.176722333924829</c:v>
                </c:pt>
                <c:pt idx="5">
                  <c:v>-53.500510942770752</c:v>
                </c:pt>
                <c:pt idx="6">
                  <c:v>-62.826961396537506</c:v>
                </c:pt>
                <c:pt idx="7">
                  <c:v>-72.154069791090336</c:v>
                </c:pt>
                <c:pt idx="8">
                  <c:v>-81.48133694206129</c:v>
                </c:pt>
                <c:pt idx="9">
                  <c:v>-90.808641714259835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6-48B2-A1FA-8D12D664B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479808"/>
        <c:axId val="-1985476784"/>
      </c:lineChart>
      <c:catAx>
        <c:axId val="-19854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476784"/>
        <c:crosses val="autoZero"/>
        <c:auto val="1"/>
        <c:lblAlgn val="ctr"/>
        <c:lblOffset val="100"/>
        <c:noMultiLvlLbl val="0"/>
      </c:catAx>
      <c:valAx>
        <c:axId val="-19854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47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'3x6'!$U$6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'3x6'!$U$7:$U$16</c:f>
              <c:numCache>
                <c:formatCode>_(* #,##0.0000_);_(* \(#,##0.0000\);_(* "-"??_);_(@_)</c:formatCode>
                <c:ptCount val="10"/>
                <c:pt idx="0">
                  <c:v>-9.3889749204073958</c:v>
                </c:pt>
                <c:pt idx="1">
                  <c:v>-20.033261938443729</c:v>
                </c:pt>
                <c:pt idx="2">
                  <c:v>-31.192627875771542</c:v>
                </c:pt>
                <c:pt idx="3">
                  <c:v>-42.5255604605806</c:v>
                </c:pt>
                <c:pt idx="4">
                  <c:v>-53.91020756855545</c:v>
                </c:pt>
                <c:pt idx="5">
                  <c:v>-65.309126718055111</c:v>
                </c:pt>
                <c:pt idx="6">
                  <c:v>-76.711794336737341</c:v>
                </c:pt>
                <c:pt idx="7">
                  <c:v>-88.115413804170799</c:v>
                </c:pt>
                <c:pt idx="8">
                  <c:v>-99.519269193887325</c:v>
                </c:pt>
                <c:pt idx="9">
                  <c:v>-110.92318200718115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5-4536-BE92-0DAB3951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075952"/>
        <c:axId val="-1936072928"/>
      </c:lineChart>
      <c:catAx>
        <c:axId val="-193607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072928"/>
        <c:crosses val="autoZero"/>
        <c:auto val="1"/>
        <c:lblAlgn val="ctr"/>
        <c:lblOffset val="100"/>
        <c:noMultiLvlLbl val="0"/>
      </c:catAx>
      <c:valAx>
        <c:axId val="-193607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07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'3x7'!$U$6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'3x7'!$U$7:$U$16</c:f>
              <c:numCache>
                <c:formatCode>_(* #,##0.0000_);_(* \(#,##0.0000\);_(* "-"??_);_(@_)</c:formatCode>
                <c:ptCount val="10"/>
                <c:pt idx="0">
                  <c:v>-11.08501341208054</c:v>
                </c:pt>
                <c:pt idx="1">
                  <c:v>-23.662562029294218</c:v>
                </c:pt>
                <c:pt idx="2">
                  <c:v>-36.860772286989302</c:v>
                </c:pt>
                <c:pt idx="3">
                  <c:v>-50.271260477059947</c:v>
                </c:pt>
                <c:pt idx="4">
                  <c:v>-63.745967260782614</c:v>
                </c:pt>
                <c:pt idx="5">
                  <c:v>-77.23866799405441</c:v>
                </c:pt>
                <c:pt idx="6">
                  <c:v>-90.736166473256162</c:v>
                </c:pt>
                <c:pt idx="7">
                  <c:v>-104.23490161661488</c:v>
                </c:pt>
                <c:pt idx="8">
                  <c:v>-117.73394787632061</c:v>
                </c:pt>
                <c:pt idx="9">
                  <c:v>-131.23307099471612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B-4F91-A004-6AB09417E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5999136"/>
        <c:axId val="-1935996112"/>
      </c:lineChart>
      <c:catAx>
        <c:axId val="-193599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5996112"/>
        <c:crosses val="autoZero"/>
        <c:auto val="1"/>
        <c:lblAlgn val="ctr"/>
        <c:lblOffset val="100"/>
        <c:noMultiLvlLbl val="0"/>
      </c:catAx>
      <c:valAx>
        <c:axId val="-19359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599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'3x8'!$U$6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'3x8'!$U$7:$U$16</c:f>
              <c:numCache>
                <c:formatCode>_(* #,##0.0000_);_(* \(#,##0.0000\);_(* "-"??_);_(@_)</c:formatCode>
                <c:ptCount val="10"/>
                <c:pt idx="0">
                  <c:v>-12.795994942560228</c:v>
                </c:pt>
                <c:pt idx="1">
                  <c:v>-27.321597365199128</c:v>
                </c:pt>
                <c:pt idx="2">
                  <c:v>-42.571840419978273</c:v>
                </c:pt>
                <c:pt idx="3">
                  <c:v>-58.071994367835885</c:v>
                </c:pt>
                <c:pt idx="4">
                  <c:v>-73.648398688594654</c:v>
                </c:pt>
                <c:pt idx="5">
                  <c:v>-89.246350654843198</c:v>
                </c:pt>
                <c:pt idx="6">
                  <c:v>-104.8500965777197</c:v>
                </c:pt>
                <c:pt idx="7">
                  <c:v>-120.4553485196751</c:v>
                </c:pt>
                <c:pt idx="8">
                  <c:v>-136.06098251575781</c:v>
                </c:pt>
                <c:pt idx="9">
                  <c:v>-151.6667116832125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F-4969-9C31-BD0E9832A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388176"/>
        <c:axId val="-1985314560"/>
      </c:lineChart>
      <c:catAx>
        <c:axId val="-198538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314560"/>
        <c:crosses val="autoZero"/>
        <c:auto val="1"/>
        <c:lblAlgn val="ctr"/>
        <c:lblOffset val="100"/>
        <c:noMultiLvlLbl val="0"/>
      </c:catAx>
      <c:valAx>
        <c:axId val="-198531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38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'3x9'!$U$6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'3x9'!$U$7:$U$16</c:f>
              <c:numCache>
                <c:formatCode>_(* #,##0.0000_);_(* \(#,##0.0000\);_(* "-"??_);_(@_)</c:formatCode>
                <c:ptCount val="10"/>
                <c:pt idx="0">
                  <c:v>-14.516899546489316</c:v>
                </c:pt>
                <c:pt idx="1">
                  <c:v>-31.000270030402341</c:v>
                </c:pt>
                <c:pt idx="2">
                  <c:v>-48.310984683013587</c:v>
                </c:pt>
                <c:pt idx="3">
                  <c:v>-65.908368221727713</c:v>
                </c:pt>
                <c:pt idx="4">
                  <c:v>-83.593637789493656</c:v>
                </c:pt>
                <c:pt idx="5">
                  <c:v>-101.30386224744279</c:v>
                </c:pt>
                <c:pt idx="6">
                  <c:v>-119.02082878116505</c:v>
                </c:pt>
                <c:pt idx="7">
                  <c:v>-136.73955606551408</c:v>
                </c:pt>
                <c:pt idx="8">
                  <c:v>-154.45873212771795</c:v>
                </c:pt>
                <c:pt idx="9">
                  <c:v>-172.17802050682764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6-4C82-88E2-BE300815D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148272"/>
        <c:axId val="-1985145248"/>
      </c:lineChart>
      <c:catAx>
        <c:axId val="-198514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145248"/>
        <c:crosses val="autoZero"/>
        <c:auto val="1"/>
        <c:lblAlgn val="ctr"/>
        <c:lblOffset val="100"/>
        <c:noMultiLvlLbl val="0"/>
      </c:catAx>
      <c:valAx>
        <c:axId val="-19851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14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'3x10'!$U$6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'3x10'!$U$7:$U$16</c:f>
              <c:numCache>
                <c:formatCode>_(* #,##0.0000_);_(* \(#,##0.0000\);_(* "-"??_);_(@_)</c:formatCode>
                <c:ptCount val="10"/>
                <c:pt idx="0">
                  <c:v>-16.244265743253639</c:v>
                </c:pt>
                <c:pt idx="1">
                  <c:v>-34.691669373425604</c:v>
                </c:pt>
                <c:pt idx="2">
                  <c:v>-54.068186143271859</c:v>
                </c:pt>
                <c:pt idx="3">
                  <c:v>-73.767484805682642</c:v>
                </c:pt>
                <c:pt idx="4">
                  <c:v>-93.566009027443798</c:v>
                </c:pt>
                <c:pt idx="5">
                  <c:v>-113.39278413378989</c:v>
                </c:pt>
                <c:pt idx="6">
                  <c:v>-133.22721228044361</c:v>
                </c:pt>
                <c:pt idx="7">
                  <c:v>-153.0636444124012</c:v>
                </c:pt>
                <c:pt idx="8">
                  <c:v>-172.90058867271816</c:v>
                </c:pt>
                <c:pt idx="9">
                  <c:v>-192.7376614437585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2-42CD-8E23-47038D1C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199104"/>
        <c:axId val="-1985384208"/>
      </c:lineChart>
      <c:catAx>
        <c:axId val="-198519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384208"/>
        <c:crosses val="autoZero"/>
        <c:auto val="1"/>
        <c:lblAlgn val="ctr"/>
        <c:lblOffset val="100"/>
        <c:noMultiLvlLbl val="0"/>
      </c:catAx>
      <c:valAx>
        <c:axId val="-19853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19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Analysis!$R$23</c:f>
              <c:strCache>
                <c:ptCount val="1"/>
                <c:pt idx="0">
                  <c:v> Edge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Analysis!$R$24:$R$33</c:f>
              <c:numCache>
                <c:formatCode>_(* #,##0.0000_);_(* \(#,##0.0000\);_(* "-"??_);_(@_)</c:formatCode>
                <c:ptCount val="10"/>
                <c:pt idx="0">
                  <c:v>-0.66008886489950536</c:v>
                </c:pt>
                <c:pt idx="1">
                  <c:v>-0.51433698064165956</c:v>
                </c:pt>
                <c:pt idx="2">
                  <c:v>-0.44260913717878708</c:v>
                </c:pt>
                <c:pt idx="3">
                  <c:v>-0.40492364250548801</c:v>
                </c:pt>
                <c:pt idx="4">
                  <c:v>-0.38444238200532121</c:v>
                </c:pt>
                <c:pt idx="5">
                  <c:v>-0.37310626388814522</c:v>
                </c:pt>
                <c:pt idx="6">
                  <c:v>-0.36676843266299863</c:v>
                </c:pt>
                <c:pt idx="7">
                  <c:v>-0.36320511956954249</c:v>
                </c:pt>
                <c:pt idx="8">
                  <c:v>-0.36119539857182709</c:v>
                </c:pt>
                <c:pt idx="9">
                  <c:v>-0.36005989409831463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E-934E-8148-2C34652223AE}"/>
            </c:ext>
          </c:extLst>
        </c:ser>
        <c:ser>
          <c:idx val="1"/>
          <c:order val="1"/>
          <c:tx>
            <c:strRef>
              <c:f>Analysis!$S$23</c:f>
              <c:strCache>
                <c:ptCount val="1"/>
                <c:pt idx="0">
                  <c:v>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Analysis!$S$24:$S$33</c:f>
              <c:numCache>
                <c:formatCode>General</c:formatCode>
                <c:ptCount val="10"/>
                <c:pt idx="0">
                  <c:v>1.1215703423698427</c:v>
                </c:pt>
                <c:pt idx="1">
                  <c:v>2.3539110955796825</c:v>
                </c:pt>
                <c:pt idx="2">
                  <c:v>3.6762007085290125</c:v>
                </c:pt>
                <c:pt idx="3">
                  <c:v>5.06805271316908</c:v>
                </c:pt>
                <c:pt idx="4">
                  <c:v>6.5114584947403316</c:v>
                </c:pt>
                <c:pt idx="5">
                  <c:v>7.9917042699222263</c:v>
                </c:pt>
                <c:pt idx="6">
                  <c:v>9.4974786772604052</c:v>
                </c:pt>
                <c:pt idx="7">
                  <c:v>11.020494848753335</c:v>
                </c:pt>
                <c:pt idx="8">
                  <c:v>12.554910040159815</c:v>
                </c:pt>
                <c:pt idx="9">
                  <c:v>14.09672919393793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E-934E-8148-2C34652223AE}"/>
            </c:ext>
          </c:extLst>
        </c:ser>
        <c:ser>
          <c:idx val="2"/>
          <c:order val="2"/>
          <c:tx>
            <c:strRef>
              <c:f>Analysis!$T$23</c:f>
              <c:strCache>
                <c:ptCount val="1"/>
                <c:pt idx="0">
                  <c:v>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Analysis!$T$24:$T$33</c:f>
              <c:numCache>
                <c:formatCode>General</c:formatCode>
                <c:ptCount val="10"/>
                <c:pt idx="0">
                  <c:v>-1.1301535172435953</c:v>
                </c:pt>
                <c:pt idx="1">
                  <c:v>-2.3719251512366255</c:v>
                </c:pt>
                <c:pt idx="2">
                  <c:v>-3.7043340073158242</c:v>
                </c:pt>
                <c:pt idx="3">
                  <c:v>-5.1068376034815426</c:v>
                </c:pt>
                <c:pt idx="4">
                  <c:v>-6.5612895083042648</c:v>
                </c:pt>
                <c:pt idx="5">
                  <c:v>-8.0528633365422646</c:v>
                </c:pt>
                <c:pt idx="6">
                  <c:v>-9.570161162938847</c:v>
                </c:pt>
                <c:pt idx="7">
                  <c:v>-11.104832701591233</c:v>
                </c:pt>
                <c:pt idx="8">
                  <c:v>-12.650990494793831</c:v>
                </c:pt>
                <c:pt idx="9">
                  <c:v>-14.204608911552294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DE-934E-8148-2C34652223AE}"/>
            </c:ext>
          </c:extLst>
        </c:ser>
        <c:ser>
          <c:idx val="3"/>
          <c:order val="3"/>
          <c:tx>
            <c:strRef>
              <c:f>Analysis!$U$23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Analysis!$U$24:$U$33</c:f>
              <c:numCache>
                <c:formatCode>_(* #,##0.0000_);_(* \(#,##0.0000\);_(* "-"??_);_(@_)</c:formatCode>
                <c:ptCount val="10"/>
                <c:pt idx="0">
                  <c:v>-8.583174873752597E-3</c:v>
                </c:pt>
                <c:pt idx="1">
                  <c:v>-1.8014055656943029E-2</c:v>
                </c:pt>
                <c:pt idx="2">
                  <c:v>-2.81332987868117E-2</c:v>
                </c:pt>
                <c:pt idx="3">
                  <c:v>-3.8784890312462572E-2</c:v>
                </c:pt>
                <c:pt idx="4">
                  <c:v>-4.9831013563933269E-2</c:v>
                </c:pt>
                <c:pt idx="5">
                  <c:v>-6.1159066620038338E-2</c:v>
                </c:pt>
                <c:pt idx="6">
                  <c:v>-7.2682485678441822E-2</c:v>
                </c:pt>
                <c:pt idx="7">
                  <c:v>-8.4337852837897742E-2</c:v>
                </c:pt>
                <c:pt idx="8">
                  <c:v>-9.6080454634016377E-2</c:v>
                </c:pt>
                <c:pt idx="9">
                  <c:v>-0.1078797176143631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D-BE40-AE07-4A63048AF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5849824"/>
        <c:axId val="-1985846480"/>
      </c:lineChart>
      <c:catAx>
        <c:axId val="-198584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846480"/>
        <c:crosses val="autoZero"/>
        <c:auto val="1"/>
        <c:lblAlgn val="ctr"/>
        <c:lblOffset val="100"/>
        <c:noMultiLvlLbl val="0"/>
      </c:catAx>
      <c:valAx>
        <c:axId val="-198584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84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'1x2'!$E$20</c:f>
              <c:strCache>
                <c:ptCount val="1"/>
                <c:pt idx="0">
                  <c:v>BYE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'1x2'!$E$21:$E$30</c:f>
              <c:numCache>
                <c:formatCode>General</c:formatCode>
                <c:ptCount val="10"/>
                <c:pt idx="0">
                  <c:v>-33.405324417622822</c:v>
                </c:pt>
                <c:pt idx="1">
                  <c:v>23.808598252139973</c:v>
                </c:pt>
                <c:pt idx="2">
                  <c:v>34.411892191115719</c:v>
                </c:pt>
                <c:pt idx="3">
                  <c:v>60.13836486476054</c:v>
                </c:pt>
                <c:pt idx="4">
                  <c:v>110.81993651995872</c:v>
                </c:pt>
                <c:pt idx="5">
                  <c:v>209.2497848007246</c:v>
                </c:pt>
                <c:pt idx="6">
                  <c:v>400.85927545400642</c:v>
                </c:pt>
                <c:pt idx="7">
                  <c:v>775.4632504978847</c:v>
                </c:pt>
                <c:pt idx="8">
                  <c:v>1510.7277428069599</c:v>
                </c:pt>
                <c:pt idx="9">
                  <c:v>2958.6128335881976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9173168"/>
        <c:axId val="-2139170176"/>
      </c:lineChart>
      <c:catAx>
        <c:axId val="-213917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170176"/>
        <c:crosses val="autoZero"/>
        <c:auto val="1"/>
        <c:lblAlgn val="ctr"/>
        <c:lblOffset val="100"/>
        <c:noMultiLvlLbl val="0"/>
      </c:catAx>
      <c:valAx>
        <c:axId val="-21391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17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'1x3'!$E$20</c:f>
              <c:strCache>
                <c:ptCount val="1"/>
                <c:pt idx="0">
                  <c:v>BYE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'1x3'!$E$21:$E$30</c:f>
              <c:numCache>
                <c:formatCode>General</c:formatCode>
                <c:ptCount val="10"/>
                <c:pt idx="0">
                  <c:v>90.406512152453445</c:v>
                </c:pt>
                <c:pt idx="1">
                  <c:v>31.82412012205414</c:v>
                </c:pt>
                <c:pt idx="2">
                  <c:v>71.085026902365172</c:v>
                </c:pt>
                <c:pt idx="3">
                  <c:v>184.25344531458032</c:v>
                </c:pt>
                <c:pt idx="4">
                  <c:v>504.55081096621336</c:v>
                </c:pt>
                <c:pt idx="5">
                  <c:v>1421.9959993965297</c:v>
                </c:pt>
                <c:pt idx="6">
                  <c:v>4077.7955288365738</c:v>
                </c:pt>
                <c:pt idx="7">
                  <c:v>11825.729742430633</c:v>
                </c:pt>
                <c:pt idx="8">
                  <c:v>34557.479580981475</c:v>
                </c:pt>
                <c:pt idx="9">
                  <c:v>101529.93190684493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1669328"/>
        <c:axId val="-1931666304"/>
      </c:lineChart>
      <c:catAx>
        <c:axId val="-193166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1666304"/>
        <c:crosses val="autoZero"/>
        <c:auto val="1"/>
        <c:lblAlgn val="ctr"/>
        <c:lblOffset val="100"/>
        <c:noMultiLvlLbl val="0"/>
      </c:catAx>
      <c:valAx>
        <c:axId val="-19316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166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'1x4'!$E$20</c:f>
              <c:strCache>
                <c:ptCount val="1"/>
                <c:pt idx="0">
                  <c:v>BYE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'1x4'!$E$21:$E$30</c:f>
              <c:numCache>
                <c:formatCode>General</c:formatCode>
                <c:ptCount val="10"/>
                <c:pt idx="0">
                  <c:v>50.647317999800215</c:v>
                </c:pt>
                <c:pt idx="1">
                  <c:v>45.90822627354261</c:v>
                </c:pt>
                <c:pt idx="2">
                  <c:v>137.30472145659553</c:v>
                </c:pt>
                <c:pt idx="3">
                  <c:v>475.04914310624702</c:v>
                </c:pt>
                <c:pt idx="4">
                  <c:v>1740.7050801808666</c:v>
                </c:pt>
                <c:pt idx="5">
                  <c:v>6571.2587066127853</c:v>
                </c:pt>
                <c:pt idx="6">
                  <c:v>25242.530175779844</c:v>
                </c:pt>
                <c:pt idx="7">
                  <c:v>98034.414049278595</c:v>
                </c:pt>
                <c:pt idx="8">
                  <c:v>383526.65506991657</c:v>
                </c:pt>
                <c:pt idx="9">
                  <c:v>1508067.8678620998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2501168"/>
        <c:axId val="-1932439824"/>
      </c:lineChart>
      <c:catAx>
        <c:axId val="-193250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2439824"/>
        <c:crosses val="autoZero"/>
        <c:auto val="1"/>
        <c:lblAlgn val="ctr"/>
        <c:lblOffset val="100"/>
        <c:noMultiLvlLbl val="0"/>
      </c:catAx>
      <c:valAx>
        <c:axId val="-193243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250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'1x5'!$E$20</c:f>
              <c:strCache>
                <c:ptCount val="1"/>
                <c:pt idx="0">
                  <c:v>BYE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'1x5'!$E$21:$E$30</c:f>
              <c:numCache>
                <c:formatCode>General</c:formatCode>
                <c:ptCount val="10"/>
                <c:pt idx="0">
                  <c:v>48.526004876192609</c:v>
                </c:pt>
                <c:pt idx="1">
                  <c:v>64.442632072242361</c:v>
                </c:pt>
                <c:pt idx="2">
                  <c:v>241.06928821627795</c:v>
                </c:pt>
                <c:pt idx="3">
                  <c:v>1044.9124301001589</c:v>
                </c:pt>
                <c:pt idx="4">
                  <c:v>4802.5816789208884</c:v>
                </c:pt>
                <c:pt idx="5">
                  <c:v>22742.24381690261</c:v>
                </c:pt>
                <c:pt idx="6">
                  <c:v>109554.79422289756</c:v>
                </c:pt>
                <c:pt idx="7">
                  <c:v>533400.85284197179</c:v>
                </c:pt>
                <c:pt idx="8">
                  <c:v>2615324.093461148</c:v>
                </c:pt>
                <c:pt idx="9">
                  <c:v>12885483.193211759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681792"/>
        <c:axId val="-1985261776"/>
      </c:lineChart>
      <c:catAx>
        <c:axId val="-198568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261776"/>
        <c:crosses val="autoZero"/>
        <c:auto val="1"/>
        <c:lblAlgn val="ctr"/>
        <c:lblOffset val="100"/>
        <c:noMultiLvlLbl val="0"/>
      </c:catAx>
      <c:valAx>
        <c:axId val="-198526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68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'1x6'!$E$20</c:f>
              <c:strCache>
                <c:ptCount val="1"/>
                <c:pt idx="0">
                  <c:v>BYE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'1x6'!$E$21:$E$30</c:f>
              <c:numCache>
                <c:formatCode>General</c:formatCode>
                <c:ptCount val="10"/>
                <c:pt idx="0">
                  <c:v>51.673517302505381</c:v>
                </c:pt>
                <c:pt idx="1">
                  <c:v>87.228592328111304</c:v>
                </c:pt>
                <c:pt idx="2">
                  <c:v>391.31061572422198</c:v>
                </c:pt>
                <c:pt idx="3">
                  <c:v>2038.6342897859477</c:v>
                </c:pt>
                <c:pt idx="4">
                  <c:v>11269.00574932089</c:v>
                </c:pt>
                <c:pt idx="5">
                  <c:v>64172.656814622809</c:v>
                </c:pt>
                <c:pt idx="6">
                  <c:v>371665.29759128776</c:v>
                </c:pt>
                <c:pt idx="7">
                  <c:v>2175119.5964989532</c:v>
                </c:pt>
                <c:pt idx="8">
                  <c:v>12816892.42036291</c:v>
                </c:pt>
                <c:pt idx="9">
                  <c:v>75877989.623528942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061568"/>
        <c:axId val="-1985235936"/>
      </c:lineChart>
      <c:catAx>
        <c:axId val="-198506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235936"/>
        <c:crosses val="autoZero"/>
        <c:auto val="1"/>
        <c:lblAlgn val="ctr"/>
        <c:lblOffset val="100"/>
        <c:noMultiLvlLbl val="0"/>
      </c:catAx>
      <c:valAx>
        <c:axId val="-19852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06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'1x7'!$E$20</c:f>
              <c:strCache>
                <c:ptCount val="1"/>
                <c:pt idx="0">
                  <c:v>BYE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'1x7'!$E$21:$E$30</c:f>
              <c:numCache>
                <c:formatCode>General</c:formatCode>
                <c:ptCount val="10"/>
                <c:pt idx="0">
                  <c:v>56.748585586966584</c:v>
                </c:pt>
                <c:pt idx="1">
                  <c:v>114.22902058581229</c:v>
                </c:pt>
                <c:pt idx="2">
                  <c:v>597.13512604694608</c:v>
                </c:pt>
                <c:pt idx="3">
                  <c:v>3632.8625123910265</c:v>
                </c:pt>
                <c:pt idx="4">
                  <c:v>23459.514342143306</c:v>
                </c:pt>
                <c:pt idx="5">
                  <c:v>156050.33108417856</c:v>
                </c:pt>
                <c:pt idx="6">
                  <c:v>1055555.5561794268</c:v>
                </c:pt>
                <c:pt idx="7">
                  <c:v>7213863.6865053866</c:v>
                </c:pt>
                <c:pt idx="8">
                  <c:v>49633376.217185028</c:v>
                </c:pt>
                <c:pt idx="9">
                  <c:v>343060322.17047739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013312"/>
        <c:axId val="-1985084080"/>
      </c:lineChart>
      <c:catAx>
        <c:axId val="-198501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084080"/>
        <c:crosses val="autoZero"/>
        <c:auto val="1"/>
        <c:lblAlgn val="ctr"/>
        <c:lblOffset val="100"/>
        <c:noMultiLvlLbl val="0"/>
      </c:catAx>
      <c:valAx>
        <c:axId val="-19850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01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403225</xdr:colOff>
      <xdr:row>4</xdr:row>
      <xdr:rowOff>180975</xdr:rowOff>
    </xdr:from>
    <xdr:to>
      <xdr:col>29</xdr:col>
      <xdr:colOff>171450</xdr:colOff>
      <xdr:row>17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339725</xdr:colOff>
      <xdr:row>20</xdr:row>
      <xdr:rowOff>196850</xdr:rowOff>
    </xdr:from>
    <xdr:to>
      <xdr:col>28</xdr:col>
      <xdr:colOff>631825</xdr:colOff>
      <xdr:row>32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187325</xdr:colOff>
      <xdr:row>36</xdr:row>
      <xdr:rowOff>63500</xdr:rowOff>
    </xdr:from>
    <xdr:to>
      <xdr:col>29</xdr:col>
      <xdr:colOff>479425</xdr:colOff>
      <xdr:row>47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</xdr:colOff>
      <xdr:row>16</xdr:row>
      <xdr:rowOff>47625</xdr:rowOff>
    </xdr:from>
    <xdr:to>
      <xdr:col>12</xdr:col>
      <xdr:colOff>171450</xdr:colOff>
      <xdr:row>30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</xdr:colOff>
      <xdr:row>19</xdr:row>
      <xdr:rowOff>34925</xdr:rowOff>
    </xdr:from>
    <xdr:to>
      <xdr:col>12</xdr:col>
      <xdr:colOff>187325</xdr:colOff>
      <xdr:row>33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60325</xdr:colOff>
      <xdr:row>18</xdr:row>
      <xdr:rowOff>123825</xdr:rowOff>
    </xdr:from>
    <xdr:to>
      <xdr:col>12</xdr:col>
      <xdr:colOff>212725</xdr:colOff>
      <xdr:row>32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19</xdr:row>
      <xdr:rowOff>9525</xdr:rowOff>
    </xdr:from>
    <xdr:to>
      <xdr:col>12</xdr:col>
      <xdr:colOff>200025</xdr:colOff>
      <xdr:row>32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657225</xdr:colOff>
      <xdr:row>18</xdr:row>
      <xdr:rowOff>212725</xdr:rowOff>
    </xdr:from>
    <xdr:to>
      <xdr:col>12</xdr:col>
      <xdr:colOff>149225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136525</xdr:colOff>
      <xdr:row>18</xdr:row>
      <xdr:rowOff>200025</xdr:rowOff>
    </xdr:from>
    <xdr:to>
      <xdr:col>12</xdr:col>
      <xdr:colOff>288925</xdr:colOff>
      <xdr:row>32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</xdr:colOff>
      <xdr:row>19</xdr:row>
      <xdr:rowOff>22225</xdr:rowOff>
    </xdr:from>
    <xdr:to>
      <xdr:col>12</xdr:col>
      <xdr:colOff>187325</xdr:colOff>
      <xdr:row>31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19</xdr:row>
      <xdr:rowOff>60325</xdr:rowOff>
    </xdr:from>
    <xdr:to>
      <xdr:col>12</xdr:col>
      <xdr:colOff>276225</xdr:colOff>
      <xdr:row>31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136525</xdr:colOff>
      <xdr:row>19</xdr:row>
      <xdr:rowOff>73025</xdr:rowOff>
    </xdr:from>
    <xdr:to>
      <xdr:col>12</xdr:col>
      <xdr:colOff>288925</xdr:colOff>
      <xdr:row>31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136525</xdr:colOff>
      <xdr:row>19</xdr:row>
      <xdr:rowOff>85725</xdr:rowOff>
    </xdr:from>
    <xdr:to>
      <xdr:col>12</xdr:col>
      <xdr:colOff>288925</xdr:colOff>
      <xdr:row>31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422275</xdr:colOff>
      <xdr:row>18</xdr:row>
      <xdr:rowOff>57150</xdr:rowOff>
    </xdr:from>
    <xdr:to>
      <xdr:col>12</xdr:col>
      <xdr:colOff>571500</xdr:colOff>
      <xdr:row>32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60325</xdr:colOff>
      <xdr:row>19</xdr:row>
      <xdr:rowOff>73025</xdr:rowOff>
    </xdr:from>
    <xdr:to>
      <xdr:col>12</xdr:col>
      <xdr:colOff>212725</xdr:colOff>
      <xdr:row>31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98425</xdr:colOff>
      <xdr:row>19</xdr:row>
      <xdr:rowOff>85725</xdr:rowOff>
    </xdr:from>
    <xdr:to>
      <xdr:col>12</xdr:col>
      <xdr:colOff>250825</xdr:colOff>
      <xdr:row>31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19</xdr:row>
      <xdr:rowOff>22225</xdr:rowOff>
    </xdr:from>
    <xdr:to>
      <xdr:col>12</xdr:col>
      <xdr:colOff>200025</xdr:colOff>
      <xdr:row>31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19</xdr:row>
      <xdr:rowOff>85725</xdr:rowOff>
    </xdr:from>
    <xdr:to>
      <xdr:col>12</xdr:col>
      <xdr:colOff>200025</xdr:colOff>
      <xdr:row>31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657225</xdr:colOff>
      <xdr:row>19</xdr:row>
      <xdr:rowOff>47625</xdr:rowOff>
    </xdr:from>
    <xdr:to>
      <xdr:col>12</xdr:col>
      <xdr:colOff>149225</xdr:colOff>
      <xdr:row>31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</xdr:colOff>
      <xdr:row>19</xdr:row>
      <xdr:rowOff>98425</xdr:rowOff>
    </xdr:from>
    <xdr:to>
      <xdr:col>12</xdr:col>
      <xdr:colOff>174625</xdr:colOff>
      <xdr:row>31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638175</xdr:colOff>
      <xdr:row>19</xdr:row>
      <xdr:rowOff>57150</xdr:rowOff>
    </xdr:from>
    <xdr:to>
      <xdr:col>12</xdr:col>
      <xdr:colOff>127000</xdr:colOff>
      <xdr:row>33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16</xdr:row>
      <xdr:rowOff>152400</xdr:rowOff>
    </xdr:from>
    <xdr:to>
      <xdr:col>12</xdr:col>
      <xdr:colOff>180975</xdr:colOff>
      <xdr:row>30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</xdr:colOff>
      <xdr:row>18</xdr:row>
      <xdr:rowOff>161925</xdr:rowOff>
    </xdr:from>
    <xdr:to>
      <xdr:col>13</xdr:col>
      <xdr:colOff>180975</xdr:colOff>
      <xdr:row>32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</xdr:colOff>
      <xdr:row>17</xdr:row>
      <xdr:rowOff>200025</xdr:rowOff>
    </xdr:from>
    <xdr:to>
      <xdr:col>12</xdr:col>
      <xdr:colOff>187325</xdr:colOff>
      <xdr:row>31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19</xdr:row>
      <xdr:rowOff>9525</xdr:rowOff>
    </xdr:from>
    <xdr:to>
      <xdr:col>12</xdr:col>
      <xdr:colOff>466725</xdr:colOff>
      <xdr:row>32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98425</xdr:colOff>
      <xdr:row>16</xdr:row>
      <xdr:rowOff>190500</xdr:rowOff>
    </xdr:from>
    <xdr:to>
      <xdr:col>12</xdr:col>
      <xdr:colOff>247650</xdr:colOff>
      <xdr:row>30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18</xdr:row>
      <xdr:rowOff>111125</xdr:rowOff>
    </xdr:from>
    <xdr:to>
      <xdr:col>12</xdr:col>
      <xdr:colOff>209550</xdr:colOff>
      <xdr:row>32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2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4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5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6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7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8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9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0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12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1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14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15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1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17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18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19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20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21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22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4.bin"/><Relationship Id="rId4" Type="http://schemas.openxmlformats.org/officeDocument/2006/relationships/comments" Target="../comments2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5.bin"/><Relationship Id="rId4" Type="http://schemas.openxmlformats.org/officeDocument/2006/relationships/comments" Target="../comments24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40"/>
  <sheetViews>
    <sheetView zoomScale="80" zoomScaleNormal="80" zoomScalePageLayoutView="80" workbookViewId="0">
      <selection activeCell="B14" sqref="B14"/>
    </sheetView>
  </sheetViews>
  <sheetFormatPr baseColWidth="10" defaultColWidth="11" defaultRowHeight="16" x14ac:dyDescent="0.2"/>
  <cols>
    <col min="1" max="1" width="16.83203125" bestFit="1" customWidth="1"/>
    <col min="2" max="2" width="15.33203125" bestFit="1" customWidth="1"/>
    <col min="3" max="6" width="13.5" bestFit="1" customWidth="1"/>
    <col min="7" max="7" width="15.33203125" bestFit="1" customWidth="1"/>
    <col min="8" max="19" width="4.6640625" customWidth="1"/>
  </cols>
  <sheetData>
    <row r="1" spans="1:19" ht="25" thickBot="1" x14ac:dyDescent="0.35">
      <c r="A1" s="299" t="s">
        <v>120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1"/>
    </row>
    <row r="2" spans="1:19" ht="22" thickBot="1" x14ac:dyDescent="0.3">
      <c r="A2" s="312" t="s">
        <v>50</v>
      </c>
      <c r="B2" s="313"/>
      <c r="C2" s="313"/>
      <c r="D2" s="313"/>
      <c r="E2" s="313"/>
      <c r="F2" s="313"/>
      <c r="G2" s="313"/>
      <c r="I2" s="305" t="s">
        <v>23</v>
      </c>
      <c r="J2" s="305"/>
      <c r="K2" s="305"/>
      <c r="L2" s="305"/>
      <c r="M2" s="305"/>
      <c r="N2" s="305"/>
      <c r="O2" s="305"/>
      <c r="P2" s="305"/>
      <c r="Q2" s="305"/>
      <c r="R2" s="305"/>
      <c r="S2" s="305"/>
    </row>
    <row r="3" spans="1:19" ht="17" thickBot="1" x14ac:dyDescent="0.25">
      <c r="A3" s="112" t="s">
        <v>63</v>
      </c>
      <c r="B3" s="132" t="s">
        <v>61</v>
      </c>
      <c r="D3" s="123" t="s">
        <v>52</v>
      </c>
      <c r="E3" s="124" t="s">
        <v>61</v>
      </c>
      <c r="F3" s="138" t="s">
        <v>62</v>
      </c>
      <c r="G3" s="125" t="s">
        <v>85</v>
      </c>
      <c r="I3" s="48" t="s">
        <v>9</v>
      </c>
      <c r="J3" s="48" t="s">
        <v>22</v>
      </c>
      <c r="K3" s="48">
        <v>2</v>
      </c>
      <c r="L3" s="48">
        <v>3</v>
      </c>
      <c r="M3" s="48">
        <v>4</v>
      </c>
      <c r="N3" s="48">
        <v>5</v>
      </c>
      <c r="O3" s="48">
        <v>6</v>
      </c>
      <c r="P3" s="48">
        <v>7</v>
      </c>
      <c r="Q3" s="48">
        <v>8</v>
      </c>
      <c r="R3" s="48">
        <v>9</v>
      </c>
      <c r="S3" s="48">
        <v>10</v>
      </c>
    </row>
    <row r="4" spans="1:19" ht="17" thickBot="1" x14ac:dyDescent="0.25">
      <c r="A4" s="112" t="s">
        <v>121</v>
      </c>
      <c r="B4" s="133" t="s">
        <v>6</v>
      </c>
      <c r="D4" s="126" t="s">
        <v>52</v>
      </c>
      <c r="E4" s="122" t="s">
        <v>51</v>
      </c>
      <c r="F4" s="122" t="s">
        <v>6</v>
      </c>
      <c r="G4" s="127"/>
      <c r="I4" s="48" t="s">
        <v>20</v>
      </c>
      <c r="J4" s="49" t="str">
        <f>Summary!C3</f>
        <v>H</v>
      </c>
      <c r="K4" s="49" t="str">
        <f>Summary!D3</f>
        <v>H</v>
      </c>
      <c r="L4" s="49" t="str">
        <f>Summary!E3</f>
        <v>H</v>
      </c>
      <c r="M4" s="49" t="str">
        <f>Summary!F3</f>
        <v>H</v>
      </c>
      <c r="N4" s="49" t="str">
        <f>Summary!G3</f>
        <v>H</v>
      </c>
      <c r="O4" s="49" t="str">
        <f>Summary!H3</f>
        <v>H</v>
      </c>
      <c r="P4" s="49" t="str">
        <f>Summary!I3</f>
        <v>H</v>
      </c>
      <c r="Q4" s="49" t="str">
        <f>Summary!J3</f>
        <v>H</v>
      </c>
      <c r="R4" s="49" t="str">
        <f>Summary!K3</f>
        <v>H</v>
      </c>
      <c r="S4" s="49" t="str">
        <f>Summary!L3</f>
        <v>H</v>
      </c>
    </row>
    <row r="5" spans="1:19" ht="17" thickBot="1" x14ac:dyDescent="0.25">
      <c r="A5" s="112" t="s">
        <v>122</v>
      </c>
      <c r="B5" s="134">
        <v>4</v>
      </c>
      <c r="C5" s="114" t="str">
        <f>"True Count: " &amp; B5-4</f>
        <v>True Count: 0</v>
      </c>
      <c r="D5" s="126" t="s">
        <v>52</v>
      </c>
      <c r="E5" s="122" t="s">
        <v>82</v>
      </c>
      <c r="F5" s="122" t="s">
        <v>81</v>
      </c>
      <c r="G5" s="127"/>
      <c r="I5" s="48">
        <v>9</v>
      </c>
      <c r="J5" s="49" t="str">
        <f>Summary!C4</f>
        <v>H</v>
      </c>
      <c r="K5" s="49" t="str">
        <f>Summary!D4</f>
        <v>H</v>
      </c>
      <c r="L5" s="49" t="str">
        <f>Summary!E4</f>
        <v>D</v>
      </c>
      <c r="M5" s="49" t="str">
        <f>Summary!F4</f>
        <v>D</v>
      </c>
      <c r="N5" s="49" t="str">
        <f>Summary!G4</f>
        <v>D</v>
      </c>
      <c r="O5" s="49" t="str">
        <f>Summary!H4</f>
        <v>D</v>
      </c>
      <c r="P5" s="49" t="str">
        <f>Summary!I4</f>
        <v>H</v>
      </c>
      <c r="Q5" s="49" t="str">
        <f>Summary!J4</f>
        <v>H</v>
      </c>
      <c r="R5" s="49" t="str">
        <f>Summary!K4</f>
        <v>H</v>
      </c>
      <c r="S5" s="49" t="str">
        <f>Summary!L4</f>
        <v>H</v>
      </c>
    </row>
    <row r="6" spans="1:19" ht="17" thickBot="1" x14ac:dyDescent="0.25">
      <c r="A6" s="112" t="s">
        <v>54</v>
      </c>
      <c r="B6" s="135" t="s">
        <v>74</v>
      </c>
      <c r="C6" s="121"/>
      <c r="D6" s="126" t="s">
        <v>52</v>
      </c>
      <c r="E6" s="122" t="s">
        <v>74</v>
      </c>
      <c r="F6" s="122" t="s">
        <v>55</v>
      </c>
      <c r="G6" s="127"/>
      <c r="I6" s="48">
        <v>10</v>
      </c>
      <c r="J6" s="49" t="str">
        <f>Summary!C5</f>
        <v>H</v>
      </c>
      <c r="K6" s="49" t="str">
        <f>Summary!D5</f>
        <v>D</v>
      </c>
      <c r="L6" s="49" t="str">
        <f>Summary!E5</f>
        <v>D</v>
      </c>
      <c r="M6" s="49" t="str">
        <f>Summary!F5</f>
        <v>D</v>
      </c>
      <c r="N6" s="49" t="str">
        <f>Summary!G5</f>
        <v>D</v>
      </c>
      <c r="O6" s="49" t="str">
        <f>Summary!H5</f>
        <v>D</v>
      </c>
      <c r="P6" s="49" t="str">
        <f>Summary!I5</f>
        <v>D</v>
      </c>
      <c r="Q6" s="49" t="str">
        <f>Summary!J5</f>
        <v>D</v>
      </c>
      <c r="R6" s="49" t="str">
        <f>Summary!K5</f>
        <v>D</v>
      </c>
      <c r="S6" s="49" t="str">
        <f>Summary!L5</f>
        <v>H</v>
      </c>
    </row>
    <row r="7" spans="1:19" ht="17" thickBot="1" x14ac:dyDescent="0.25">
      <c r="A7" s="112" t="s">
        <v>60</v>
      </c>
      <c r="B7" s="136" t="s">
        <v>56</v>
      </c>
      <c r="C7" s="98"/>
      <c r="D7" s="126" t="s">
        <v>52</v>
      </c>
      <c r="E7" s="122" t="s">
        <v>56</v>
      </c>
      <c r="F7" s="122" t="s">
        <v>57</v>
      </c>
      <c r="G7" s="127"/>
      <c r="I7" s="48">
        <v>11</v>
      </c>
      <c r="J7" s="49" t="str">
        <f>Summary!C6</f>
        <v>H</v>
      </c>
      <c r="K7" s="49" t="str">
        <f>Summary!D6</f>
        <v>D</v>
      </c>
      <c r="L7" s="49" t="str">
        <f>Summary!E6</f>
        <v>D</v>
      </c>
      <c r="M7" s="49" t="str">
        <f>Summary!F6</f>
        <v>D</v>
      </c>
      <c r="N7" s="49" t="str">
        <f>Summary!G6</f>
        <v>D</v>
      </c>
      <c r="O7" s="49" t="str">
        <f>Summary!H6</f>
        <v>D</v>
      </c>
      <c r="P7" s="49" t="str">
        <f>Summary!I6</f>
        <v>D</v>
      </c>
      <c r="Q7" s="49" t="str">
        <f>Summary!J6</f>
        <v>D</v>
      </c>
      <c r="R7" s="49" t="str">
        <f>Summary!K6</f>
        <v>D</v>
      </c>
      <c r="S7" s="49" t="str">
        <f>Summary!L6</f>
        <v>D</v>
      </c>
    </row>
    <row r="8" spans="1:19" ht="17" thickBot="1" x14ac:dyDescent="0.25">
      <c r="A8" s="112" t="s">
        <v>58</v>
      </c>
      <c r="B8" s="136" t="s">
        <v>56</v>
      </c>
      <c r="C8" s="98"/>
      <c r="D8" s="126" t="s">
        <v>52</v>
      </c>
      <c r="E8" s="122" t="s">
        <v>56</v>
      </c>
      <c r="F8" s="122" t="s">
        <v>57</v>
      </c>
      <c r="G8" s="127"/>
      <c r="I8" s="48">
        <v>12</v>
      </c>
      <c r="J8" s="49" t="str">
        <f>Summary!C7</f>
        <v>H</v>
      </c>
      <c r="K8" s="49" t="str">
        <f>Summary!D7</f>
        <v>H</v>
      </c>
      <c r="L8" s="49" t="str">
        <f>Summary!E7</f>
        <v>H</v>
      </c>
      <c r="M8" s="49" t="str">
        <f>Summary!F7</f>
        <v>S</v>
      </c>
      <c r="N8" s="49" t="str">
        <f>Summary!G7</f>
        <v>S</v>
      </c>
      <c r="O8" s="49" t="str">
        <f>Summary!H7</f>
        <v>S</v>
      </c>
      <c r="P8" s="49" t="str">
        <f>Summary!I7</f>
        <v>H</v>
      </c>
      <c r="Q8" s="49" t="str">
        <f>Summary!J7</f>
        <v>H</v>
      </c>
      <c r="R8" s="49" t="str">
        <f>Summary!K7</f>
        <v>H</v>
      </c>
      <c r="S8" s="49" t="str">
        <f>Summary!L7</f>
        <v>H</v>
      </c>
    </row>
    <row r="9" spans="1:19" ht="17" thickBot="1" x14ac:dyDescent="0.25">
      <c r="A9" s="112" t="s">
        <v>73</v>
      </c>
      <c r="B9" s="136" t="s">
        <v>56</v>
      </c>
      <c r="C9" s="98"/>
      <c r="D9" s="126" t="s">
        <v>52</v>
      </c>
      <c r="E9" s="122" t="s">
        <v>56</v>
      </c>
      <c r="F9" s="122" t="s">
        <v>57</v>
      </c>
      <c r="G9" s="127"/>
      <c r="I9" s="48">
        <v>13</v>
      </c>
      <c r="J9" s="49" t="str">
        <f>Summary!C8</f>
        <v>H</v>
      </c>
      <c r="K9" s="49" t="str">
        <f>Summary!D8</f>
        <v>S</v>
      </c>
      <c r="L9" s="49" t="str">
        <f>Summary!E8</f>
        <v>S</v>
      </c>
      <c r="M9" s="49" t="str">
        <f>Summary!F8</f>
        <v>S</v>
      </c>
      <c r="N9" s="49" t="str">
        <f>Summary!G8</f>
        <v>S</v>
      </c>
      <c r="O9" s="49" t="str">
        <f>Summary!H8</f>
        <v>S</v>
      </c>
      <c r="P9" s="49" t="str">
        <f>Summary!I8</f>
        <v>H</v>
      </c>
      <c r="Q9" s="49" t="str">
        <f>Summary!J8</f>
        <v>H</v>
      </c>
      <c r="R9" s="49" t="str">
        <f>Summary!K8</f>
        <v>H</v>
      </c>
      <c r="S9" s="49" t="str">
        <f>Summary!L8</f>
        <v>H</v>
      </c>
    </row>
    <row r="10" spans="1:19" ht="17" thickBot="1" x14ac:dyDescent="0.25">
      <c r="A10" s="112" t="s">
        <v>50</v>
      </c>
      <c r="B10" s="136" t="s">
        <v>65</v>
      </c>
      <c r="C10" s="98"/>
      <c r="D10" s="126" t="s">
        <v>52</v>
      </c>
      <c r="E10" s="122" t="s">
        <v>65</v>
      </c>
      <c r="F10" s="122" t="s">
        <v>64</v>
      </c>
      <c r="G10" s="127"/>
      <c r="I10" s="48">
        <v>14</v>
      </c>
      <c r="J10" s="49" t="str">
        <f>Summary!C9</f>
        <v>H</v>
      </c>
      <c r="K10" s="49" t="str">
        <f>Summary!D9</f>
        <v>S</v>
      </c>
      <c r="L10" s="49" t="str">
        <f>Summary!E9</f>
        <v>S</v>
      </c>
      <c r="M10" s="49" t="str">
        <f>Summary!F9</f>
        <v>S</v>
      </c>
      <c r="N10" s="49" t="str">
        <f>Summary!G9</f>
        <v>S</v>
      </c>
      <c r="O10" s="49" t="str">
        <f>Summary!H9</f>
        <v>S</v>
      </c>
      <c r="P10" s="49" t="str">
        <f>Summary!I9</f>
        <v>H</v>
      </c>
      <c r="Q10" s="49" t="str">
        <f>Summary!J9</f>
        <v>H</v>
      </c>
      <c r="R10" s="49" t="str">
        <f>Summary!K9</f>
        <v>H</v>
      </c>
      <c r="S10" s="49" t="str">
        <f>Summary!L9</f>
        <v>H</v>
      </c>
    </row>
    <row r="11" spans="1:19" ht="17" thickBot="1" x14ac:dyDescent="0.25">
      <c r="A11" s="112" t="s">
        <v>71</v>
      </c>
      <c r="B11" s="136">
        <v>2</v>
      </c>
      <c r="C11" s="98" t="s">
        <v>72</v>
      </c>
      <c r="D11" s="126" t="s">
        <v>52</v>
      </c>
      <c r="E11" s="122" t="s">
        <v>59</v>
      </c>
      <c r="F11" s="122" t="s">
        <v>80</v>
      </c>
      <c r="G11" s="127"/>
      <c r="I11" s="48">
        <v>15</v>
      </c>
      <c r="J11" s="49" t="str">
        <f>Summary!C10</f>
        <v>H</v>
      </c>
      <c r="K11" s="49" t="str">
        <f>Summary!D10</f>
        <v>S</v>
      </c>
      <c r="L11" s="49" t="str">
        <f>Summary!E10</f>
        <v>S</v>
      </c>
      <c r="M11" s="49" t="str">
        <f>Summary!F10</f>
        <v>S</v>
      </c>
      <c r="N11" s="49" t="str">
        <f>Summary!G10</f>
        <v>S</v>
      </c>
      <c r="O11" s="49" t="str">
        <f>Summary!H10</f>
        <v>S</v>
      </c>
      <c r="P11" s="49" t="str">
        <f>Summary!I10</f>
        <v>H</v>
      </c>
      <c r="Q11" s="49" t="str">
        <f>Summary!J10</f>
        <v>H</v>
      </c>
      <c r="R11" s="49" t="str">
        <f>Summary!K10</f>
        <v>H</v>
      </c>
      <c r="S11" s="49" t="str">
        <f>Summary!L10</f>
        <v>R</v>
      </c>
    </row>
    <row r="12" spans="1:19" ht="17" thickBot="1" x14ac:dyDescent="0.25">
      <c r="A12" s="112" t="s">
        <v>79</v>
      </c>
      <c r="B12" s="133" t="s">
        <v>57</v>
      </c>
      <c r="C12" s="128"/>
      <c r="D12" s="126" t="s">
        <v>52</v>
      </c>
      <c r="E12" s="122" t="s">
        <v>56</v>
      </c>
      <c r="F12" s="122" t="s">
        <v>57</v>
      </c>
      <c r="G12" s="127"/>
      <c r="I12" s="48">
        <v>16</v>
      </c>
      <c r="J12" s="49" t="str">
        <f>Summary!C11</f>
        <v>R</v>
      </c>
      <c r="K12" s="49" t="str">
        <f>Summary!D11</f>
        <v>S</v>
      </c>
      <c r="L12" s="49" t="str">
        <f>Summary!E11</f>
        <v>S</v>
      </c>
      <c r="M12" s="49" t="str">
        <f>Summary!F11</f>
        <v>S</v>
      </c>
      <c r="N12" s="49" t="str">
        <f>Summary!G11</f>
        <v>S</v>
      </c>
      <c r="O12" s="49" t="str">
        <f>Summary!H11</f>
        <v>S</v>
      </c>
      <c r="P12" s="49" t="str">
        <f>Summary!I11</f>
        <v>H</v>
      </c>
      <c r="Q12" s="49" t="str">
        <f>Summary!J11</f>
        <v>H</v>
      </c>
      <c r="R12" s="49" t="str">
        <f>Summary!K11</f>
        <v>R</v>
      </c>
      <c r="S12" s="49" t="str">
        <f>Summary!L11</f>
        <v>R</v>
      </c>
    </row>
    <row r="13" spans="1:19" ht="17" thickBot="1" x14ac:dyDescent="0.25">
      <c r="A13" s="112" t="s">
        <v>87</v>
      </c>
      <c r="B13" s="133" t="s">
        <v>84</v>
      </c>
      <c r="C13" s="128"/>
      <c r="D13" s="126" t="s">
        <v>52</v>
      </c>
      <c r="E13" s="122" t="s">
        <v>83</v>
      </c>
      <c r="F13" s="122" t="s">
        <v>84</v>
      </c>
      <c r="G13" s="127"/>
      <c r="I13" s="48" t="s">
        <v>21</v>
      </c>
      <c r="J13" s="49" t="str">
        <f>Summary!C12</f>
        <v>S</v>
      </c>
      <c r="K13" s="49" t="str">
        <f>Summary!D12</f>
        <v>S</v>
      </c>
      <c r="L13" s="49" t="str">
        <f>Summary!E12</f>
        <v>S</v>
      </c>
      <c r="M13" s="49" t="str">
        <f>Summary!F12</f>
        <v>S</v>
      </c>
      <c r="N13" s="49" t="str">
        <f>Summary!G12</f>
        <v>S</v>
      </c>
      <c r="O13" s="49" t="str">
        <f>Summary!H12</f>
        <v>S</v>
      </c>
      <c r="P13" s="49" t="str">
        <f>Summary!I12</f>
        <v>S</v>
      </c>
      <c r="Q13" s="49" t="str">
        <f>Summary!J12</f>
        <v>S</v>
      </c>
      <c r="R13" s="49" t="str">
        <f>Summary!K12</f>
        <v>S</v>
      </c>
      <c r="S13" s="49" t="str">
        <f>Summary!L12</f>
        <v>S</v>
      </c>
    </row>
    <row r="14" spans="1:19" ht="17" thickBot="1" x14ac:dyDescent="0.25">
      <c r="A14" s="112" t="s">
        <v>88</v>
      </c>
      <c r="B14" s="133" t="s">
        <v>89</v>
      </c>
      <c r="C14" s="128"/>
      <c r="D14" s="129" t="s">
        <v>52</v>
      </c>
      <c r="E14" s="130" t="s">
        <v>89</v>
      </c>
      <c r="F14" s="130" t="s">
        <v>90</v>
      </c>
      <c r="G14" s="131"/>
      <c r="I14" s="48" t="s">
        <v>4</v>
      </c>
      <c r="J14" s="48" t="s">
        <v>22</v>
      </c>
      <c r="K14" s="48">
        <v>2</v>
      </c>
      <c r="L14" s="48">
        <v>3</v>
      </c>
      <c r="M14" s="48">
        <v>4</v>
      </c>
      <c r="N14" s="48">
        <v>5</v>
      </c>
      <c r="O14" s="48">
        <v>6</v>
      </c>
      <c r="P14" s="48">
        <v>7</v>
      </c>
      <c r="Q14" s="48">
        <v>8</v>
      </c>
      <c r="R14" s="48">
        <v>9</v>
      </c>
      <c r="S14" s="48">
        <v>10</v>
      </c>
    </row>
    <row r="15" spans="1:19" ht="17" thickBot="1" x14ac:dyDescent="0.25">
      <c r="A15" s="112" t="s">
        <v>113</v>
      </c>
      <c r="B15" s="133" t="s">
        <v>84</v>
      </c>
      <c r="C15" s="128"/>
      <c r="D15" s="129" t="s">
        <v>52</v>
      </c>
      <c r="E15" s="130" t="s">
        <v>83</v>
      </c>
      <c r="F15" s="130" t="s">
        <v>114</v>
      </c>
      <c r="G15" s="131" t="s">
        <v>84</v>
      </c>
      <c r="I15" s="48">
        <v>13</v>
      </c>
      <c r="J15" s="49" t="str">
        <f>Summary!C14</f>
        <v>H</v>
      </c>
      <c r="K15" s="49" t="str">
        <f>Summary!D14</f>
        <v>H</v>
      </c>
      <c r="L15" s="49" t="str">
        <f>Summary!E14</f>
        <v>H</v>
      </c>
      <c r="M15" s="49" t="str">
        <f>Summary!F14</f>
        <v>H</v>
      </c>
      <c r="N15" s="49" t="str">
        <f>Summary!G14</f>
        <v>H</v>
      </c>
      <c r="O15" s="49" t="str">
        <f>Summary!H14</f>
        <v>D</v>
      </c>
      <c r="P15" s="49" t="str">
        <f>Summary!I14</f>
        <v>H</v>
      </c>
      <c r="Q15" s="49" t="str">
        <f>Summary!J14</f>
        <v>H</v>
      </c>
      <c r="R15" s="49" t="str">
        <f>Summary!K14</f>
        <v>H</v>
      </c>
      <c r="S15" s="49" t="str">
        <f>Summary!L14</f>
        <v>H</v>
      </c>
    </row>
    <row r="16" spans="1:19" ht="17" thickBot="1" x14ac:dyDescent="0.25">
      <c r="A16" s="112" t="s">
        <v>112</v>
      </c>
      <c r="B16" s="133" t="s">
        <v>84</v>
      </c>
      <c r="C16" s="128"/>
      <c r="D16" s="129" t="s">
        <v>52</v>
      </c>
      <c r="E16" s="130" t="s">
        <v>83</v>
      </c>
      <c r="F16" s="130" t="s">
        <v>114</v>
      </c>
      <c r="G16" s="131" t="s">
        <v>84</v>
      </c>
      <c r="I16" s="48">
        <v>14</v>
      </c>
      <c r="J16" s="49" t="str">
        <f>Summary!C15</f>
        <v>H</v>
      </c>
      <c r="K16" s="49" t="str">
        <f>Summary!D15</f>
        <v>H</v>
      </c>
      <c r="L16" s="49" t="str">
        <f>Summary!E15</f>
        <v>H</v>
      </c>
      <c r="M16" s="49" t="str">
        <f>Summary!F15</f>
        <v>H</v>
      </c>
      <c r="N16" s="49" t="str">
        <f>Summary!G15</f>
        <v>D</v>
      </c>
      <c r="O16" s="49" t="str">
        <f>Summary!H15</f>
        <v>D</v>
      </c>
      <c r="P16" s="49" t="str">
        <f>Summary!I15</f>
        <v>H</v>
      </c>
      <c r="Q16" s="49" t="str">
        <f>Summary!J15</f>
        <v>H</v>
      </c>
      <c r="R16" s="49" t="str">
        <f>Summary!K15</f>
        <v>H</v>
      </c>
      <c r="S16" s="49" t="str">
        <f>Summary!L15</f>
        <v>H</v>
      </c>
    </row>
    <row r="17" spans="1:19" x14ac:dyDescent="0.2">
      <c r="A17" s="112" t="s">
        <v>86</v>
      </c>
      <c r="B17" s="133">
        <v>2</v>
      </c>
      <c r="C17" s="128" t="s">
        <v>72</v>
      </c>
      <c r="D17" s="129" t="s">
        <v>52</v>
      </c>
      <c r="E17" s="130" t="s">
        <v>59</v>
      </c>
      <c r="F17" s="130" t="s">
        <v>80</v>
      </c>
      <c r="G17" s="131"/>
      <c r="I17" s="48">
        <v>15</v>
      </c>
      <c r="J17" s="49" t="str">
        <f>Summary!C16</f>
        <v>H</v>
      </c>
      <c r="K17" s="49" t="str">
        <f>Summary!D16</f>
        <v>H</v>
      </c>
      <c r="L17" s="49" t="str">
        <f>Summary!E16</f>
        <v>H</v>
      </c>
      <c r="M17" s="49" t="str">
        <f>Summary!F16</f>
        <v>H</v>
      </c>
      <c r="N17" s="49" t="str">
        <f>Summary!G16</f>
        <v>D</v>
      </c>
      <c r="O17" s="49" t="str">
        <f>Summary!H16</f>
        <v>D</v>
      </c>
      <c r="P17" s="49" t="str">
        <f>Summary!I16</f>
        <v>H</v>
      </c>
      <c r="Q17" s="49" t="str">
        <f>Summary!J16</f>
        <v>H</v>
      </c>
      <c r="R17" s="49" t="str">
        <f>Summary!K16</f>
        <v>H</v>
      </c>
      <c r="S17" s="49" t="str">
        <f>Summary!L16</f>
        <v>H</v>
      </c>
    </row>
    <row r="18" spans="1:19" x14ac:dyDescent="0.2">
      <c r="A18" s="295" t="s">
        <v>214</v>
      </c>
      <c r="B18" s="298" t="s">
        <v>215</v>
      </c>
      <c r="C18" s="1"/>
      <c r="D18" s="122"/>
      <c r="E18" s="122"/>
      <c r="F18" s="122"/>
      <c r="G18" s="122"/>
      <c r="I18" s="48">
        <v>16</v>
      </c>
      <c r="J18" s="49" t="str">
        <f>Summary!C17</f>
        <v>H</v>
      </c>
      <c r="K18" s="49" t="str">
        <f>Summary!D17</f>
        <v>H</v>
      </c>
      <c r="L18" s="49" t="str">
        <f>Summary!E17</f>
        <v>H</v>
      </c>
      <c r="M18" s="49" t="str">
        <f>Summary!F17</f>
        <v>D</v>
      </c>
      <c r="N18" s="49" t="str">
        <f>Summary!G17</f>
        <v>D</v>
      </c>
      <c r="O18" s="49" t="str">
        <f>Summary!H17</f>
        <v>D</v>
      </c>
      <c r="P18" s="49" t="str">
        <f>Summary!I17</f>
        <v>H</v>
      </c>
      <c r="Q18" s="49" t="str">
        <f>Summary!J17</f>
        <v>H</v>
      </c>
      <c r="R18" s="49" t="str">
        <f>Summary!K17</f>
        <v>H</v>
      </c>
      <c r="S18" s="49" t="str">
        <f>Summary!L17</f>
        <v>H</v>
      </c>
    </row>
    <row r="19" spans="1:19" x14ac:dyDescent="0.2">
      <c r="A19" s="295" t="s">
        <v>213</v>
      </c>
      <c r="B19" s="314" t="s">
        <v>216</v>
      </c>
      <c r="C19" s="315"/>
      <c r="D19" s="315"/>
      <c r="E19" s="315"/>
      <c r="F19" s="315"/>
      <c r="G19" s="316"/>
      <c r="I19" s="48">
        <v>17</v>
      </c>
      <c r="J19" s="49" t="str">
        <f>Summary!C18</f>
        <v>H</v>
      </c>
      <c r="K19" s="49" t="str">
        <f>Summary!D18</f>
        <v>H</v>
      </c>
      <c r="L19" s="49" t="str">
        <f>Summary!E18</f>
        <v>D</v>
      </c>
      <c r="M19" s="49" t="str">
        <f>Summary!F18</f>
        <v>D</v>
      </c>
      <c r="N19" s="49" t="str">
        <f>Summary!G18</f>
        <v>D</v>
      </c>
      <c r="O19" s="49" t="str">
        <f>Summary!H18</f>
        <v>D</v>
      </c>
      <c r="P19" s="49" t="str">
        <f>Summary!I18</f>
        <v>H</v>
      </c>
      <c r="Q19" s="49" t="str">
        <f>Summary!J18</f>
        <v>H</v>
      </c>
      <c r="R19" s="49" t="str">
        <f>Summary!K18</f>
        <v>H</v>
      </c>
      <c r="S19" s="49" t="str">
        <f>Summary!L18</f>
        <v>H</v>
      </c>
    </row>
    <row r="20" spans="1:19" ht="17" thickBot="1" x14ac:dyDescent="0.25">
      <c r="A20" s="48" t="s">
        <v>41</v>
      </c>
      <c r="B20">
        <f>'WL Prob'!O5</f>
        <v>0.39827036868457011</v>
      </c>
      <c r="C20" s="30">
        <f>'WL Prob'!O5</f>
        <v>0.39827036868457011</v>
      </c>
      <c r="D20" s="296" t="s">
        <v>184</v>
      </c>
      <c r="E20">
        <f>'WL Prob'!O4</f>
        <v>0.60172963131542967</v>
      </c>
      <c r="F20" s="30">
        <f>'WL Prob'!O4</f>
        <v>0.60172963131542967</v>
      </c>
      <c r="G20" s="297" t="s">
        <v>49</v>
      </c>
      <c r="I20" s="48">
        <v>18</v>
      </c>
      <c r="J20" s="49" t="str">
        <f>Summary!C19</f>
        <v>H</v>
      </c>
      <c r="K20" s="49" t="str">
        <f>Summary!D19</f>
        <v>S</v>
      </c>
      <c r="L20" s="49" t="str">
        <f>Summary!E19</f>
        <v>D</v>
      </c>
      <c r="M20" s="49" t="str">
        <f>Summary!F19</f>
        <v>D</v>
      </c>
      <c r="N20" s="49" t="str">
        <f>Summary!G19</f>
        <v>D</v>
      </c>
      <c r="O20" s="49" t="str">
        <f>Summary!H19</f>
        <v>D</v>
      </c>
      <c r="P20" s="49" t="str">
        <f>Summary!I19</f>
        <v>S</v>
      </c>
      <c r="Q20" s="49" t="str">
        <f>Summary!J19</f>
        <v>S</v>
      </c>
      <c r="R20" s="49" t="str">
        <f>Summary!K19</f>
        <v>H</v>
      </c>
      <c r="S20" s="49" t="str">
        <f>Summary!L19</f>
        <v>H</v>
      </c>
    </row>
    <row r="21" spans="1:19" ht="17" thickBot="1" x14ac:dyDescent="0.25">
      <c r="A21" s="48" t="s">
        <v>68</v>
      </c>
      <c r="B21" s="48"/>
      <c r="C21" s="308">
        <f>IF(Rules!$B$16=Rules!$E$16,EV!H46+'5 Cards'!G122,EV!H46)</f>
        <v>-4.8487754019161805E-3</v>
      </c>
      <c r="D21" s="309"/>
      <c r="E21" s="310" t="str">
        <f>"( "&amp; ROUND(C21*100,2)&amp; "% )"</f>
        <v>( -0.48% )</v>
      </c>
      <c r="F21" s="311"/>
      <c r="G21" s="179">
        <f>B20-E20</f>
        <v>-0.20345926263085956</v>
      </c>
      <c r="I21" s="48">
        <v>19</v>
      </c>
      <c r="J21" s="49" t="str">
        <f>Summary!C20</f>
        <v>S</v>
      </c>
      <c r="K21" s="49" t="str">
        <f>Summary!D20</f>
        <v>S</v>
      </c>
      <c r="L21" s="49" t="str">
        <f>Summary!E20</f>
        <v>S</v>
      </c>
      <c r="M21" s="49" t="str">
        <f>Summary!F20</f>
        <v>S</v>
      </c>
      <c r="N21" s="49" t="str">
        <f>Summary!G20</f>
        <v>S</v>
      </c>
      <c r="O21" s="49" t="str">
        <f>Summary!H20</f>
        <v>S</v>
      </c>
      <c r="P21" s="49" t="str">
        <f>Summary!I20</f>
        <v>S</v>
      </c>
      <c r="Q21" s="49" t="str">
        <f>Summary!J20</f>
        <v>S</v>
      </c>
      <c r="R21" s="49" t="str">
        <f>Summary!K20</f>
        <v>S</v>
      </c>
      <c r="S21" s="49" t="str">
        <f>Summary!L20</f>
        <v>S</v>
      </c>
    </row>
    <row r="22" spans="1:19" x14ac:dyDescent="0.2">
      <c r="I22" s="48" t="s">
        <v>10</v>
      </c>
      <c r="J22" s="48" t="s">
        <v>22</v>
      </c>
      <c r="K22" s="48">
        <v>2</v>
      </c>
      <c r="L22" s="48">
        <v>3</v>
      </c>
      <c r="M22" s="48">
        <v>4</v>
      </c>
      <c r="N22" s="48">
        <v>5</v>
      </c>
      <c r="O22" s="48">
        <v>6</v>
      </c>
      <c r="P22" s="48">
        <v>7</v>
      </c>
      <c r="Q22" s="48">
        <v>8</v>
      </c>
      <c r="R22" s="48">
        <v>9</v>
      </c>
      <c r="S22" s="48">
        <v>10</v>
      </c>
    </row>
    <row r="23" spans="1:19" x14ac:dyDescent="0.2">
      <c r="A23" s="48"/>
      <c r="B23" s="48"/>
      <c r="C23" s="48" t="s">
        <v>48</v>
      </c>
      <c r="D23" s="48" t="s">
        <v>49</v>
      </c>
      <c r="E23" s="48" t="s">
        <v>134</v>
      </c>
      <c r="F23" s="48" t="s">
        <v>160</v>
      </c>
      <c r="G23" s="48" t="s">
        <v>164</v>
      </c>
      <c r="I23" s="48" t="s">
        <v>22</v>
      </c>
      <c r="J23" s="49" t="str">
        <f>Summary!C22</f>
        <v>P</v>
      </c>
      <c r="K23" s="49" t="str">
        <f>Summary!D22</f>
        <v>P</v>
      </c>
      <c r="L23" s="49" t="str">
        <f>Summary!E22</f>
        <v>P</v>
      </c>
      <c r="M23" s="49" t="str">
        <f>Summary!F22</f>
        <v>P</v>
      </c>
      <c r="N23" s="49" t="str">
        <f>Summary!G22</f>
        <v>P</v>
      </c>
      <c r="O23" s="49" t="str">
        <f>Summary!H22</f>
        <v>P</v>
      </c>
      <c r="P23" s="49" t="str">
        <f>Summary!I22</f>
        <v>P</v>
      </c>
      <c r="Q23" s="49" t="str">
        <f>Summary!J22</f>
        <v>P</v>
      </c>
      <c r="R23" s="49" t="str">
        <f>Summary!K22</f>
        <v>P</v>
      </c>
      <c r="S23" s="49" t="str">
        <f>Summary!L22</f>
        <v>P</v>
      </c>
    </row>
    <row r="24" spans="1:19" x14ac:dyDescent="0.2">
      <c r="A24" s="48" t="s">
        <v>162</v>
      </c>
      <c r="B24" s="48" t="s">
        <v>159</v>
      </c>
      <c r="C24" s="1">
        <f>'Strategy Summary'!D4</f>
        <v>0.43704759587136754</v>
      </c>
      <c r="D24" s="1">
        <f>'Strategy Summary'!D16</f>
        <v>0.4356517692674659</v>
      </c>
      <c r="E24" s="1">
        <v>40</v>
      </c>
      <c r="F24" s="1">
        <f>E24*2</f>
        <v>80</v>
      </c>
      <c r="G24" s="1">
        <f>C24/E24</f>
        <v>1.0926189896784188E-2</v>
      </c>
      <c r="I24" s="48">
        <v>2</v>
      </c>
      <c r="J24" s="49" t="str">
        <f>Summary!C23</f>
        <v>H</v>
      </c>
      <c r="K24" s="49" t="str">
        <f>Summary!D23</f>
        <v>P</v>
      </c>
      <c r="L24" s="49" t="str">
        <f>Summary!E23</f>
        <v>P</v>
      </c>
      <c r="M24" s="49" t="str">
        <f>Summary!F23</f>
        <v>P</v>
      </c>
      <c r="N24" s="49" t="str">
        <f>Summary!G23</f>
        <v>P</v>
      </c>
      <c r="O24" s="49" t="str">
        <f>Summary!H23</f>
        <v>P</v>
      </c>
      <c r="P24" s="49" t="str">
        <f>Summary!I23</f>
        <v>P</v>
      </c>
      <c r="Q24" s="49" t="str">
        <f>Summary!J23</f>
        <v>H</v>
      </c>
      <c r="R24" s="49" t="str">
        <f>Summary!K23</f>
        <v>H</v>
      </c>
      <c r="S24" s="49" t="str">
        <f>Summary!L23</f>
        <v>H</v>
      </c>
    </row>
    <row r="25" spans="1:19" x14ac:dyDescent="0.2">
      <c r="A25" s="48" t="s">
        <v>162</v>
      </c>
      <c r="B25" s="48" t="s">
        <v>161</v>
      </c>
      <c r="C25" s="1">
        <f>'Strategy Summary'!C5</f>
        <v>0.18465708860972363</v>
      </c>
      <c r="D25" s="1">
        <f>'Strategy Summary'!C17</f>
        <v>0.54863874573144988</v>
      </c>
      <c r="E25" s="1">
        <v>60</v>
      </c>
      <c r="F25" s="1">
        <f>E25*2</f>
        <v>120</v>
      </c>
      <c r="G25" s="1">
        <f>C25/E25</f>
        <v>3.0776181434953938E-3</v>
      </c>
      <c r="I25" s="48">
        <v>3</v>
      </c>
      <c r="J25" s="49" t="str">
        <f>Summary!C24</f>
        <v>H</v>
      </c>
      <c r="K25" s="49" t="str">
        <f>Summary!D24</f>
        <v>P</v>
      </c>
      <c r="L25" s="49" t="str">
        <f>Summary!E24</f>
        <v>P</v>
      </c>
      <c r="M25" s="49" t="str">
        <f>Summary!F24</f>
        <v>P</v>
      </c>
      <c r="N25" s="49" t="str">
        <f>Summary!G24</f>
        <v>P</v>
      </c>
      <c r="O25" s="49" t="str">
        <f>Summary!H24</f>
        <v>P</v>
      </c>
      <c r="P25" s="49" t="str">
        <f>Summary!I24</f>
        <v>P</v>
      </c>
      <c r="Q25" s="49" t="str">
        <f>Summary!J24</f>
        <v>H</v>
      </c>
      <c r="R25" s="49" t="str">
        <f>Summary!K24</f>
        <v>H</v>
      </c>
      <c r="S25" s="49" t="str">
        <f>Summary!L24</f>
        <v>H</v>
      </c>
    </row>
    <row r="26" spans="1:19" x14ac:dyDescent="0.2">
      <c r="I26" s="48">
        <v>4</v>
      </c>
      <c r="J26" s="49" t="str">
        <f>Summary!C25</f>
        <v>H</v>
      </c>
      <c r="K26" s="49" t="str">
        <f>Summary!D25</f>
        <v>H</v>
      </c>
      <c r="L26" s="49" t="str">
        <f>Summary!E25</f>
        <v>H</v>
      </c>
      <c r="M26" s="49" t="str">
        <f>Summary!F25</f>
        <v>H</v>
      </c>
      <c r="N26" s="49" t="str">
        <f>Summary!G25</f>
        <v>P</v>
      </c>
      <c r="O26" s="49" t="str">
        <f>Summary!H25</f>
        <v>P</v>
      </c>
      <c r="P26" s="49" t="str">
        <f>Summary!I25</f>
        <v>H</v>
      </c>
      <c r="Q26" s="49" t="str">
        <f>Summary!J25</f>
        <v>H</v>
      </c>
      <c r="R26" s="49" t="str">
        <f>Summary!K25</f>
        <v>H</v>
      </c>
      <c r="S26" s="49" t="str">
        <f>Summary!L25</f>
        <v>H</v>
      </c>
    </row>
    <row r="27" spans="1:19" x14ac:dyDescent="0.2">
      <c r="A27" s="48" t="s">
        <v>163</v>
      </c>
      <c r="B27" s="48">
        <v>40</v>
      </c>
      <c r="C27" s="48">
        <v>60</v>
      </c>
      <c r="D27" s="48">
        <v>80</v>
      </c>
      <c r="E27" s="48">
        <v>120</v>
      </c>
      <c r="F27" s="48" t="s">
        <v>185</v>
      </c>
      <c r="G27" s="48" t="s">
        <v>186</v>
      </c>
      <c r="I27" s="48">
        <v>5</v>
      </c>
      <c r="J27" s="49" t="str">
        <f>Summary!C26</f>
        <v>H</v>
      </c>
      <c r="K27" s="49" t="str">
        <f>Summary!D26</f>
        <v>D</v>
      </c>
      <c r="L27" s="49" t="str">
        <f>Summary!E26</f>
        <v>D</v>
      </c>
      <c r="M27" s="49" t="str">
        <f>Summary!F26</f>
        <v>D</v>
      </c>
      <c r="N27" s="49" t="str">
        <f>Summary!G26</f>
        <v>D</v>
      </c>
      <c r="O27" s="49" t="str">
        <f>Summary!H26</f>
        <v>D</v>
      </c>
      <c r="P27" s="49" t="str">
        <f>Summary!I26</f>
        <v>D</v>
      </c>
      <c r="Q27" s="49" t="str">
        <f>Summary!J26</f>
        <v>D</v>
      </c>
      <c r="R27" s="49" t="str">
        <f>Summary!K26</f>
        <v>D</v>
      </c>
      <c r="S27" s="49" t="str">
        <f>Summary!L26</f>
        <v>H</v>
      </c>
    </row>
    <row r="28" spans="1:19" x14ac:dyDescent="0.2">
      <c r="A28" s="48">
        <v>100</v>
      </c>
      <c r="B28" s="177">
        <f>$A28*B$27</f>
        <v>4000</v>
      </c>
      <c r="C28" s="177">
        <f t="shared" ref="C28:E28" si="0">$A28*C$27</f>
        <v>6000</v>
      </c>
      <c r="D28" s="177">
        <f t="shared" si="0"/>
        <v>8000</v>
      </c>
      <c r="E28" s="177">
        <f t="shared" si="0"/>
        <v>12000</v>
      </c>
      <c r="F28" s="177">
        <f>A28*60</f>
        <v>6000</v>
      </c>
      <c r="G28" s="180">
        <f>F28*$G$25</f>
        <v>18.465708860972363</v>
      </c>
      <c r="I28" s="48">
        <v>6</v>
      </c>
      <c r="J28" s="49" t="str">
        <f>Summary!C27</f>
        <v>H</v>
      </c>
      <c r="K28" s="49" t="str">
        <f>Summary!D27</f>
        <v>P</v>
      </c>
      <c r="L28" s="49" t="str">
        <f>Summary!E27</f>
        <v>P</v>
      </c>
      <c r="M28" s="49" t="str">
        <f>Summary!F27</f>
        <v>P</v>
      </c>
      <c r="N28" s="49" t="str">
        <f>Summary!G27</f>
        <v>P</v>
      </c>
      <c r="O28" s="49" t="str">
        <f>Summary!H27</f>
        <v>P</v>
      </c>
      <c r="P28" s="49" t="str">
        <f>Summary!I27</f>
        <v>H</v>
      </c>
      <c r="Q28" s="49" t="str">
        <f>Summary!J27</f>
        <v>H</v>
      </c>
      <c r="R28" s="49" t="str">
        <f>Summary!K27</f>
        <v>H</v>
      </c>
      <c r="S28" s="49" t="str">
        <f>Summary!L27</f>
        <v>H</v>
      </c>
    </row>
    <row r="29" spans="1:19" x14ac:dyDescent="0.2">
      <c r="A29" s="48">
        <v>200</v>
      </c>
      <c r="B29" s="177">
        <f t="shared" ref="B29:E31" si="1">$A29*B$27</f>
        <v>8000</v>
      </c>
      <c r="C29" s="177">
        <f t="shared" si="1"/>
        <v>12000</v>
      </c>
      <c r="D29" s="177">
        <f t="shared" si="1"/>
        <v>16000</v>
      </c>
      <c r="E29" s="177">
        <f t="shared" si="1"/>
        <v>24000</v>
      </c>
      <c r="F29" s="177">
        <f t="shared" ref="F29:F31" si="2">A29*60</f>
        <v>12000</v>
      </c>
      <c r="G29" s="180">
        <f t="shared" ref="G29:G31" si="3">F29*$G$25</f>
        <v>36.931417721944726</v>
      </c>
      <c r="I29" s="48">
        <v>7</v>
      </c>
      <c r="J29" s="49" t="str">
        <f>Summary!C28</f>
        <v>H</v>
      </c>
      <c r="K29" s="49" t="str">
        <f>Summary!D28</f>
        <v>P</v>
      </c>
      <c r="L29" s="49" t="str">
        <f>Summary!E28</f>
        <v>P</v>
      </c>
      <c r="M29" s="49" t="str">
        <f>Summary!F28</f>
        <v>P</v>
      </c>
      <c r="N29" s="49" t="str">
        <f>Summary!G28</f>
        <v>P</v>
      </c>
      <c r="O29" s="49" t="str">
        <f>Summary!H28</f>
        <v>P</v>
      </c>
      <c r="P29" s="49" t="str">
        <f>Summary!I28</f>
        <v>P</v>
      </c>
      <c r="Q29" s="49" t="str">
        <f>Summary!J28</f>
        <v>H</v>
      </c>
      <c r="R29" s="49" t="str">
        <f>Summary!K28</f>
        <v>H</v>
      </c>
      <c r="S29" s="49" t="str">
        <f>Summary!L28</f>
        <v>H</v>
      </c>
    </row>
    <row r="30" spans="1:19" x14ac:dyDescent="0.2">
      <c r="A30" s="48">
        <v>300</v>
      </c>
      <c r="B30" s="177">
        <f t="shared" si="1"/>
        <v>12000</v>
      </c>
      <c r="C30" s="177">
        <f t="shared" si="1"/>
        <v>18000</v>
      </c>
      <c r="D30" s="177">
        <f t="shared" si="1"/>
        <v>24000</v>
      </c>
      <c r="E30" s="177">
        <f t="shared" si="1"/>
        <v>36000</v>
      </c>
      <c r="F30" s="177">
        <f t="shared" si="2"/>
        <v>18000</v>
      </c>
      <c r="G30" s="180">
        <f t="shared" si="3"/>
        <v>55.397126582917089</v>
      </c>
      <c r="I30" s="48">
        <v>8</v>
      </c>
      <c r="J30" s="49" t="str">
        <f>Summary!C29</f>
        <v>P</v>
      </c>
      <c r="K30" s="49" t="str">
        <f>Summary!D29</f>
        <v>P</v>
      </c>
      <c r="L30" s="49" t="str">
        <f>Summary!E29</f>
        <v>P</v>
      </c>
      <c r="M30" s="49" t="str">
        <f>Summary!F29</f>
        <v>P</v>
      </c>
      <c r="N30" s="49" t="str">
        <f>Summary!G29</f>
        <v>P</v>
      </c>
      <c r="O30" s="49" t="str">
        <f>Summary!H29</f>
        <v>P</v>
      </c>
      <c r="P30" s="49" t="str">
        <f>Summary!I29</f>
        <v>P</v>
      </c>
      <c r="Q30" s="49" t="str">
        <f>Summary!J29</f>
        <v>P</v>
      </c>
      <c r="R30" s="49" t="str">
        <f>Summary!K29</f>
        <v>P</v>
      </c>
      <c r="S30" s="49" t="str">
        <f>Summary!L29</f>
        <v>P</v>
      </c>
    </row>
    <row r="31" spans="1:19" x14ac:dyDescent="0.2">
      <c r="A31" s="48">
        <v>500</v>
      </c>
      <c r="B31" s="177">
        <f t="shared" si="1"/>
        <v>20000</v>
      </c>
      <c r="C31" s="177">
        <f t="shared" si="1"/>
        <v>30000</v>
      </c>
      <c r="D31" s="177">
        <f t="shared" si="1"/>
        <v>40000</v>
      </c>
      <c r="E31" s="177">
        <f t="shared" si="1"/>
        <v>60000</v>
      </c>
      <c r="F31" s="177">
        <f t="shared" si="2"/>
        <v>30000</v>
      </c>
      <c r="G31" s="180">
        <f t="shared" si="3"/>
        <v>92.328544304861808</v>
      </c>
      <c r="I31" s="48">
        <v>9</v>
      </c>
      <c r="J31" s="49" t="str">
        <f>Summary!C30</f>
        <v>S</v>
      </c>
      <c r="K31" s="49" t="str">
        <f>Summary!D30</f>
        <v>P</v>
      </c>
      <c r="L31" s="49" t="str">
        <f>Summary!E30</f>
        <v>P</v>
      </c>
      <c r="M31" s="49" t="str">
        <f>Summary!F30</f>
        <v>P</v>
      </c>
      <c r="N31" s="49" t="str">
        <f>Summary!G30</f>
        <v>P</v>
      </c>
      <c r="O31" s="49" t="str">
        <f>Summary!H30</f>
        <v>P</v>
      </c>
      <c r="P31" s="49" t="str">
        <f>Summary!I30</f>
        <v>S</v>
      </c>
      <c r="Q31" s="49" t="str">
        <f>Summary!J30</f>
        <v>P</v>
      </c>
      <c r="R31" s="49" t="str">
        <f>Summary!K30</f>
        <v>P</v>
      </c>
      <c r="S31" s="49" t="str">
        <f>Summary!L30</f>
        <v>S</v>
      </c>
    </row>
    <row r="32" spans="1:19" x14ac:dyDescent="0.2">
      <c r="I32" s="48">
        <v>10</v>
      </c>
      <c r="J32" s="49" t="str">
        <f>Summary!C31</f>
        <v>S</v>
      </c>
      <c r="K32" s="49" t="str">
        <f>Summary!D31</f>
        <v>S</v>
      </c>
      <c r="L32" s="49" t="str">
        <f>Summary!E31</f>
        <v>S</v>
      </c>
      <c r="M32" s="49" t="str">
        <f>Summary!F31</f>
        <v>S</v>
      </c>
      <c r="N32" s="49" t="str">
        <f>Summary!G31</f>
        <v>S</v>
      </c>
      <c r="O32" s="49" t="str">
        <f>Summary!H31</f>
        <v>S</v>
      </c>
      <c r="P32" s="49" t="str">
        <f>Summary!I31</f>
        <v>S</v>
      </c>
      <c r="Q32" s="49" t="str">
        <f>Summary!J31</f>
        <v>S</v>
      </c>
      <c r="R32" s="49" t="str">
        <f>Summary!K31</f>
        <v>S</v>
      </c>
      <c r="S32" s="49" t="str">
        <f>Summary!L31</f>
        <v>S</v>
      </c>
    </row>
    <row r="33" spans="9:19" x14ac:dyDescent="0.2">
      <c r="I33" s="302" t="str">
        <f>Summary!B32</f>
        <v>EV = -0.00484877540191618</v>
      </c>
      <c r="J33" s="302"/>
      <c r="K33" s="302"/>
      <c r="L33" s="302"/>
      <c r="M33" s="302"/>
      <c r="N33" s="302"/>
      <c r="O33" s="302"/>
      <c r="P33" s="302"/>
      <c r="Q33" s="302"/>
      <c r="R33" s="302"/>
      <c r="S33" s="302"/>
    </row>
    <row r="34" spans="9:19" x14ac:dyDescent="0.2">
      <c r="I34" s="302" t="str">
        <f>Summary!B33</f>
        <v>EV = -0.484877540191618 %</v>
      </c>
      <c r="J34" s="302"/>
      <c r="K34" s="302"/>
      <c r="L34" s="302"/>
      <c r="M34" s="302"/>
      <c r="N34" s="302"/>
      <c r="O34" s="302"/>
      <c r="P34" s="302"/>
      <c r="Q34" s="302"/>
      <c r="R34" s="302"/>
      <c r="S34" s="302"/>
    </row>
    <row r="35" spans="9:19" x14ac:dyDescent="0.2">
      <c r="I35" s="306" t="s">
        <v>24</v>
      </c>
      <c r="J35" s="306"/>
      <c r="K35" s="306"/>
      <c r="L35" s="306"/>
      <c r="M35" s="306"/>
      <c r="N35" s="306"/>
      <c r="O35" s="306"/>
      <c r="P35" s="306"/>
      <c r="Q35" s="306"/>
      <c r="R35" s="306"/>
      <c r="S35" s="306"/>
    </row>
    <row r="36" spans="9:19" x14ac:dyDescent="0.2">
      <c r="I36" s="307" t="s">
        <v>25</v>
      </c>
      <c r="J36" s="307"/>
      <c r="K36" s="307"/>
      <c r="L36" s="307"/>
      <c r="M36" s="307"/>
      <c r="N36" s="307"/>
      <c r="O36" s="307"/>
      <c r="P36" s="307"/>
      <c r="Q36" s="307"/>
      <c r="R36" s="307"/>
      <c r="S36" s="307"/>
    </row>
    <row r="37" spans="9:19" x14ac:dyDescent="0.2">
      <c r="I37" s="303" t="s">
        <v>26</v>
      </c>
      <c r="J37" s="303"/>
      <c r="K37" s="303"/>
      <c r="L37" s="303"/>
      <c r="M37" s="303"/>
      <c r="N37" s="303"/>
      <c r="O37" s="303"/>
      <c r="P37" s="303"/>
      <c r="Q37" s="303"/>
      <c r="R37" s="303"/>
      <c r="S37" s="303"/>
    </row>
    <row r="38" spans="9:19" x14ac:dyDescent="0.2">
      <c r="I38" s="304" t="s">
        <v>27</v>
      </c>
      <c r="J38" s="304"/>
      <c r="K38" s="304"/>
      <c r="L38" s="304"/>
      <c r="M38" s="304"/>
      <c r="N38" s="304"/>
      <c r="O38" s="304"/>
      <c r="P38" s="304"/>
      <c r="Q38" s="304"/>
      <c r="R38" s="304"/>
      <c r="S38" s="304"/>
    </row>
    <row r="39" spans="9:19" x14ac:dyDescent="0.2">
      <c r="I39" s="302" t="s">
        <v>28</v>
      </c>
      <c r="J39" s="302"/>
      <c r="K39" s="302"/>
      <c r="L39" s="302"/>
      <c r="M39" s="302"/>
      <c r="N39" s="302"/>
      <c r="O39" s="302"/>
      <c r="P39" s="302"/>
      <c r="Q39" s="302"/>
      <c r="R39" s="302"/>
      <c r="S39" s="302"/>
    </row>
    <row r="40" spans="9:19" x14ac:dyDescent="0.2"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</row>
  </sheetData>
  <sheetProtection sheet="1" objects="1" scenarios="1"/>
  <mergeCells count="13">
    <mergeCell ref="A1:S1"/>
    <mergeCell ref="I39:S39"/>
    <mergeCell ref="I37:S37"/>
    <mergeCell ref="I38:S38"/>
    <mergeCell ref="I2:S2"/>
    <mergeCell ref="I33:S33"/>
    <mergeCell ref="I35:S35"/>
    <mergeCell ref="I36:S36"/>
    <mergeCell ref="C21:D21"/>
    <mergeCell ref="E21:F21"/>
    <mergeCell ref="I34:S34"/>
    <mergeCell ref="A2:G2"/>
    <mergeCell ref="B19:G19"/>
  </mergeCells>
  <phoneticPr fontId="16" type="noConversion"/>
  <conditionalFormatting sqref="J23:S32 J4:S13 J15:S21">
    <cfRule type="containsText" dxfId="829" priority="4" operator="containsText" text="S">
      <formula>NOT(ISERROR(SEARCH("S",J4)))</formula>
    </cfRule>
    <cfRule type="containsText" dxfId="828" priority="5" operator="containsText" text="H">
      <formula>NOT(ISERROR(SEARCH("H",J4)))</formula>
    </cfRule>
  </conditionalFormatting>
  <conditionalFormatting sqref="J23:S32 J4:S13 J15:S21">
    <cfRule type="containsText" dxfId="827" priority="3" operator="containsText" text="D">
      <formula>NOT(ISERROR(SEARCH("D",J4)))</formula>
    </cfRule>
  </conditionalFormatting>
  <conditionalFormatting sqref="J23:S32 J4:S13 J15:S21">
    <cfRule type="containsText" dxfId="826" priority="2" operator="containsText" text="R">
      <formula>NOT(ISERROR(SEARCH("R",J4)))</formula>
    </cfRule>
  </conditionalFormatting>
  <conditionalFormatting sqref="J23:S32 J4:S13 J15:S21">
    <cfRule type="containsText" dxfId="825" priority="1" operator="containsText" text="P">
      <formula>NOT(ISERROR(SEARCH("P",J4)))</formula>
    </cfRule>
  </conditionalFormatting>
  <dataValidations count="14">
    <dataValidation type="list" allowBlank="1" showInputMessage="1" showErrorMessage="1" sqref="B4" xr:uid="{00000000-0002-0000-0000-000000000000}">
      <formula1>$E$4:$F$4</formula1>
    </dataValidation>
    <dataValidation type="list" allowBlank="1" showInputMessage="1" showErrorMessage="1" sqref="B3" xr:uid="{00000000-0002-0000-0000-000001000000}">
      <formula1>$E$3:$G$3</formula1>
    </dataValidation>
    <dataValidation type="whole" allowBlank="1" showInputMessage="1" showErrorMessage="1" sqref="B5" xr:uid="{00000000-0002-0000-0000-000002000000}">
      <formula1>0</formula1>
      <formula2>100</formula2>
    </dataValidation>
    <dataValidation type="list" allowBlank="1" showInputMessage="1" showErrorMessage="1" sqref="B6" xr:uid="{00000000-0002-0000-0000-000003000000}">
      <formula1>$E$6:$F$6</formula1>
    </dataValidation>
    <dataValidation type="list" allowBlank="1" showInputMessage="1" showErrorMessage="1" sqref="B8:B9" xr:uid="{00000000-0002-0000-0000-000004000000}">
      <formula1>$E$8:$F$8</formula1>
    </dataValidation>
    <dataValidation type="list" allowBlank="1" showInputMessage="1" showErrorMessage="1" sqref="B7" xr:uid="{00000000-0002-0000-0000-000005000000}">
      <formula1>$E$7:$F$7</formula1>
    </dataValidation>
    <dataValidation type="list" allowBlank="1" showInputMessage="1" showErrorMessage="1" sqref="B10" xr:uid="{00000000-0002-0000-0000-000006000000}">
      <formula1>$E$10:$F$10</formula1>
    </dataValidation>
    <dataValidation type="whole" allowBlank="1" showInputMessage="1" showErrorMessage="1" sqref="B11 B17" xr:uid="{00000000-0002-0000-0000-000007000000}">
      <formula1>2</formula1>
      <formula2>5</formula2>
    </dataValidation>
    <dataValidation type="list" allowBlank="1" showInputMessage="1" showErrorMessage="1" sqref="B12" xr:uid="{00000000-0002-0000-0000-000008000000}">
      <formula1>$E$12:$F$12</formula1>
    </dataValidation>
    <dataValidation type="list" allowBlank="1" showInputMessage="1" showErrorMessage="1" sqref="B13" xr:uid="{00000000-0002-0000-0000-000009000000}">
      <formula1>$E$13:$F$13</formula1>
    </dataValidation>
    <dataValidation type="list" allowBlank="1" showInputMessage="1" showErrorMessage="1" sqref="B14" xr:uid="{00000000-0002-0000-0000-00000A000000}">
      <formula1>$E$14:$F$14</formula1>
    </dataValidation>
    <dataValidation type="list" allowBlank="1" showInputMessage="1" showErrorMessage="1" sqref="B16" xr:uid="{00000000-0002-0000-0000-00000B000000}">
      <formula1>$E$16:$G$16</formula1>
    </dataValidation>
    <dataValidation type="list" allowBlank="1" showInputMessage="1" showErrorMessage="1" sqref="B15" xr:uid="{00000000-0002-0000-0000-00000C000000}">
      <formula1>$E$15:$G$15</formula1>
    </dataValidation>
    <dataValidation type="textLength" operator="greaterThan" allowBlank="1" showInputMessage="1" showErrorMessage="1" sqref="B18 B19" xr:uid="{DB7CC3A3-DC58-B24B-8A55-F7465E4C5F5A}">
      <formula1>0</formula1>
    </dataValidation>
  </dataValidations>
  <pageMargins left="0.7" right="0.7" top="0.75" bottom="0.75" header="0.3" footer="0.3"/>
  <pageSetup paperSize="9" scale="7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X63"/>
  <sheetViews>
    <sheetView workbookViewId="0">
      <selection activeCell="K9" sqref="K9"/>
    </sheetView>
  </sheetViews>
  <sheetFormatPr baseColWidth="10" defaultColWidth="8.83203125" defaultRowHeight="16" x14ac:dyDescent="0.2"/>
  <cols>
    <col min="14" max="24" width="3.5" customWidth="1"/>
  </cols>
  <sheetData>
    <row r="1" spans="1:24" ht="17" thickBot="1" x14ac:dyDescent="0.25">
      <c r="A1" s="308" t="s">
        <v>75</v>
      </c>
      <c r="B1" s="318"/>
      <c r="C1" s="318"/>
      <c r="D1" s="318"/>
      <c r="E1" s="318"/>
      <c r="F1" s="318"/>
      <c r="G1" s="318"/>
      <c r="H1" s="318"/>
      <c r="I1" s="318"/>
      <c r="J1" s="318"/>
      <c r="K1" s="309"/>
      <c r="N1" t="s">
        <v>7</v>
      </c>
      <c r="O1">
        <v>1</v>
      </c>
      <c r="P1">
        <v>2</v>
      </c>
      <c r="Q1">
        <v>3</v>
      </c>
      <c r="R1">
        <v>4</v>
      </c>
      <c r="S1">
        <v>5</v>
      </c>
      <c r="T1">
        <v>6</v>
      </c>
      <c r="U1">
        <v>7</v>
      </c>
      <c r="V1">
        <v>8</v>
      </c>
      <c r="W1">
        <v>9</v>
      </c>
      <c r="X1">
        <v>10</v>
      </c>
    </row>
    <row r="2" spans="1:24" ht="17" thickBot="1" x14ac:dyDescent="0.25">
      <c r="A2" s="101" t="s">
        <v>7</v>
      </c>
      <c r="B2" s="117">
        <v>1</v>
      </c>
      <c r="C2" s="118">
        <v>2</v>
      </c>
      <c r="D2" s="118">
        <v>3</v>
      </c>
      <c r="E2" s="118">
        <v>4</v>
      </c>
      <c r="F2" s="118">
        <v>5</v>
      </c>
      <c r="G2" s="118">
        <v>6</v>
      </c>
      <c r="H2" s="118">
        <v>7</v>
      </c>
      <c r="I2" s="118">
        <v>8</v>
      </c>
      <c r="J2" s="118">
        <v>9</v>
      </c>
      <c r="K2" s="105">
        <v>10</v>
      </c>
      <c r="N2">
        <v>1</v>
      </c>
      <c r="O2" s="31" t="str">
        <f>IF(B54=IF(Rules!$B$17=2,B42,IF(Rules!$B$17=3,B29,IF(Rules!$B$17=4,B16,B3))),"P",HSDR!O34)</f>
        <v>P</v>
      </c>
      <c r="P2" s="31" t="str">
        <f>IF(C54=IF(Rules!$B$17=2,C42,IF(Rules!$B$17=3,C29,IF(Rules!$B$17=4,C16,C3))),"P",HSDR!P34)</f>
        <v>P</v>
      </c>
      <c r="Q2" s="31" t="str">
        <f>IF(D54=IF(Rules!$B$17=2,D42,IF(Rules!$B$17=3,D29,IF(Rules!$B$17=4,D16,D3))),"P",HSDR!Q34)</f>
        <v>P</v>
      </c>
      <c r="R2" s="31" t="str">
        <f>IF(E54=IF(Rules!$B$17=2,E42,IF(Rules!$B$17=3,E29,IF(Rules!$B$17=4,E16,E3))),"P",HSDR!R34)</f>
        <v>P</v>
      </c>
      <c r="S2" s="31" t="str">
        <f>IF(F54=IF(Rules!$B$17=2,F42,IF(Rules!$B$17=3,F29,IF(Rules!$B$17=4,F16,F3))),"P",HSDR!S34)</f>
        <v>P</v>
      </c>
      <c r="T2" s="31" t="str">
        <f>IF(G54=IF(Rules!$B$17=2,G42,IF(Rules!$B$17=3,G29,IF(Rules!$B$17=4,G16,G3))),"P",HSDR!T34)</f>
        <v>P</v>
      </c>
      <c r="U2" s="31" t="str">
        <f>IF(H54=IF(Rules!$B$17=2,H42,IF(Rules!$B$17=3,H29,IF(Rules!$B$17=4,H16,H3))),"P",HSDR!U34)</f>
        <v>P</v>
      </c>
      <c r="V2" s="31" t="str">
        <f>IF(I54=IF(Rules!$B$17=2,I42,IF(Rules!$B$17=3,I29,IF(Rules!$B$17=4,I16,I3))),"P",HSDR!V34)</f>
        <v>P</v>
      </c>
      <c r="W2" s="31" t="str">
        <f>IF(J54=IF(Rules!$B$17=2,J42,IF(Rules!$B$17=3,J29,IF(Rules!$B$17=4,J16,J3))),"P",HSDR!W34)</f>
        <v>P</v>
      </c>
      <c r="X2" s="31" t="str">
        <f>IF(K54=IF(Rules!$B$17=2,K42,IF(Rules!$B$17=3,K29,IF(Rules!$B$17=4,K16,K3))),"P",HSDR!X34)</f>
        <v>P</v>
      </c>
    </row>
    <row r="3" spans="1:24" x14ac:dyDescent="0.2">
      <c r="A3" s="99">
        <v>1</v>
      </c>
      <c r="B3" s="109">
        <f>2*(IF(Rules!$B$12=Rules!$F$12,SUM(Stand!B36:B43)+Rules!$B$5*Stand!B44+B16,SUM(HSD!B36:B43)+Rules!$B$5*HSD!B44+B16)/(9+Rules!$B$5))</f>
        <v>0.24964002360108775</v>
      </c>
      <c r="C3" s="110">
        <f>2*(IF(Rules!$B$12=Rules!$F$12,SUM(Stand!C36:C43)+Rules!$B$5*Stand!C44+C16,SUM(HSD!C36:C43)+Rules!$B$5*HSD!C44+C16)/(9+Rules!$B$5))</f>
        <v>0.60893997246027043</v>
      </c>
      <c r="D3" s="110">
        <f>2*(IF(Rules!$B$12=Rules!$F$12,SUM(Stand!D36:D43)+Rules!$B$5*Stand!D44+D16,SUM(HSD!D36:D43)+Rules!$B$5*HSD!D44+D16)/(9+Rules!$B$5))</f>
        <v>0.65729370645788177</v>
      </c>
      <c r="E3" s="110">
        <f>2*(IF(Rules!$B$12=Rules!$F$12,SUM(Stand!E36:E43)+Rules!$B$5*Stand!E44+E16,SUM(HSD!E36:E43)+Rules!$B$5*HSD!E44+E16)/(9+Rules!$B$5))</f>
        <v>0.7068176357371978</v>
      </c>
      <c r="F3" s="110">
        <f>2*(IF(Rules!$B$12=Rules!$F$12,SUM(Stand!F36:F43)+Rules!$B$5*Stand!F44+F16,SUM(HSD!F36:F43)+Rules!$B$5*HSD!F44+F16)/(9+Rules!$B$5))</f>
        <v>0.75634348224235182</v>
      </c>
      <c r="G3" s="110">
        <f>2*(IF(Rules!$B$12=Rules!$F$12,SUM(Stand!G36:G43)+Rules!$B$5*Stand!G44+G16,SUM(HSD!G36:G43)+Rules!$B$5*HSD!G44+G16)/(9+Rules!$B$5))</f>
        <v>0.81612360245129012</v>
      </c>
      <c r="H3" s="110">
        <f>2*(IF(Rules!$B$12=Rules!$F$12,SUM(Stand!H36:H43)+Rules!$B$5*Stand!H44+H16,SUM(HSD!H36:H43)+Rules!$B$5*HSD!H44+H16)/(9+Rules!$B$5))</f>
        <v>0.63286124044017034</v>
      </c>
      <c r="I3" s="110">
        <f>2*(IF(Rules!$B$12=Rules!$F$12,SUM(Stand!I36:I43)+Rules!$B$5*Stand!I44+I16,SUM(HSD!I36:I43)+Rules!$B$5*HSD!I44+I16)/(9+Rules!$B$5))</f>
        <v>0.5067060739538094</v>
      </c>
      <c r="J3" s="110">
        <f>2*(IF(Rules!$B$12=Rules!$F$12,SUM(Stand!J36:J43)+Rules!$B$5*Stand!J44+J16,SUM(HSD!J36:J43)+Rules!$B$5*HSD!J44+J16)/(9+Rules!$B$5))</f>
        <v>0.36744267463395625</v>
      </c>
      <c r="K3" s="57">
        <f>2*(IF(Rules!$B$12=Rules!$F$12,SUM(Stand!K36:K43)+Rules!$B$5*Stand!K44+K16,SUM(HSD!K36:K43)+Rules!$B$5*HSD!K44+K16)/(9+Rules!$B$5))</f>
        <v>0.31014270394261662</v>
      </c>
      <c r="N3">
        <v>2</v>
      </c>
      <c r="O3" s="31" t="str">
        <f>IF(B55=IF(Rules!$B$11=2,B43,IF(Rules!$B$11=3,B30,IF(Rules!$B$11=4,B17,B4))),"P",HSDR!O4)</f>
        <v>H</v>
      </c>
      <c r="P3" s="31" t="str">
        <f>IF(C55=IF(Rules!$B$11=2,C43,IF(Rules!$B$11=3,C30,IF(Rules!$B$11=4,C17,C4))),"P",HSDR!P4)</f>
        <v>P</v>
      </c>
      <c r="Q3" s="31" t="str">
        <f>IF(D55=IF(Rules!$B$11=2,D43,IF(Rules!$B$11=3,D30,IF(Rules!$B$11=4,D17,D4))),"P",HSDR!Q4)</f>
        <v>P</v>
      </c>
      <c r="R3" s="31" t="str">
        <f>IF(E55=IF(Rules!$B$11=2,E43,IF(Rules!$B$11=3,E30,IF(Rules!$B$11=4,E17,E4))),"P",HSDR!R4)</f>
        <v>P</v>
      </c>
      <c r="S3" s="31" t="str">
        <f>IF(F55=IF(Rules!$B$11=2,F43,IF(Rules!$B$11=3,F30,IF(Rules!$B$11=4,F17,F4))),"P",HSDR!S4)</f>
        <v>P</v>
      </c>
      <c r="T3" s="31" t="str">
        <f>IF(G55=IF(Rules!$B$11=2,G43,IF(Rules!$B$11=3,G30,IF(Rules!$B$11=4,G17,G4))),"P",HSDR!T4)</f>
        <v>P</v>
      </c>
      <c r="U3" s="31" t="str">
        <f>IF(H55=IF(Rules!$B$11=2,H43,IF(Rules!$B$11=3,H30,IF(Rules!$B$11=4,H17,H4))),"P",HSDR!U4)</f>
        <v>P</v>
      </c>
      <c r="V3" s="31" t="str">
        <f>IF(I55=IF(Rules!$B$11=2,I43,IF(Rules!$B$11=3,I30,IF(Rules!$B$11=4,I17,I4))),"P",HSDR!V4)</f>
        <v>H</v>
      </c>
      <c r="W3" s="31" t="str">
        <f>IF(J55=IF(Rules!$B$11=2,J43,IF(Rules!$B$11=3,J30,IF(Rules!$B$11=4,J17,J4))),"P",HSDR!W4)</f>
        <v>H</v>
      </c>
      <c r="X3" s="31" t="str">
        <f>IF(K55=IF(Rules!$B$11=2,K43,IF(Rules!$B$11=3,K30,IF(Rules!$B$11=4,K17,K4))),"P",HSDR!X4)</f>
        <v>H</v>
      </c>
    </row>
    <row r="4" spans="1:24" x14ac:dyDescent="0.2">
      <c r="A4" s="99">
        <v>2</v>
      </c>
      <c r="B4" s="93">
        <f>2*(IF(Rules!$B$9=Rules!$E$9,SUM(HSD!B5:B11)+Rules!$B$5*HSD!B12+HSD!B36+B17,SUM(HS!B5:B11)+Rules!$B$5*HS!B12+HS!B36+B17)/(9+Rules!$B$5))</f>
        <v>-0.43453844868912295</v>
      </c>
      <c r="C4" s="1">
        <f>2*(IF(Rules!$B$9=Rules!$E$9,SUM(HSD!C5:C11)+Rules!$B$5*HSD!C12+HSD!C36+C17,SUM(HS!C5:C11)+Rules!$B$5*HS!C12+HS!C36+C17)/(9+Rules!$B$5))</f>
        <v>-8.4172455956159187E-2</v>
      </c>
      <c r="D4" s="1">
        <f>2*(IF(Rules!$B$9=Rules!$E$9,SUM(HSD!D5:D11)+Rules!$B$5*HSD!D12+HSD!D36+D17,SUM(HS!D5:D11)+Rules!$B$5*HS!D12+HS!D36+D17)/(9+Rules!$B$5))</f>
        <v>-1.5290741694285886E-2</v>
      </c>
      <c r="E4" s="1">
        <f>2*(IF(Rules!$B$9=Rules!$E$9,SUM(HSD!E5:E11)+Rules!$B$5*HSD!E12+HSD!E36+E17,SUM(HS!E5:E11)+Rules!$B$5*HS!E12+HS!E36+E17)/(9+Rules!$B$5))</f>
        <v>5.9669884812702897E-2</v>
      </c>
      <c r="F4" s="1">
        <f>2*(IF(Rules!$B$9=Rules!$E$9,SUM(HSD!F5:F11)+Rules!$B$5*HSD!F12+HSD!F36+F17,SUM(HS!F5:F11)+Rules!$B$5*HS!F12+HS!F36+F17)/(9+Rules!$B$5))</f>
        <v>0.15254460734826114</v>
      </c>
      <c r="G4" s="1">
        <f>2*(IF(Rules!$B$9=Rules!$E$9,SUM(HSD!G5:G11)+Rules!$B$5*HSD!G12+HSD!G36+G17,SUM(HS!G5:G11)+Rules!$B$5*HS!G12+HS!G36+G17)/(9+Rules!$B$5))</f>
        <v>0.22804759042439768</v>
      </c>
      <c r="H4" s="1">
        <f>2*(IF(Rules!$B$9=Rules!$E$9,SUM(HSD!H5:H11)+Rules!$B$5*HSD!H12+HSD!H36+H17,SUM(HS!H5:H11)+Rules!$B$5*HS!H12+HS!H36+H17)/(9+Rules!$B$5))</f>
        <v>7.2525602925352451E-3</v>
      </c>
      <c r="I4" s="1">
        <f>2*(IF(Rules!$B$9=Rules!$E$9,SUM(HSD!I5:I11)+Rules!$B$5*HSD!I12+HSD!I36+I17,SUM(HS!I5:I11)+Rules!$B$5*HS!I12+HS!I36+I17)/(9+Rules!$B$5))</f>
        <v>-0.17678582788913758</v>
      </c>
      <c r="J4" s="1">
        <f>2*(IF(Rules!$B$9=Rules!$E$9,SUM(HSD!J5:J11)+Rules!$B$5*HSD!J12+HSD!J36+J17,SUM(HS!J5:J11)+Rules!$B$5*HS!J12+HS!J36+J17)/(9+Rules!$B$5))</f>
        <v>-0.38766698488340534</v>
      </c>
      <c r="K4" s="9">
        <f>2*(IF(Rules!$B$9=Rules!$E$9,SUM(HSD!K5:K11)+Rules!$B$5*HSD!K12+HSD!K36+K17,SUM(HS!K5:K11)+Rules!$B$5*HS!K12+HS!K36+K17)/(9+Rules!$B$5))</f>
        <v>-0.50834444067073903</v>
      </c>
      <c r="N4">
        <v>3</v>
      </c>
      <c r="O4" s="31" t="str">
        <f>IF(B56=IF(Rules!$B$11=2,B44,IF(Rules!$B$11=3,B31,IF(Rules!$B$11=4,B18,B5))),"P",HSDR!O6)</f>
        <v>H</v>
      </c>
      <c r="P4" s="31" t="str">
        <f>IF(C56=IF(Rules!$B$11=2,C44,IF(Rules!$B$11=3,C31,IF(Rules!$B$11=4,C18,C5))),"P",HSDR!P6)</f>
        <v>P</v>
      </c>
      <c r="Q4" s="31" t="str">
        <f>IF(D56=IF(Rules!$B$11=2,D44,IF(Rules!$B$11=3,D31,IF(Rules!$B$11=4,D18,D5))),"P",HSDR!Q6)</f>
        <v>P</v>
      </c>
      <c r="R4" s="31" t="str">
        <f>IF(E56=IF(Rules!$B$11=2,E44,IF(Rules!$B$11=3,E31,IF(Rules!$B$11=4,E18,E5))),"P",HSDR!R6)</f>
        <v>P</v>
      </c>
      <c r="S4" s="31" t="str">
        <f>IF(F56=IF(Rules!$B$11=2,F44,IF(Rules!$B$11=3,F31,IF(Rules!$B$11=4,F18,F5))),"P",HSDR!S6)</f>
        <v>P</v>
      </c>
      <c r="T4" s="31" t="str">
        <f>IF(G56=IF(Rules!$B$11=2,G44,IF(Rules!$B$11=3,G31,IF(Rules!$B$11=4,G18,G5))),"P",HSDR!T6)</f>
        <v>P</v>
      </c>
      <c r="U4" s="31" t="str">
        <f>IF(H56=IF(Rules!$B$11=2,H44,IF(Rules!$B$11=3,H31,IF(Rules!$B$11=4,H18,H5))),"P",HSDR!U6)</f>
        <v>P</v>
      </c>
      <c r="V4" s="31" t="str">
        <f>IF(I56=IF(Rules!$B$11=2,I44,IF(Rules!$B$11=3,I31,IF(Rules!$B$11=4,I18,I5))),"P",HSDR!V6)</f>
        <v>H</v>
      </c>
      <c r="W4" s="31" t="str">
        <f>IF(J56=IF(Rules!$B$11=2,J44,IF(Rules!$B$11=3,J31,IF(Rules!$B$11=4,J18,J5))),"P",HSDR!W6)</f>
        <v>H</v>
      </c>
      <c r="X4" s="31" t="str">
        <f>IF(K56=IF(Rules!$B$11=2,K44,IF(Rules!$B$11=3,K31,IF(Rules!$B$11=4,K18,K5))),"P",HSDR!X6)</f>
        <v>H</v>
      </c>
    </row>
    <row r="5" spans="1:24" x14ac:dyDescent="0.2">
      <c r="A5" s="99">
        <v>3</v>
      </c>
      <c r="B5" s="93">
        <f>2*(IF(Rules!$B$9=Rules!$E$9,SUM(HSD!B6:B12)+Rules!$B$5*HSD!B13+HSD!B37+B18,SUM(HS!B6:B12)+Rules!$B$5*HS!B13+HS!B37+B18)/(9+Rules!$B$5))</f>
        <v>-0.48799403658041574</v>
      </c>
      <c r="C5" s="1">
        <f>2*(IF(Rules!$B$9=Rules!$E$9,SUM(HSD!C6:C12)+Rules!$B$5*HSD!C13+HSD!C37+C18,SUM(HS!C6:C12)+Rules!$B$5*HS!C13+HS!C37+C18)/(9+Rules!$B$5))</f>
        <v>-0.13996566799551638</v>
      </c>
      <c r="D5" s="1">
        <f>2*(IF(Rules!$B$9=Rules!$E$9,SUM(HSD!D6:D12)+Rules!$B$5*HSD!D13+HSD!D37+D18,SUM(HS!D6:D12)+Rules!$B$5*HS!D13+HS!D37+D18)/(9+Rules!$B$5))</f>
        <v>-5.8170199231302212E-2</v>
      </c>
      <c r="E5" s="1">
        <f>2*(IF(Rules!$B$9=Rules!$E$9,SUM(HSD!E6:E12)+Rules!$B$5*HSD!E13+HSD!E37+E18,SUM(HS!E6:E12)+Rules!$B$5*HS!E13+HS!E37+E18)/(9+Rules!$B$5))</f>
        <v>2.8411638911331531E-2</v>
      </c>
      <c r="F5" s="1">
        <f>2*(IF(Rules!$B$9=Rules!$E$9,SUM(HSD!F6:F12)+Rules!$B$5*HSD!F13+HSD!F37+F18,SUM(HS!F6:F12)+Rules!$B$5*HS!F13+HS!F37+F18)/(9+Rules!$B$5))</f>
        <v>0.12516764322265045</v>
      </c>
      <c r="G5" s="1">
        <f>2*(IF(Rules!$B$9=Rules!$E$9,SUM(HSD!G6:G12)+Rules!$B$5*HSD!G13+HSD!G37+G18,SUM(HS!G6:G12)+Rules!$B$5*HS!G13+HS!G37+G18)/(9+Rules!$B$5))</f>
        <v>0.20032664693999136</v>
      </c>
      <c r="H5" s="1">
        <f>2*(IF(Rules!$B$9=Rules!$E$9,SUM(HSD!H6:H12)+Rules!$B$5*HSD!H13+HSD!H37+H18,SUM(HS!H6:H12)+Rules!$B$5*HS!H13+HS!H37+H18)/(9+Rules!$B$5))</f>
        <v>-5.8397045413019377E-2</v>
      </c>
      <c r="I5" s="1">
        <f>2*(IF(Rules!$B$9=Rules!$E$9,SUM(HSD!I6:I12)+Rules!$B$5*HSD!I13+HSD!I37+I18,SUM(HS!I6:I12)+Rules!$B$5*HS!I13+HS!I37+I18)/(9+Rules!$B$5))</f>
        <v>-0.23720132685451165</v>
      </c>
      <c r="J5" s="1">
        <f>2*(IF(Rules!$B$9=Rules!$E$9,SUM(HSD!J6:J12)+Rules!$B$5*HSD!J13+HSD!J37+J18,SUM(HS!J6:J12)+Rules!$B$5*HS!J13+HS!J37+J18)/(9+Rules!$B$5))</f>
        <v>-0.44209363396013424</v>
      </c>
      <c r="K5" s="9">
        <f>2*(IF(Rules!$B$9=Rules!$E$9,SUM(HSD!K6:K12)+Rules!$B$5*HSD!K13+HSD!K37+K18,SUM(HS!K6:K12)+Rules!$B$5*HS!K13+HS!K37+K18)/(9+Rules!$B$5))</f>
        <v>-0.55907351150222828</v>
      </c>
      <c r="N5">
        <v>4</v>
      </c>
      <c r="O5" s="31" t="str">
        <f>IF(B57=IF(Rules!$B$11=2,B45,IF(Rules!$B$11=3,B32,IF(Rules!$B$11=4,B19,B6))),"P",HSDR!O8)</f>
        <v>H</v>
      </c>
      <c r="P5" s="31" t="str">
        <f>IF(C57=IF(Rules!$B$11=2,C45,IF(Rules!$B$11=3,C32,IF(Rules!$B$11=4,C19,C6))),"P",HSDR!P8)</f>
        <v>H</v>
      </c>
      <c r="Q5" s="31" t="str">
        <f>IF(D57=IF(Rules!$B$11=2,D45,IF(Rules!$B$11=3,D32,IF(Rules!$B$11=4,D19,D6))),"P",HSDR!Q8)</f>
        <v>H</v>
      </c>
      <c r="R5" s="31" t="str">
        <f>IF(E57=IF(Rules!$B$11=2,E45,IF(Rules!$B$11=3,E32,IF(Rules!$B$11=4,E19,E6))),"P",HSDR!R8)</f>
        <v>H</v>
      </c>
      <c r="S5" s="31" t="str">
        <f>IF(F57=IF(Rules!$B$11=2,F45,IF(Rules!$B$11=3,F32,IF(Rules!$B$11=4,F19,F6))),"P",HSDR!S8)</f>
        <v>P</v>
      </c>
      <c r="T5" s="31" t="str">
        <f>IF(G57=IF(Rules!$B$11=2,G45,IF(Rules!$B$11=3,G32,IF(Rules!$B$11=4,G19,G6))),"P",HSDR!T8)</f>
        <v>P</v>
      </c>
      <c r="U5" s="31" t="str">
        <f>IF(H57=IF(Rules!$B$11=2,H45,IF(Rules!$B$11=3,H32,IF(Rules!$B$11=4,H19,H6))),"P",HSDR!U8)</f>
        <v>H</v>
      </c>
      <c r="V5" s="31" t="str">
        <f>IF(I57=IF(Rules!$B$11=2,I45,IF(Rules!$B$11=3,I32,IF(Rules!$B$11=4,I19,I6))),"P",HSDR!V8)</f>
        <v>H</v>
      </c>
      <c r="W5" s="31" t="str">
        <f>IF(J57=IF(Rules!$B$11=2,J45,IF(Rules!$B$11=3,J32,IF(Rules!$B$11=4,J19,J6))),"P",HSDR!W8)</f>
        <v>H</v>
      </c>
      <c r="X5" s="31" t="str">
        <f>IF(K57=IF(Rules!$B$11=2,K45,IF(Rules!$B$11=3,K32,IF(Rules!$B$11=4,K19,K6))),"P",HSDR!X8)</f>
        <v>H</v>
      </c>
    </row>
    <row r="6" spans="1:24" x14ac:dyDescent="0.2">
      <c r="A6" s="99">
        <v>4</v>
      </c>
      <c r="B6" s="93">
        <f>2*(IF(Rules!$B$9=Rules!$E$9,SUM(HSD!B7:B13)+Rules!$B$5*HSD!B14+HSD!B38+B19,SUM(HS!B7:B13)+Rules!$B$5*HS!B14+HS!B38+B19)/(9+Rules!$B$5))</f>
        <v>-0.54274885836502385</v>
      </c>
      <c r="C6" s="1">
        <f>2*(IF(Rules!$B$9=Rules!$E$9,SUM(HSD!C7:C13)+Rules!$B$5*HSD!C14+HSD!C38+C19,SUM(HS!C7:C13)+Rules!$B$5*HS!C14+HS!C38+C19)/(9+Rules!$B$5))</f>
        <v>-0.17168894494573531</v>
      </c>
      <c r="D6" s="1">
        <f>2*(IF(Rules!$B$9=Rules!$E$9,SUM(HSD!D7:D13)+Rules!$B$5*HSD!D14+HSD!D38+D19,SUM(HS!D7:D13)+Rules!$B$5*HS!D14+HS!D38+D19)/(9+Rules!$B$5))</f>
        <v>-8.84519553309117E-2</v>
      </c>
      <c r="E6" s="1">
        <f>2*(IF(Rules!$B$9=Rules!$E$9,SUM(HSD!E7:E13)+Rules!$B$5*HSD!E14+HSD!E38+E19,SUM(HS!E7:E13)+Rules!$B$5*HS!E14+HS!E38+E19)/(9+Rules!$B$5))</f>
        <v>-4.7712569515744507E-4</v>
      </c>
      <c r="F6" s="1">
        <f>2*(IF(Rules!$B$9=Rules!$E$9,SUM(HSD!F7:F13)+Rules!$B$5*HSD!F14+HSD!F38+F19,SUM(HS!F7:F13)+Rules!$B$5*HS!F14+HS!F38+F19)/(9+Rules!$B$5))</f>
        <v>0.10112468253500301</v>
      </c>
      <c r="G6" s="1">
        <f>2*(IF(Rules!$B$9=Rules!$E$9,SUM(HSD!G7:G13)+Rules!$B$5*HSD!G14+HSD!G38+G19,SUM(HS!G7:G13)+Rules!$B$5*HS!G14+HS!G38+G19)/(9+Rules!$B$5))</f>
        <v>0.17475377772250111</v>
      </c>
      <c r="H6" s="1">
        <f>2*(IF(Rules!$B$9=Rules!$E$9,SUM(HSD!H7:H13)+Rules!$B$5*HSD!H14+HSD!H38+H19,SUM(HS!H7:H13)+Rules!$B$5*HS!H14+HS!H38+H19)/(9+Rules!$B$5))</f>
        <v>-0.12536965959538635</v>
      </c>
      <c r="I6" s="1">
        <f>2*(IF(Rules!$B$9=Rules!$E$9,SUM(HSD!I7:I13)+Rules!$B$5*HSD!I14+HSD!I38+I19,SUM(HS!I7:I13)+Rules!$B$5*HS!I14+HS!I38+I19)/(9+Rules!$B$5))</f>
        <v>-0.29899229541150613</v>
      </c>
      <c r="J6" s="1">
        <f>2*(IF(Rules!$B$9=Rules!$E$9,SUM(HSD!J7:J13)+Rules!$B$5*HSD!J14+HSD!J38+J19,SUM(HS!J7:J13)+Rules!$B$5*HS!J14+HS!J38+J19)/(9+Rules!$B$5))</f>
        <v>-0.49782945096560954</v>
      </c>
      <c r="K6" s="9">
        <f>2*(IF(Rules!$B$9=Rules!$E$9,SUM(HSD!K7:K13)+Rules!$B$5*HSD!K14+HSD!K38+K19,SUM(HS!K7:K13)+Rules!$B$5*HS!K14+HS!K38+K19)/(9+Rules!$B$5))</f>
        <v>-0.61104989209868155</v>
      </c>
      <c r="N6">
        <v>5</v>
      </c>
      <c r="O6" s="31" t="str">
        <f>IF(B58=IF(Rules!$B$11=2,B46,IF(Rules!$B$11=3,B33,IF(Rules!$B$11=4,B20,B7))),"P",HSDR!O10)</f>
        <v>H</v>
      </c>
      <c r="P6" s="31" t="str">
        <f>IF(C58=IF(Rules!$B$11=2,C46,IF(Rules!$B$11=3,C33,IF(Rules!$B$11=4,C20,C7))),"P",HSDR!P10)</f>
        <v>D</v>
      </c>
      <c r="Q6" s="31" t="str">
        <f>IF(D58=IF(Rules!$B$11=2,D46,IF(Rules!$B$11=3,D33,IF(Rules!$B$11=4,D20,D7))),"P",HSDR!Q10)</f>
        <v>D</v>
      </c>
      <c r="R6" s="31" t="str">
        <f>IF(E58=IF(Rules!$B$11=2,E46,IF(Rules!$B$11=3,E33,IF(Rules!$B$11=4,E20,E7))),"P",HSDR!R10)</f>
        <v>D</v>
      </c>
      <c r="S6" s="31" t="str">
        <f>IF(F58=IF(Rules!$B$11=2,F46,IF(Rules!$B$11=3,F33,IF(Rules!$B$11=4,F20,F7))),"P",HSDR!S10)</f>
        <v>D</v>
      </c>
      <c r="T6" s="31" t="str">
        <f>IF(G58=IF(Rules!$B$11=2,G46,IF(Rules!$B$11=3,G33,IF(Rules!$B$11=4,G20,G7))),"P",HSDR!T10)</f>
        <v>D</v>
      </c>
      <c r="U6" s="31" t="str">
        <f>IF(H58=IF(Rules!$B$11=2,H46,IF(Rules!$B$11=3,H33,IF(Rules!$B$11=4,H20,H7))),"P",HSDR!U10)</f>
        <v>D</v>
      </c>
      <c r="V6" s="31" t="str">
        <f>IF(I58=IF(Rules!$B$11=2,I46,IF(Rules!$B$11=3,I33,IF(Rules!$B$11=4,I20,I7))),"P",HSDR!V10)</f>
        <v>D</v>
      </c>
      <c r="W6" s="31" t="str">
        <f>IF(J58=IF(Rules!$B$11=2,J46,IF(Rules!$B$11=3,J33,IF(Rules!$B$11=4,J20,J7))),"P",HSDR!W10)</f>
        <v>D</v>
      </c>
      <c r="X6" s="31" t="str">
        <f>IF(K58=IF(Rules!$B$11=2,K46,IF(Rules!$B$11=3,K33,IF(Rules!$B$11=4,K20,K7))),"P",HSDR!X10)</f>
        <v>H</v>
      </c>
    </row>
    <row r="7" spans="1:24" x14ac:dyDescent="0.2">
      <c r="A7" s="99">
        <v>5</v>
      </c>
      <c r="B7" s="93">
        <f>2*(IF(Rules!$B$9=Rules!$E$9,SUM(HSD!B8:B14)+Rules!$B$5*HSD!B15+HSD!B39+B20,SUM(HS!B8:B14)+Rules!$B$5*HS!B15+HS!B39+B20)/(9+Rules!$B$5))</f>
        <v>-0.60190880494399301</v>
      </c>
      <c r="C7" s="1">
        <f>2*(IF(Rules!$B$9=Rules!$E$9,SUM(HSD!C8:C14)+Rules!$B$5*HSD!C15+HSD!C39+C20,SUM(HS!C8:C14)+Rules!$B$5*HS!C15+HS!C39+C20)/(9+Rules!$B$5))</f>
        <v>-0.20883311753418418</v>
      </c>
      <c r="D7" s="1">
        <f>2*(IF(Rules!$B$9=Rules!$E$9,SUM(HSD!D8:D14)+Rules!$B$5*HSD!D15+HSD!D39+D20,SUM(HS!D8:D14)+Rules!$B$5*HS!D15+HS!D39+D20)/(9+Rules!$B$5))</f>
        <v>-0.12400898788480738</v>
      </c>
      <c r="E7" s="1">
        <f>2*(IF(Rules!$B$9=Rules!$E$9,SUM(HSD!E8:E14)+Rules!$B$5*HSD!E15+HSD!E39+E20,SUM(HS!E8:E14)+Rules!$B$5*HS!E15+HS!E39+E20)/(9+Rules!$B$5))</f>
        <v>-3.1152297195703841E-2</v>
      </c>
      <c r="F7" s="1">
        <f>2*(IF(Rules!$B$9=Rules!$E$9,SUM(HSD!F8:F14)+Rules!$B$5*HSD!F15+HSD!F39+F20,SUM(HS!F8:F14)+Rules!$B$5*HS!F15+HS!F39+F20)/(9+Rules!$B$5))</f>
        <v>7.2079858024270943E-2</v>
      </c>
      <c r="G7" s="1">
        <f>2*(IF(Rules!$B$9=Rules!$E$9,SUM(HSD!G8:G14)+Rules!$B$5*HSD!G15+HSD!G39+G20,SUM(HS!G8:G14)+Rules!$B$5*HS!G15+HS!G39+G20)/(9+Rules!$B$5))</f>
        <v>0.14154433967312882</v>
      </c>
      <c r="H7" s="1">
        <f>2*(IF(Rules!$B$9=Rules!$E$9,SUM(HSD!H8:H14)+Rules!$B$5*HSD!H15+HSD!H39+H20,SUM(HS!H8:H14)+Rules!$B$5*HS!H15+HS!H39+H20)/(9+Rules!$B$5))</f>
        <v>-0.21405736243220946</v>
      </c>
      <c r="I7" s="1">
        <f>2*(IF(Rules!$B$9=Rules!$E$9,SUM(HSD!I8:I14)+Rules!$B$5*HSD!I15+HSD!I39+I20,SUM(HS!I8:I14)+Rules!$B$5*HS!I15+HS!I39+I20)/(9+Rules!$B$5))</f>
        <v>-0.36813274409810048</v>
      </c>
      <c r="J7" s="1">
        <f>2*(IF(Rules!$B$9=Rules!$E$9,SUM(HSD!J8:J14)+Rules!$B$5*HSD!J15+HSD!J39+J20,SUM(HS!J8:J14)+Rules!$B$5*HS!J15+HS!J39+J20)/(9+Rules!$B$5))</f>
        <v>-0.56044675205198125</v>
      </c>
      <c r="K7" s="9">
        <f>2*(IF(Rules!$B$9=Rules!$E$9,SUM(HSD!K8:K14)+Rules!$B$5*HSD!K15+HSD!K39+K20,SUM(HS!K8:K14)+Rules!$B$5*HS!K15+HS!K39+K20)/(9+Rules!$B$5))</f>
        <v>-0.6716369304134806</v>
      </c>
      <c r="N7">
        <v>6</v>
      </c>
      <c r="O7" s="31" t="str">
        <f>IF(B59=IF(Rules!$B$11=2,B47,IF(Rules!$B$11=3,B34,IF(Rules!$B$11=4,B21,B8))),"P",HSDR!O12)</f>
        <v>H</v>
      </c>
      <c r="P7" s="31" t="str">
        <f>IF(C59=IF(Rules!$B$11=2,C47,IF(Rules!$B$11=3,C34,IF(Rules!$B$11=4,C21,C8))),"P",HSDR!P12)</f>
        <v>P</v>
      </c>
      <c r="Q7" s="31" t="str">
        <f>IF(D59=IF(Rules!$B$11=2,D47,IF(Rules!$B$11=3,D34,IF(Rules!$B$11=4,D21,D8))),"P",HSDR!Q12)</f>
        <v>P</v>
      </c>
      <c r="R7" s="31" t="str">
        <f>IF(E59=IF(Rules!$B$11=2,E47,IF(Rules!$B$11=3,E34,IF(Rules!$B$11=4,E21,E8))),"P",HSDR!R12)</f>
        <v>P</v>
      </c>
      <c r="S7" s="31" t="str">
        <f>IF(F59=IF(Rules!$B$11=2,F47,IF(Rules!$B$11=3,F34,IF(Rules!$B$11=4,F21,F8))),"P",HSDR!S12)</f>
        <v>P</v>
      </c>
      <c r="T7" s="31" t="str">
        <f>IF(G59=IF(Rules!$B$11=2,G47,IF(Rules!$B$11=3,G34,IF(Rules!$B$11=4,G21,G8))),"P",HSDR!T12)</f>
        <v>P</v>
      </c>
      <c r="U7" s="31" t="str">
        <f>IF(H59=IF(Rules!$B$11=2,H47,IF(Rules!$B$11=3,H34,IF(Rules!$B$11=4,H21,H8))),"P",HSDR!U12)</f>
        <v>H</v>
      </c>
      <c r="V7" s="31" t="str">
        <f>IF(I59=IF(Rules!$B$11=2,I47,IF(Rules!$B$11=3,I34,IF(Rules!$B$11=4,I21,I8))),"P",HSDR!V12)</f>
        <v>H</v>
      </c>
      <c r="W7" s="31" t="str">
        <f>IF(J59=IF(Rules!$B$11=2,J47,IF(Rules!$B$11=3,J34,IF(Rules!$B$11=4,J21,J8))),"P",HSDR!W12)</f>
        <v>H</v>
      </c>
      <c r="X7" s="31" t="str">
        <f>IF(K59=IF(Rules!$B$11=2,K47,IF(Rules!$B$11=3,K34,IF(Rules!$B$11=4,K21,K8))),"P",HSDR!X12)</f>
        <v>H</v>
      </c>
    </row>
    <row r="8" spans="1:24" x14ac:dyDescent="0.2">
      <c r="A8" s="99">
        <v>6</v>
      </c>
      <c r="B8" s="93">
        <f>2*(IF(Rules!$B$9=Rules!$E$9,SUM(HSD!B9:B15)+Rules!$B$5*HSD!B16+HSD!B40+B21,SUM(HS!B9:B15)+Rules!$B$5*HS!B16+HS!B40+B21)/(9+Rules!$B$5))</f>
        <v>-0.68279633507299153</v>
      </c>
      <c r="C8" s="1">
        <f>2*(IF(Rules!$B$9=Rules!$E$9,SUM(HSD!C9:C15)+Rules!$B$5*HSD!C16+HSD!C40+C21,SUM(HS!C9:C15)+Rules!$B$5*HS!C16+HS!C40+C21)/(9+Rules!$B$5))</f>
        <v>-0.25429527138946978</v>
      </c>
      <c r="D8" s="1">
        <f>2*(IF(Rules!$B$9=Rules!$E$9,SUM(HSD!D9:D15)+Rules!$B$5*HSD!D16+HSD!D40+D21,SUM(HS!D9:D15)+Rules!$B$5*HS!D16+HS!D40+D21)/(9+Rules!$B$5))</f>
        <v>-0.16288874590306299</v>
      </c>
      <c r="E8" s="1">
        <f>2*(IF(Rules!$B$9=Rules!$E$9,SUM(HSD!E9:E15)+Rules!$B$5*HSD!E16+HSD!E40+E21,SUM(HS!E9:E15)+Rules!$B$5*HS!E16+HS!E40+E21)/(9+Rules!$B$5))</f>
        <v>-6.5563800504274461E-2</v>
      </c>
      <c r="F8" s="1">
        <f>2*(IF(Rules!$B$9=Rules!$E$9,SUM(HSD!F9:F15)+Rules!$B$5*HSD!F16+HSD!F40+F21,SUM(HS!F9:F15)+Rules!$B$5*HS!F16+HS!F40+F21)/(9+Rules!$B$5))</f>
        <v>3.9128704122453284E-2</v>
      </c>
      <c r="G8" s="1">
        <f>2*(IF(Rules!$B$9=Rules!$E$9,SUM(HSD!G9:G15)+Rules!$B$5*HSD!G16+HSD!G40+G21,SUM(HS!G9:G15)+Rules!$B$5*HS!G16+HS!G40+G21)/(9+Rules!$B$5))</f>
        <v>0.10664778102882916</v>
      </c>
      <c r="H8" s="1">
        <f>2*(IF(Rules!$B$9=Rules!$E$9,SUM(HSD!H9:H15)+Rules!$B$5*HSD!H16+HSD!H40+H21,SUM(HS!H9:H15)+Rules!$B$5*HS!H16+HS!H40+H21)/(9+Rules!$B$5))</f>
        <v>-0.31815503757081631</v>
      </c>
      <c r="I8" s="1">
        <f>2*(IF(Rules!$B$9=Rules!$E$9,SUM(HSD!I9:I15)+Rules!$B$5*HSD!I16+HSD!I40+I21,SUM(HS!I9:I15)+Rules!$B$5*HS!I16+HS!I40+I21)/(9+Rules!$B$5))</f>
        <v>-0.46429218926764421</v>
      </c>
      <c r="J8" s="1">
        <f>2*(IF(Rules!$B$9=Rules!$E$9,SUM(HSD!J9:J15)+Rules!$B$5*HSD!J16+HSD!J40+J21,SUM(HS!J9:J15)+Rules!$B$5*HS!J16+HS!J40+J21)/(9+Rules!$B$5))</f>
        <v>-0.63554661198683648</v>
      </c>
      <c r="K8" s="9">
        <f>2*(IF(Rules!$B$9=Rules!$E$9,SUM(HSD!K9:K15)+Rules!$B$5*HSD!K16+HSD!K40+K21,SUM(HS!K9:K15)+Rules!$B$5*HS!K16+HS!K40+K21)/(9+Rules!$B$5))</f>
        <v>-0.74175331248723864</v>
      </c>
      <c r="N8">
        <v>7</v>
      </c>
      <c r="O8" s="31" t="str">
        <f>IF(B60=IF(Rules!$B$11=2,B48,IF(Rules!$B$11=3,B35,IF(Rules!$B$11=4,B22,B9))),"P",HSDR!O14)</f>
        <v>H</v>
      </c>
      <c r="P8" s="31" t="str">
        <f>IF(C60=IF(Rules!$B$11=2,C48,IF(Rules!$B$11=3,C35,IF(Rules!$B$11=4,C22,C9))),"P",HSDR!P14)</f>
        <v>P</v>
      </c>
      <c r="Q8" s="31" t="str">
        <f>IF(D60=IF(Rules!$B$11=2,D48,IF(Rules!$B$11=3,D35,IF(Rules!$B$11=4,D22,D9))),"P",HSDR!Q14)</f>
        <v>P</v>
      </c>
      <c r="R8" s="31" t="str">
        <f>IF(E60=IF(Rules!$B$11=2,E48,IF(Rules!$B$11=3,E35,IF(Rules!$B$11=4,E22,E9))),"P",HSDR!R14)</f>
        <v>P</v>
      </c>
      <c r="S8" s="31" t="str">
        <f>IF(F60=IF(Rules!$B$11=2,F48,IF(Rules!$B$11=3,F35,IF(Rules!$B$11=4,F22,F9))),"P",HSDR!S14)</f>
        <v>P</v>
      </c>
      <c r="T8" s="31" t="str">
        <f>IF(G60=IF(Rules!$B$11=2,G48,IF(Rules!$B$11=3,G35,IF(Rules!$B$11=4,G22,G9))),"P",HSDR!T14)</f>
        <v>P</v>
      </c>
      <c r="U8" s="31" t="str">
        <f>IF(H60=IF(Rules!$B$11=2,H48,IF(Rules!$B$11=3,H35,IF(Rules!$B$11=4,H22,H9))),"P",HSDR!U14)</f>
        <v>P</v>
      </c>
      <c r="V8" s="31" t="str">
        <f>IF(I60=IF(Rules!$B$11=2,I48,IF(Rules!$B$11=3,I35,IF(Rules!$B$11=4,I22,I9))),"P",HSDR!V14)</f>
        <v>H</v>
      </c>
      <c r="W8" s="31" t="str">
        <f>IF(J60=IF(Rules!$B$11=2,J48,IF(Rules!$B$11=3,J35,IF(Rules!$B$11=4,J22,J9))),"P",HSDR!W14)</f>
        <v>H</v>
      </c>
      <c r="X8" s="31" t="str">
        <f>IF(K60=IF(Rules!$B$11=2,K48,IF(Rules!$B$11=3,K35,IF(Rules!$B$11=4,K22,K9))),"P",HSDR!X14)</f>
        <v>H</v>
      </c>
    </row>
    <row r="9" spans="1:24" x14ac:dyDescent="0.2">
      <c r="A9" s="99">
        <v>7</v>
      </c>
      <c r="B9" s="93">
        <f>2*(IF(Rules!$B$9=Rules!$E$9,SUM(HSD!B10:B16)+Rules!$B$5*HSD!B17+HSD!B41+B22,SUM(HS!B10:B16)+Rules!$B$5*HS!B17+HS!B41+B22)/(9+Rules!$B$5))</f>
        <v>-0.72058758091375785</v>
      </c>
      <c r="C9" s="1">
        <f>2*(IF(Rules!$B$9=Rules!$E$9,SUM(HSD!C10:C16)+Rules!$B$5*HSD!C17+HSD!C41+C22,SUM(HS!C10:C16)+Rules!$B$5*HS!C17+HS!C41+C22)/(9+Rules!$B$5))</f>
        <v>-0.19713886392161539</v>
      </c>
      <c r="D9" s="1">
        <f>2*(IF(Rules!$B$9=Rules!$E$9,SUM(HSD!D10:D16)+Rules!$B$5*HSD!D17+HSD!D41+D22,SUM(HS!D10:D16)+Rules!$B$5*HS!D17+HS!D41+D22)/(9+Rules!$B$5))</f>
        <v>-0.11019770934194308</v>
      </c>
      <c r="E9" s="1">
        <f>2*(IF(Rules!$B$9=Rules!$E$9,SUM(HSD!E10:E16)+Rules!$B$5*HSD!E17+HSD!E41+E22,SUM(HS!E10:E16)+Rules!$B$5*HS!E17+HS!E41+E22)/(9+Rules!$B$5))</f>
        <v>-2.0545479155361621E-2</v>
      </c>
      <c r="F9" s="1">
        <f>2*(IF(Rules!$B$9=Rules!$E$9,SUM(HSD!F10:F16)+Rules!$B$5*HSD!F17+HSD!F41+F22,SUM(HS!F10:F16)+Rules!$B$5*HS!F17+HS!F41+F22)/(9+Rules!$B$5))</f>
        <v>7.4042520610245952E-2</v>
      </c>
      <c r="G9" s="1">
        <f>2*(IF(Rules!$B$9=Rules!$E$9,SUM(HSD!G10:G16)+Rules!$B$5*HSD!G17+HSD!G41+G22,SUM(HS!G10:G16)+Rules!$B$5*HS!G17+HS!G41+G22)/(9+Rules!$B$5))</f>
        <v>0.16425624804113409</v>
      </c>
      <c r="H9" s="1">
        <f>2*(IF(Rules!$B$9=Rules!$E$9,SUM(HSD!H10:H16)+Rules!$B$5*HSD!H17+HSD!H41+H22,SUM(HS!H10:H16)+Rules!$B$5*HS!H17+HS!H41+H22)/(9+Rules!$B$5))</f>
        <v>-0.1380305845221533</v>
      </c>
      <c r="I9" s="1">
        <f>2*(IF(Rules!$B$9=Rules!$E$9,SUM(HSD!I10:I16)+Rules!$B$5*HSD!I17+HSD!I41+I22,SUM(HS!I10:I16)+Rules!$B$5*HS!I17+HS!I41+I22)/(9+Rules!$B$5))</f>
        <v>-0.47728565029446862</v>
      </c>
      <c r="J9" s="1">
        <f>2*(IF(Rules!$B$9=Rules!$E$9,SUM(HSD!J10:J16)+Rules!$B$5*HSD!J17+HSD!J41+J22,SUM(HS!J10:J16)+Rules!$B$5*HS!J17+HS!J41+J22)/(9+Rules!$B$5))</f>
        <v>-0.64698434387479586</v>
      </c>
      <c r="K9" s="9">
        <f>2*(IF(Rules!$B$9=Rules!$E$9,SUM(HSD!K10:K16)+Rules!$B$5*HSD!K17+HSD!K41+K22,SUM(HS!K10:K16)+Rules!$B$5*HS!K17+HS!K41+K22)/(9+Rules!$B$5))</f>
        <v>-0.71505816723170745</v>
      </c>
      <c r="N9">
        <v>8</v>
      </c>
      <c r="O9" s="31" t="str">
        <f>IF(B61=IF(Rules!$B$11=2,B49,IF(Rules!$B$11=3,B36,IF(Rules!$B$11=4,B23,B10))),"P",HSDR!O16)</f>
        <v>P</v>
      </c>
      <c r="P9" s="31" t="str">
        <f>IF(C61=IF(Rules!$B$11=2,C49,IF(Rules!$B$11=3,C36,IF(Rules!$B$11=4,C23,C10))),"P",HSDR!P16)</f>
        <v>P</v>
      </c>
      <c r="Q9" s="31" t="str">
        <f>IF(D61=IF(Rules!$B$11=2,D49,IF(Rules!$B$11=3,D36,IF(Rules!$B$11=4,D23,D10))),"P",HSDR!Q16)</f>
        <v>P</v>
      </c>
      <c r="R9" s="31" t="str">
        <f>IF(E61=IF(Rules!$B$11=2,E49,IF(Rules!$B$11=3,E36,IF(Rules!$B$11=4,E23,E10))),"P",HSDR!R16)</f>
        <v>P</v>
      </c>
      <c r="S9" s="31" t="str">
        <f>IF(F61=IF(Rules!$B$11=2,F49,IF(Rules!$B$11=3,F36,IF(Rules!$B$11=4,F23,F10))),"P",HSDR!S16)</f>
        <v>P</v>
      </c>
      <c r="T9" s="31" t="str">
        <f>IF(G61=IF(Rules!$B$11=2,G49,IF(Rules!$B$11=3,G36,IF(Rules!$B$11=4,G23,G10))),"P",HSDR!T16)</f>
        <v>P</v>
      </c>
      <c r="U9" s="31" t="str">
        <f>IF(H61=IF(Rules!$B$11=2,H49,IF(Rules!$B$11=3,H36,IF(Rules!$B$11=4,H23,H10))),"P",HSDR!U16)</f>
        <v>P</v>
      </c>
      <c r="V9" s="31" t="str">
        <f>IF(I61=IF(Rules!$B$11=2,I49,IF(Rules!$B$11=3,I36,IF(Rules!$B$11=4,I23,I10))),"P",HSDR!V16)</f>
        <v>P</v>
      </c>
      <c r="W9" s="31" t="str">
        <f>IF(J61=IF(Rules!$B$11=2,J49,IF(Rules!$B$11=3,J36,IF(Rules!$B$11=4,J23,J10))),"P",HSDR!W16)</f>
        <v>P</v>
      </c>
      <c r="X9" s="31" t="str">
        <f>IF(K61=IF(Rules!$B$11=2,K49,IF(Rules!$B$11=3,K36,IF(Rules!$B$11=4,K23,K10))),"P",HSDR!X16)</f>
        <v>P</v>
      </c>
    </row>
    <row r="10" spans="1:24" x14ac:dyDescent="0.2">
      <c r="A10" s="99">
        <v>8</v>
      </c>
      <c r="B10" s="93">
        <f>2*(IF(Rules!$B$9=Rules!$E$9,SUM(HSD!B11:B17)+Rules!$B$5*HSD!B18+HSD!B42+B23,SUM(HS!B11:B17)+Rules!$B$5*HS!B18+HS!B42+B23)/(9+Rules!$B$5))</f>
        <v>-0.48019868486214329</v>
      </c>
      <c r="C10" s="1">
        <f>2*(IF(Rules!$B$9=Rules!$E$9,SUM(HSD!C11:C17)+Rules!$B$5*HSD!C18+HSD!C42+C23,SUM(HS!C11:C17)+Rules!$B$5*HS!C18+HS!C42+C23)/(9+Rules!$B$5))</f>
        <v>-4.2245358384343665E-2</v>
      </c>
      <c r="D10" s="1">
        <f>2*(IF(Rules!$B$9=Rules!$E$9,SUM(HSD!D11:D17)+Rules!$B$5*HSD!D18+HSD!D42+D23,SUM(HS!D11:D17)+Rules!$B$5*HS!D18+HS!D42+D23)/(9+Rules!$B$5))</f>
        <v>2.8477183070484049E-2</v>
      </c>
      <c r="E10" s="1">
        <f>2*(IF(Rules!$B$9=Rules!$E$9,SUM(HSD!E11:E17)+Rules!$B$5*HSD!E18+HSD!E42+E23,SUM(HS!E11:E17)+Rules!$B$5*HS!E18+HS!E42+E23)/(9+Rules!$B$5))</f>
        <v>0.10142847770044075</v>
      </c>
      <c r="F10" s="1">
        <f>2*(IF(Rules!$B$9=Rules!$E$9,SUM(HSD!F11:F17)+Rules!$B$5*HSD!F18+HSD!F42+F23,SUM(HS!F11:F17)+Rules!$B$5*HS!F18+HS!F42+F23)/(9+Rules!$B$5))</f>
        <v>0.17683383344875153</v>
      </c>
      <c r="G10" s="1">
        <f>2*(IF(Rules!$B$9=Rules!$E$9,SUM(HSD!G11:G17)+Rules!$B$5*HSD!G18+HSD!G42+G23,SUM(HS!G11:G17)+Rules!$B$5*HS!G18+HS!G42+G23)/(9+Rules!$B$5))</f>
        <v>0.28023408243631798</v>
      </c>
      <c r="H10" s="1">
        <f>2*(IF(Rules!$B$9=Rules!$E$9,SUM(HSD!H11:H17)+Rules!$B$5*HSD!H18+HSD!H42+H23,SUM(HS!H11:H17)+Rules!$B$5*HS!H18+HS!H42+H23)/(9+Rules!$B$5))</f>
        <v>0.17876155984413827</v>
      </c>
      <c r="I10" s="1">
        <f>2*(IF(Rules!$B$9=Rules!$E$9,SUM(HSD!I11:I17)+Rules!$B$5*HSD!I18+HSD!I42+I23,SUM(HS!I11:I17)+Rules!$B$5*HS!I18+HS!I42+I23)/(9+Rules!$B$5))</f>
        <v>-0.15537421732701576</v>
      </c>
      <c r="J10" s="1">
        <f>2*(IF(Rules!$B$9=Rules!$E$9,SUM(HSD!J11:J17)+Rules!$B$5*HSD!J18+HSD!J42+J23,SUM(HS!J11:J17)+Rules!$B$5*HS!J18+HS!J42+J23)/(9+Rules!$B$5))</f>
        <v>-0.50498615672756886</v>
      </c>
      <c r="K10" s="9">
        <f>2*(IF(Rules!$B$9=Rules!$E$9,SUM(HSD!K11:K17)+Rules!$B$5*HSD!K18+HSD!K42+K23,SUM(HS!K11:K17)+Rules!$B$5*HS!K18+HS!K42+K23)/(9+Rules!$B$5))</f>
        <v>-0.58274609661942167</v>
      </c>
      <c r="N10">
        <v>9</v>
      </c>
      <c r="O10" s="31" t="str">
        <f>IF(B62=IF(Rules!$B$11=2,B50,IF(Rules!$B$11=3,B37,IF(Rules!$B$11=4,B24,B11))),"P",HSDR!O18)</f>
        <v>S</v>
      </c>
      <c r="P10" s="31" t="str">
        <f>IF(C62=IF(Rules!$B$11=2,C50,IF(Rules!$B$11=3,C37,IF(Rules!$B$11=4,C24,C11))),"P",HSDR!P18)</f>
        <v>P</v>
      </c>
      <c r="Q10" s="31" t="str">
        <f>IF(D62=IF(Rules!$B$11=2,D50,IF(Rules!$B$11=3,D37,IF(Rules!$B$11=4,D24,D11))),"P",HSDR!Q18)</f>
        <v>P</v>
      </c>
      <c r="R10" s="31" t="str">
        <f>IF(E62=IF(Rules!$B$11=2,E50,IF(Rules!$B$11=3,E37,IF(Rules!$B$11=4,E24,E11))),"P",HSDR!R18)</f>
        <v>P</v>
      </c>
      <c r="S10" s="31" t="str">
        <f>IF(F62=IF(Rules!$B$11=2,F50,IF(Rules!$B$11=3,F37,IF(Rules!$B$11=4,F24,F11))),"P",HSDR!S18)</f>
        <v>P</v>
      </c>
      <c r="T10" s="31" t="str">
        <f>IF(G62=IF(Rules!$B$11=2,G50,IF(Rules!$B$11=3,G37,IF(Rules!$B$11=4,G24,G11))),"P",HSDR!T18)</f>
        <v>P</v>
      </c>
      <c r="U10" s="31" t="str">
        <f>IF(H62=IF(Rules!$B$11=2,H50,IF(Rules!$B$11=3,H37,IF(Rules!$B$11=4,H24,H11))),"P",HSDR!U18)</f>
        <v>S</v>
      </c>
      <c r="V10" s="31" t="str">
        <f>IF(I62=IF(Rules!$B$11=2,I50,IF(Rules!$B$11=3,I37,IF(Rules!$B$11=4,I24,I11))),"P",HSDR!V18)</f>
        <v>P</v>
      </c>
      <c r="W10" s="31" t="str">
        <f>IF(J62=IF(Rules!$B$11=2,J50,IF(Rules!$B$11=3,J37,IF(Rules!$B$11=4,J24,J11))),"P",HSDR!W18)</f>
        <v>P</v>
      </c>
      <c r="X10" s="31" t="str">
        <f>IF(K62=IF(Rules!$B$11=2,K50,IF(Rules!$B$11=3,K37,IF(Rules!$B$11=4,K24,K11))),"P",HSDR!X18)</f>
        <v>S</v>
      </c>
    </row>
    <row r="11" spans="1:24" x14ac:dyDescent="0.2">
      <c r="A11" s="99">
        <v>9</v>
      </c>
      <c r="B11" s="93">
        <f>2*(IF(Rules!$B$9=Rules!$E$9,SUM(HSD!B12:B18)+Rules!$B$5*HSD!B19+HSD!B43+B24,SUM(HS!B12:B18)+Rules!$B$5*HS!B19+HS!B43+B24)/(9+Rules!$B$5))</f>
        <v>-0.18106406561604571</v>
      </c>
      <c r="C11" s="1">
        <f>2*(IF(Rules!$B$9=Rules!$E$9,SUM(HSD!C12:C18)+Rules!$B$5*HSD!C19+HSD!C43+C24,SUM(HS!C12:C18)+Rules!$B$5*HS!C19+HS!C43+C24)/(9+Rules!$B$5))</f>
        <v>0.13281621863254187</v>
      </c>
      <c r="D11" s="1">
        <f>2*(IF(Rules!$B$9=Rules!$E$9,SUM(HSD!D12:D18)+Rules!$B$5*HSD!D19+HSD!D43+D24,SUM(HS!D12:D18)+Rules!$B$5*HS!D19+HS!D43+D24)/(9+Rules!$B$5))</f>
        <v>0.19220356476145886</v>
      </c>
      <c r="E11" s="1">
        <f>2*(IF(Rules!$B$9=Rules!$E$9,SUM(HSD!E12:E18)+Rules!$B$5*HSD!E19+HSD!E43+E24,SUM(HS!E12:E18)+Rules!$B$5*HS!E19+HS!E43+E24)/(9+Rules!$B$5))</f>
        <v>0.25358080861134896</v>
      </c>
      <c r="F11" s="1">
        <f>2*(IF(Rules!$B$9=Rules!$E$9,SUM(HSD!F12:F18)+Rules!$B$5*HSD!F19+HSD!F43+F24,SUM(HS!F12:F18)+Rules!$B$5*HS!F19+HS!F43+F24)/(9+Rules!$B$5))</f>
        <v>0.31781452242969582</v>
      </c>
      <c r="G11" s="1">
        <f>2*(IF(Rules!$B$9=Rules!$E$9,SUM(HSD!G12:G18)+Rules!$B$5*HSD!G19+HSD!G43+G24,SUM(HS!G12:G18)+Rules!$B$5*HS!G19+HS!G43+G24)/(9+Rules!$B$5))</f>
        <v>0.40279464374223511</v>
      </c>
      <c r="H11" s="1">
        <f>2*(IF(Rules!$B$9=Rules!$E$9,SUM(HSD!H12:H18)+Rules!$B$5*HSD!H19+HSD!H43+H24,SUM(HS!H12:H18)+Rules!$B$5*HS!H19+HS!H43+H24)/(9+Rules!$B$5))</f>
        <v>0.35317698432053596</v>
      </c>
      <c r="I11" s="1">
        <f>2*(IF(Rules!$B$9=Rules!$E$9,SUM(HSD!I12:I18)+Rules!$B$5*HSD!I19+HSD!I43+I24,SUM(HS!I12:I18)+Rules!$B$5*HS!I19+HS!I43+I24)/(9+Rules!$B$5))</f>
        <v>0.19080029192214351</v>
      </c>
      <c r="J11" s="1">
        <f>2*(IF(Rules!$B$9=Rules!$E$9,SUM(HSD!J12:J18)+Rules!$B$5*HSD!J19+HSD!J43+J24,SUM(HS!J12:J18)+Rules!$B$5*HS!J19+HS!J43+J24)/(9+Rules!$B$5))</f>
        <v>-0.15189115147007362</v>
      </c>
      <c r="K11" s="9">
        <f>2*(IF(Rules!$B$9=Rules!$E$9,SUM(HSD!K12:K18)+Rules!$B$5*HSD!K19+HSD!K43+K24,SUM(HS!K12:K18)+Rules!$B$5*HS!K19+HS!K43+K24)/(9+Rules!$B$5))</f>
        <v>-0.38293391854315445</v>
      </c>
      <c r="N11">
        <v>10</v>
      </c>
      <c r="O11" s="31" t="str">
        <f>IF(B63=IF(Rules!$B$11=2,B51,IF(Rules!$B$11=3,B38,IF(Rules!$B$11=4,B25,B12))),"P",HSDR!O20)</f>
        <v>S</v>
      </c>
      <c r="P11" s="31" t="str">
        <f>IF(C63=IF(Rules!$B$11=2,C51,IF(Rules!$B$11=3,C38,IF(Rules!$B$11=4,C25,C12))),"P",HSDR!P20)</f>
        <v>S</v>
      </c>
      <c r="Q11" s="31" t="str">
        <f>IF(D63=IF(Rules!$B$11=2,D51,IF(Rules!$B$11=3,D38,IF(Rules!$B$11=4,D25,D12))),"P",HSDR!Q20)</f>
        <v>S</v>
      </c>
      <c r="R11" s="31" t="str">
        <f>IF(E63=IF(Rules!$B$11=2,E51,IF(Rules!$B$11=3,E38,IF(Rules!$B$11=4,E25,E12))),"P",HSDR!R20)</f>
        <v>S</v>
      </c>
      <c r="S11" s="31" t="str">
        <f>IF(F63=IF(Rules!$B$11=2,F51,IF(Rules!$B$11=3,F38,IF(Rules!$B$11=4,F25,F12))),"P",HSDR!S20)</f>
        <v>S</v>
      </c>
      <c r="T11" s="31" t="str">
        <f>IF(G63=IF(Rules!$B$11=2,G51,IF(Rules!$B$11=3,G38,IF(Rules!$B$11=4,G25,G12))),"P",HSDR!T20)</f>
        <v>S</v>
      </c>
      <c r="U11" s="31" t="str">
        <f>IF(H63=IF(Rules!$B$11=2,H51,IF(Rules!$B$11=3,H38,IF(Rules!$B$11=4,H25,H12))),"P",HSDR!U20)</f>
        <v>S</v>
      </c>
      <c r="V11" s="31" t="str">
        <f>IF(I63=IF(Rules!$B$11=2,I51,IF(Rules!$B$11=3,I38,IF(Rules!$B$11=4,I25,I12))),"P",HSDR!V20)</f>
        <v>S</v>
      </c>
      <c r="W11" s="31" t="str">
        <f>IF(J63=IF(Rules!$B$11=2,J51,IF(Rules!$B$11=3,J38,IF(Rules!$B$11=4,J25,J12))),"P",HSDR!W20)</f>
        <v>S</v>
      </c>
      <c r="X11" s="31" t="str">
        <f>IF(K63=IF(Rules!$B$11=2,K51,IF(Rules!$B$11=3,K38,IF(Rules!$B$11=4,K25,K12))),"P",HSDR!X20)</f>
        <v>S</v>
      </c>
    </row>
    <row r="12" spans="1:24" ht="17" thickBot="1" x14ac:dyDescent="0.25">
      <c r="A12" s="100">
        <v>10</v>
      </c>
      <c r="B12" s="94">
        <f>2*(IF(Rules!$B$9=Rules!$E$9,SUM(HSD!B13:B19)+Rules!$B$5*HSD!B20+HSD!B44+B25,SUM(HS!B13:B19)+Rules!$B$5*HS!B20+HS!B44+B25)/(9+Rules!$B$5))</f>
        <v>0.25591217102008812</v>
      </c>
      <c r="C12" s="111">
        <f>2*(IF(Rules!$B$9=Rules!$E$9,SUM(HSD!C13:C19)+Rules!$B$5*HSD!C20+HSD!C44+C25,SUM(HS!C13:C19)+Rules!$B$5*HS!C20+HS!C44+C25)/(9+Rules!$B$5))</f>
        <v>0.47702511757927396</v>
      </c>
      <c r="D12" s="111">
        <f>2*(IF(Rules!$B$9=Rules!$E$9,SUM(HSD!D13:D19)+Rules!$B$5*HSD!D20+HSD!D44+D25,SUM(HS!D13:D19)+Rules!$B$5*HS!D20+HS!D44+D25)/(9+Rules!$B$5))</f>
        <v>0.52917868575056526</v>
      </c>
      <c r="E12" s="111">
        <f>2*(IF(Rules!$B$9=Rules!$E$9,SUM(HSD!E13:E19)+Rules!$B$5*HSD!E20+HSD!E44+E25,SUM(HS!E13:E19)+Rules!$B$5*HS!E20+HS!E44+E25)/(9+Rules!$B$5))</f>
        <v>0.58267776514625602</v>
      </c>
      <c r="F12" s="111">
        <f>2*(IF(Rules!$B$9=Rules!$E$9,SUM(HSD!F13:F19)+Rules!$B$5*HSD!F20+HSD!F44+F25,SUM(HS!F13:F19)+Rules!$B$5*HS!F20+HS!F44+F25)/(9+Rules!$B$5))</f>
        <v>0.63565069498224802</v>
      </c>
      <c r="G12" s="111">
        <f>2*(IF(Rules!$B$9=Rules!$E$9,SUM(HSD!G13:G19)+Rules!$B$5*HSD!G20+HSD!G44+G25,SUM(HS!G13:G19)+Rules!$B$5*HS!G20+HS!G44+G25)/(9+Rules!$B$5))</f>
        <v>0.70770536905396042</v>
      </c>
      <c r="H12" s="111">
        <f>2*(IF(Rules!$B$9=Rules!$E$9,SUM(HSD!H13:H19)+Rules!$B$5*HSD!H20+HSD!H44+H25,SUM(HS!H13:H19)+Rules!$B$5*HS!H20+HS!H44+H25)/(9+Rules!$B$5))</f>
        <v>0.6454573388630771</v>
      </c>
      <c r="I12" s="111">
        <f>2*(IF(Rules!$B$9=Rules!$E$9,SUM(HSD!I13:I19)+Rules!$B$5*HSD!I20+HSD!I44+I25,SUM(HS!I13:I19)+Rules!$B$5*HS!I20+HS!I44+I25)/(9+Rules!$B$5))</f>
        <v>0.51682590743860801</v>
      </c>
      <c r="J12" s="111">
        <f>2*(IF(Rules!$B$9=Rules!$E$9,SUM(HSD!J13:J19)+Rules!$B$5*HSD!J20+HSD!J44+J25,SUM(HS!J13:J19)+Rules!$B$5*HS!J20+HS!J44+J25)/(9+Rules!$B$5))</f>
        <v>0.33687476710602637</v>
      </c>
      <c r="K12" s="10">
        <f>2*(IF(Rules!$B$9=Rules!$E$9,SUM(HSD!K13:K19)+Rules!$B$5*HSD!K20+HSD!K44+K25,SUM(HS!K13:K19)+Rules!$B$5*HS!K20+HS!K44+K25)/(9+Rules!$B$5))</f>
        <v>0.12881490474995208</v>
      </c>
    </row>
    <row r="13" spans="1:24" ht="17" thickBot="1" x14ac:dyDescent="0.25"/>
    <row r="14" spans="1:24" ht="17" thickBot="1" x14ac:dyDescent="0.25">
      <c r="A14" s="308" t="s">
        <v>76</v>
      </c>
      <c r="B14" s="318"/>
      <c r="C14" s="318"/>
      <c r="D14" s="318"/>
      <c r="E14" s="318"/>
      <c r="F14" s="318"/>
      <c r="G14" s="318"/>
      <c r="H14" s="318"/>
      <c r="I14" s="318"/>
      <c r="J14" s="318"/>
      <c r="K14" s="309"/>
    </row>
    <row r="15" spans="1:24" ht="17" thickBot="1" x14ac:dyDescent="0.25">
      <c r="A15" s="103" t="s">
        <v>7</v>
      </c>
      <c r="B15" s="117">
        <v>1</v>
      </c>
      <c r="C15" s="118">
        <v>2</v>
      </c>
      <c r="D15" s="118">
        <v>3</v>
      </c>
      <c r="E15" s="118">
        <v>4</v>
      </c>
      <c r="F15" s="118">
        <v>5</v>
      </c>
      <c r="G15" s="118">
        <v>6</v>
      </c>
      <c r="H15" s="118">
        <v>7</v>
      </c>
      <c r="I15" s="118">
        <v>8</v>
      </c>
      <c r="J15" s="118">
        <v>9</v>
      </c>
      <c r="K15" s="105">
        <v>10</v>
      </c>
    </row>
    <row r="16" spans="1:24" x14ac:dyDescent="0.2">
      <c r="A16" s="101">
        <v>1</v>
      </c>
      <c r="B16" s="109">
        <f>2*(IF(Rules!$B$12=Rules!$F$12,SUM(Stand!B36:B43)+Rules!$B$5*Stand!B44+B29,SUM(HSD!B36:B43)+Rules!$B$5*HSD!B44+B29)/(9+Rules!$B$5))</f>
        <v>0.24681431015742963</v>
      </c>
      <c r="C16" s="110">
        <f>2*(IF(Rules!$B$12=Rules!$F$12,SUM(Stand!C36:C43)+Rules!$B$5*Stand!C44+C29,SUM(HSD!C36:C43)+Rules!$B$5*HSD!C44+C29)/(9+Rules!$B$5))</f>
        <v>0.60616009207593269</v>
      </c>
      <c r="D16" s="110">
        <f>2*(IF(Rules!$B$12=Rules!$F$12,SUM(Stand!D36:D43)+Rules!$B$5*Stand!D44+D29,SUM(HSD!D36:D43)+Rules!$B$5*HSD!D44+D29)/(9+Rules!$B$5))</f>
        <v>0.65448971744610962</v>
      </c>
      <c r="E16" s="110">
        <f>2*(IF(Rules!$B$12=Rules!$F$12,SUM(Stand!E36:E43)+Rules!$B$5*Stand!E44+E29,SUM(HSD!E36:E43)+Rules!$B$5*HSD!E44+E29)/(9+Rules!$B$5))</f>
        <v>0.70398794558002764</v>
      </c>
      <c r="F16" s="110">
        <f>2*(IF(Rules!$B$12=Rules!$F$12,SUM(Stand!F36:F43)+Rules!$B$5*Stand!F44+F29,SUM(HSD!F36:F43)+Rules!$B$5*HSD!F44+F29)/(9+Rules!$B$5))</f>
        <v>0.75349635733112907</v>
      </c>
      <c r="G16" s="110">
        <f>2*(IF(Rules!$B$12=Rules!$F$12,SUM(Stand!G36:G43)+Rules!$B$5*Stand!G44+G29,SUM(HSD!G36:G43)+Rules!$B$5*HSD!G44+G29)/(9+Rules!$B$5))</f>
        <v>0.81313378320418017</v>
      </c>
      <c r="H16" s="110">
        <f>2*(IF(Rules!$B$12=Rules!$F$12,SUM(Stand!H36:H43)+Rules!$B$5*Stand!H44+H29,SUM(HSD!H36:H43)+Rules!$B$5*HSD!H44+H29)/(9+Rules!$B$5))</f>
        <v>0.62944471196628327</v>
      </c>
      <c r="I16" s="110">
        <f>2*(IF(Rules!$B$12=Rules!$F$12,SUM(Stand!I36:I43)+Rules!$B$5*Stand!I44+I29,SUM(HSD!I36:I43)+Rules!$B$5*HSD!I44+I29)/(9+Rules!$B$5))</f>
        <v>0.50357012454509587</v>
      </c>
      <c r="J16" s="110">
        <f>2*(IF(Rules!$B$12=Rules!$F$12,SUM(Stand!J36:J43)+Rules!$B$5*Stand!J44+J29,SUM(HSD!J36:J43)+Rules!$B$5*HSD!J44+J29)/(9+Rules!$B$5))</f>
        <v>0.36463545349864968</v>
      </c>
      <c r="K16" s="57">
        <f>2*(IF(Rules!$B$12=Rules!$F$12,SUM(Stand!K36:K43)+Rules!$B$5*Stand!K44+K29,SUM(HSD!K36:K43)+Rules!$B$5*HSD!K44+K29)/(9+Rules!$B$5))</f>
        <v>0.30752051345957193</v>
      </c>
    </row>
    <row r="17" spans="1:11" x14ac:dyDescent="0.2">
      <c r="A17" s="99">
        <v>2</v>
      </c>
      <c r="B17" s="93">
        <f>2*(IF(Rules!$B$9=Rules!$E$9,SUM(HSD!B5:B11)+Rules!$B$5*HSD!B12+HSD!B36+B30,SUM(HS!B5:B11)+Rules!$B$5*HS!B12+HS!B36+B30)/(9+Rules!$B$5))</f>
        <v>-0.43397902994758852</v>
      </c>
      <c r="C17" s="1">
        <f>2*(IF(Rules!$B$9=Rules!$E$9,SUM(HSD!C5:C11)+Rules!$B$5*HSD!C12+HSD!C36+C30,SUM(HS!C5:C11)+Rules!$B$5*HS!C12+HS!C36+C30)/(9+Rules!$B$5))</f>
        <v>-8.4267225502711041E-2</v>
      </c>
      <c r="D17" s="1">
        <f>2*(IF(Rules!$B$9=Rules!$E$9,SUM(HSD!D5:D11)+Rules!$B$5*HSD!D12+HSD!D36+D30,SUM(HS!D5:D11)+Rules!$B$5*HS!D12+HS!D36+D30)/(9+Rules!$B$5))</f>
        <v>-1.5498287197501173E-2</v>
      </c>
      <c r="E17" s="1">
        <f>2*(IF(Rules!$B$9=Rules!$E$9,SUM(HSD!E5:E11)+Rules!$B$5*HSD!E12+HSD!E36+E30,SUM(HS!E5:E11)+Rules!$B$5*HS!E12+HS!E36+E30)/(9+Rules!$B$5))</f>
        <v>5.9333738978653974E-2</v>
      </c>
      <c r="F17" s="1">
        <f>2*(IF(Rules!$B$9=Rules!$E$9,SUM(HSD!F5:F11)+Rules!$B$5*HSD!F12+HSD!F36+F30,SUM(HS!F5:F11)+Rules!$B$5*HS!F12+HS!F36+F30)/(9+Rules!$B$5))</f>
        <v>0.15203616947891799</v>
      </c>
      <c r="G17" s="1">
        <f>2*(IF(Rules!$B$9=Rules!$E$9,SUM(HSD!G5:G11)+Rules!$B$5*HSD!G12+HSD!G36+G30,SUM(HS!G5:G11)+Rules!$B$5*HS!G12+HS!G36+G30)/(9+Rules!$B$5))</f>
        <v>0.22737886696191317</v>
      </c>
      <c r="H17" s="1">
        <f>2*(IF(Rules!$B$9=Rules!$E$9,SUM(HSD!H5:H11)+Rules!$B$5*HSD!H12+HSD!H36+H30,SUM(HS!H5:H11)+Rules!$B$5*HS!H12+HS!H36+H30)/(9+Rules!$B$5))</f>
        <v>6.958050045595748E-3</v>
      </c>
      <c r="I17" s="1">
        <f>2*(IF(Rules!$B$9=Rules!$E$9,SUM(HSD!I5:I11)+Rules!$B$5*HSD!I12+HSD!I36+I30,SUM(HS!I5:I11)+Rules!$B$5*HS!I12+HS!I36+I30)/(9+Rules!$B$5))</f>
        <v>-0.17673202696357632</v>
      </c>
      <c r="J17" s="1">
        <f>2*(IF(Rules!$B$9=Rules!$E$9,SUM(HSD!J5:J11)+Rules!$B$5*HSD!J12+HSD!J36+J30,SUM(HS!J5:J11)+Rules!$B$5*HS!J12+HS!J36+J30)/(9+Rules!$B$5))</f>
        <v>-0.38721380320870769</v>
      </c>
      <c r="K17" s="9">
        <f>2*(IF(Rules!$B$9=Rules!$E$9,SUM(HSD!K5:K11)+Rules!$B$5*HSD!K12+HSD!K36+K30,SUM(HS!K5:K11)+Rules!$B$5*HS!K12+HS!K36+K30)/(9+Rules!$B$5))</f>
        <v>-0.50766884444357896</v>
      </c>
    </row>
    <row r="18" spans="1:11" x14ac:dyDescent="0.2">
      <c r="A18" s="99">
        <v>3</v>
      </c>
      <c r="B18" s="93">
        <f>2*(IF(Rules!$B$9=Rules!$E$9,SUM(HSD!B6:B12)+Rules!$B$5*HSD!B13+HSD!B37+B31,SUM(HS!B6:B12)+Rules!$B$5*HS!B13+HS!B37+B31)/(9+Rules!$B$5))</f>
        <v>-0.48734842751982665</v>
      </c>
      <c r="C18" s="1">
        <f>2*(IF(Rules!$B$9=Rules!$E$9,SUM(HSD!C6:C12)+Rules!$B$5*HSD!C13+HSD!C37+C31,SUM(HS!C6:C12)+Rules!$B$5*HS!C13+HS!C37+C31)/(9+Rules!$B$5))</f>
        <v>-0.13992944417761496</v>
      </c>
      <c r="D18" s="1">
        <f>2*(IF(Rules!$B$9=Rules!$E$9,SUM(HSD!D6:D12)+Rules!$B$5*HSD!D13+HSD!D37+D31,SUM(HS!D6:D12)+Rules!$B$5*HS!D13+HS!D37+D31)/(9+Rules!$B$5))</f>
        <v>-5.8284696427541714E-2</v>
      </c>
      <c r="E18" s="1">
        <f>2*(IF(Rules!$B$9=Rules!$E$9,SUM(HSD!E6:E12)+Rules!$B$5*HSD!E13+HSD!E37+E31,SUM(HS!E6:E12)+Rules!$B$5*HS!E13+HS!E37+E31)/(9+Rules!$B$5))</f>
        <v>2.8134517976885209E-2</v>
      </c>
      <c r="F18" s="1">
        <f>2*(IF(Rules!$B$9=Rules!$E$9,SUM(HSD!F6:F12)+Rules!$B$5*HSD!F13+HSD!F37+F31,SUM(HS!F6:F12)+Rules!$B$5*HS!F13+HS!F37+F31)/(9+Rules!$B$5))</f>
        <v>0.12470784634060185</v>
      </c>
      <c r="G18" s="1">
        <f>2*(IF(Rules!$B$9=Rules!$E$9,SUM(HSD!G6:G12)+Rules!$B$5*HSD!G13+HSD!G37+G31,SUM(HS!G6:G12)+Rules!$B$5*HS!G13+HS!G37+G31)/(9+Rules!$B$5))</f>
        <v>0.19970541230483627</v>
      </c>
      <c r="H18" s="1">
        <f>2*(IF(Rules!$B$9=Rules!$E$9,SUM(HSD!H6:H12)+Rules!$B$5*HSD!H13+HSD!H37+H31,SUM(HS!H6:H12)+Rules!$B$5*HS!H13+HS!H37+H31)/(9+Rules!$B$5))</f>
        <v>-5.8585254727766593E-2</v>
      </c>
      <c r="I18" s="1">
        <f>2*(IF(Rules!$B$9=Rules!$E$9,SUM(HSD!I6:I12)+Rules!$B$5*HSD!I13+HSD!I37+I31,SUM(HS!I6:I12)+Rules!$B$5*HS!I13+HS!I37+I31)/(9+Rules!$B$5))</f>
        <v>-0.23704993410552874</v>
      </c>
      <c r="J18" s="1">
        <f>2*(IF(Rules!$B$9=Rules!$E$9,SUM(HSD!J6:J12)+Rules!$B$5*HSD!J13+HSD!J37+J31,SUM(HS!J6:J12)+Rules!$B$5*HS!J13+HS!J37+J31)/(9+Rules!$B$5))</f>
        <v>-0.44155265953053213</v>
      </c>
      <c r="K18" s="9">
        <f>2*(IF(Rules!$B$9=Rules!$E$9,SUM(HSD!K6:K12)+Rules!$B$5*HSD!K13+HSD!K37+K31,SUM(HS!K6:K12)+Rules!$B$5*HS!K13+HS!K37+K31)/(9+Rules!$B$5))</f>
        <v>-0.55831617240970499</v>
      </c>
    </row>
    <row r="19" spans="1:11" x14ac:dyDescent="0.2">
      <c r="A19" s="99">
        <v>4</v>
      </c>
      <c r="B19" s="93">
        <f>2*(IF(Rules!$B$9=Rules!$E$9,SUM(HSD!B7:B13)+Rules!$B$5*HSD!B14+HSD!B38+B32,SUM(HS!B7:B13)+Rules!$B$5*HS!B14+HS!B38+B32)/(9+Rules!$B$5))</f>
        <v>-0.54201328309754238</v>
      </c>
      <c r="C19" s="1">
        <f>2*(IF(Rules!$B$9=Rules!$E$9,SUM(HSD!C7:C13)+Rules!$B$5*HSD!C14+HSD!C38+C32,SUM(HS!C7:C13)+Rules!$B$5*HS!C14+HS!C38+C32)/(9+Rules!$B$5))</f>
        <v>-0.17159359287641518</v>
      </c>
      <c r="D19" s="1">
        <f>2*(IF(Rules!$B$9=Rules!$E$9,SUM(HSD!D7:D13)+Rules!$B$5*HSD!D14+HSD!D38+D32,SUM(HS!D7:D13)+Rules!$B$5*HS!D14+HS!D38+D32)/(9+Rules!$B$5))</f>
        <v>-8.8510033551112699E-2</v>
      </c>
      <c r="E19" s="1">
        <f>2*(IF(Rules!$B$9=Rules!$E$9,SUM(HSD!E7:E13)+Rules!$B$5*HSD!E14+HSD!E38+E32,SUM(HS!E7:E13)+Rules!$B$5*HS!E14+HS!E38+E32)/(9+Rules!$B$5))</f>
        <v>-7.0044751783560999E-4</v>
      </c>
      <c r="F19" s="1">
        <f>2*(IF(Rules!$B$9=Rules!$E$9,SUM(HSD!F7:F13)+Rules!$B$5*HSD!F14+HSD!F38+F32,SUM(HS!F7:F13)+Rules!$B$5*HS!F14+HS!F38+F32)/(9+Rules!$B$5))</f>
        <v>0.10070528937626665</v>
      </c>
      <c r="G19" s="1">
        <f>2*(IF(Rules!$B$9=Rules!$E$9,SUM(HSD!G7:G13)+Rules!$B$5*HSD!G14+HSD!G38+G32,SUM(HS!G7:G13)+Rules!$B$5*HS!G14+HS!G38+G32)/(9+Rules!$B$5))</f>
        <v>0.17417494269127992</v>
      </c>
      <c r="H19" s="1">
        <f>2*(IF(Rules!$B$9=Rules!$E$9,SUM(HSD!H7:H13)+Rules!$B$5*HSD!H14+HSD!H38+H32,SUM(HS!H7:H13)+Rules!$B$5*HS!H14+HS!H38+H32)/(9+Rules!$B$5))</f>
        <v>-0.1254515495303114</v>
      </c>
      <c r="I19" s="1">
        <f>2*(IF(Rules!$B$9=Rules!$E$9,SUM(HSD!I7:I13)+Rules!$B$5*HSD!I14+HSD!I38+I32,SUM(HS!I7:I13)+Rules!$B$5*HS!I14+HS!I38+I32)/(9+Rules!$B$5))</f>
        <v>-0.29874027101353856</v>
      </c>
      <c r="J19" s="1">
        <f>2*(IF(Rules!$B$9=Rules!$E$9,SUM(HSD!J7:J13)+Rules!$B$5*HSD!J14+HSD!J38+J32,SUM(HS!J7:J13)+Rules!$B$5*HS!J14+HS!J38+J32)/(9+Rules!$B$5))</f>
        <v>-0.49719688448925381</v>
      </c>
      <c r="K19" s="9">
        <f>2*(IF(Rules!$B$9=Rules!$E$9,SUM(HSD!K7:K13)+Rules!$B$5*HSD!K14+HSD!K38+K32,SUM(HS!K7:K13)+Rules!$B$5*HS!K14+HS!K38+K32)/(9+Rules!$B$5))</f>
        <v>-0.6102073473534938</v>
      </c>
    </row>
    <row r="20" spans="1:11" x14ac:dyDescent="0.2">
      <c r="A20" s="99">
        <v>5</v>
      </c>
      <c r="B20" s="93">
        <f>2*(IF(Rules!$B$9=Rules!$E$9,SUM(HSD!B8:B14)+Rules!$B$5*HSD!B15+HSD!B39+B33,SUM(HS!B8:B14)+Rules!$B$5*HS!B15+HS!B39+B33)/(9+Rules!$B$5))</f>
        <v>-0.60100911429393566</v>
      </c>
      <c r="C20" s="1">
        <f>2*(IF(Rules!$B$9=Rules!$E$9,SUM(HSD!C8:C14)+Rules!$B$5*HSD!C15+HSD!C39+C33,SUM(HS!C8:C14)+Rules!$B$5*HS!C15+HS!C39+C33)/(9+Rules!$B$5))</f>
        <v>-0.20852591232518977</v>
      </c>
      <c r="D20" s="1">
        <f>2*(IF(Rules!$B$9=Rules!$E$9,SUM(HSD!D8:D14)+Rules!$B$5*HSD!D15+HSD!D39+D33,SUM(HS!D8:D14)+Rules!$B$5*HS!D15+HS!D39+D33)/(9+Rules!$B$5))</f>
        <v>-0.12386278054459822</v>
      </c>
      <c r="E20" s="1">
        <f>2*(IF(Rules!$B$9=Rules!$E$9,SUM(HSD!E8:E14)+Rules!$B$5*HSD!E15+HSD!E39+E33,SUM(HS!E8:E14)+Rules!$B$5*HS!E15+HS!E39+E33)/(9+Rules!$B$5))</f>
        <v>-3.1188889093379798E-2</v>
      </c>
      <c r="F20" s="1">
        <f>2*(IF(Rules!$B$9=Rules!$E$9,SUM(HSD!F8:F14)+Rules!$B$5*HSD!F15+HSD!F39+F33,SUM(HS!F8:F14)+Rules!$B$5*HS!F15+HS!F39+F33)/(9+Rules!$B$5))</f>
        <v>7.1835229989042543E-2</v>
      </c>
      <c r="G20" s="1">
        <f>2*(IF(Rules!$B$9=Rules!$E$9,SUM(HSD!G8:G14)+Rules!$B$5*HSD!G15+HSD!G39+G33,SUM(HS!G8:G14)+Rules!$B$5*HS!G15+HS!G39+G33)/(9+Rules!$B$5))</f>
        <v>0.14119795355422551</v>
      </c>
      <c r="H20" s="1">
        <f>2*(IF(Rules!$B$9=Rules!$E$9,SUM(HSD!H8:H14)+Rules!$B$5*HSD!H15+HSD!H39+H33,SUM(HS!H8:H14)+Rules!$B$5*HS!H15+HS!H39+H33)/(9+Rules!$B$5))</f>
        <v>-0.21360957957948717</v>
      </c>
      <c r="I20" s="1">
        <f>2*(IF(Rules!$B$9=Rules!$E$9,SUM(HSD!I8:I14)+Rules!$B$5*HSD!I15+HSD!I39+I33,SUM(HS!I8:I14)+Rules!$B$5*HS!I15+HS!I39+I33)/(9+Rules!$B$5))</f>
        <v>-0.36764710872122569</v>
      </c>
      <c r="J20" s="1">
        <f>2*(IF(Rules!$B$9=Rules!$E$9,SUM(HSD!J8:J14)+Rules!$B$5*HSD!J15+HSD!J39+J33,SUM(HS!J8:J14)+Rules!$B$5*HS!J15+HS!J39+J33)/(9+Rules!$B$5))</f>
        <v>-0.55959871718010423</v>
      </c>
      <c r="K20" s="9">
        <f>2*(IF(Rules!$B$9=Rules!$E$9,SUM(HSD!K8:K14)+Rules!$B$5*HSD!K15+HSD!K39+K33,SUM(HS!K8:K14)+Rules!$B$5*HS!K15+HS!K39+K33)/(9+Rules!$B$5))</f>
        <v>-0.67054997198877109</v>
      </c>
    </row>
    <row r="21" spans="1:11" x14ac:dyDescent="0.2">
      <c r="A21" s="99">
        <v>6</v>
      </c>
      <c r="B21" s="93">
        <f>2*(IF(Rules!$B$9=Rules!$E$9,SUM(HSD!B9:B15)+Rules!$B$5*HSD!B16+HSD!B40+B34,SUM(HS!B9:B15)+Rules!$B$5*HS!B16+HS!B40+B34)/(9+Rules!$B$5))</f>
        <v>-0.68129878586451731</v>
      </c>
      <c r="C21" s="1">
        <f>2*(IF(Rules!$B$9=Rules!$E$9,SUM(HSD!C9:C15)+Rules!$B$5*HSD!C16+HSD!C40+C34,SUM(HS!C9:C15)+Rules!$B$5*HS!C16+HS!C40+C34)/(9+Rules!$B$5))</f>
        <v>-0.2535785173751941</v>
      </c>
      <c r="D21" s="1">
        <f>2*(IF(Rules!$B$9=Rules!$E$9,SUM(HSD!D9:D15)+Rules!$B$5*HSD!D16+HSD!D40+D34,SUM(HS!D9:D15)+Rules!$B$5*HS!D16+HS!D40+D34)/(9+Rules!$B$5))</f>
        <v>-0.16236190502927889</v>
      </c>
      <c r="E21" s="1">
        <f>2*(IF(Rules!$B$9=Rules!$E$9,SUM(HSD!E9:E15)+Rules!$B$5*HSD!E16+HSD!E40+E34,SUM(HS!E9:E15)+Rules!$B$5*HS!E16+HS!E40+E34)/(9+Rules!$B$5))</f>
        <v>-6.5242110257549266E-2</v>
      </c>
      <c r="F21" s="1">
        <f>2*(IF(Rules!$B$9=Rules!$E$9,SUM(HSD!F9:F15)+Rules!$B$5*HSD!F16+HSD!F40+F34,SUM(HS!F9:F15)+Rules!$B$5*HS!F16+HS!F40+F34)/(9+Rules!$B$5))</f>
        <v>3.9226356320867399E-2</v>
      </c>
      <c r="G21" s="1">
        <f>2*(IF(Rules!$B$9=Rules!$E$9,SUM(HSD!G9:G15)+Rules!$B$5*HSD!G16+HSD!G40+G34,SUM(HS!G9:G15)+Rules!$B$5*HS!G16+HS!G40+G34)/(9+Rules!$B$5))</f>
        <v>0.10667340682942227</v>
      </c>
      <c r="H21" s="1">
        <f>2*(IF(Rules!$B$9=Rules!$E$9,SUM(HSD!H9:H15)+Rules!$B$5*HSD!H16+HSD!H40+H34,SUM(HS!H9:H15)+Rules!$B$5*HS!H16+HS!H40+H34)/(9+Rules!$B$5))</f>
        <v>-0.31692077945309899</v>
      </c>
      <c r="I21" s="1">
        <f>2*(IF(Rules!$B$9=Rules!$E$9,SUM(HSD!I9:I15)+Rules!$B$5*HSD!I16+HSD!I40+I34,SUM(HS!I9:I15)+Rules!$B$5*HS!I16+HS!I40+I34)/(9+Rules!$B$5))</f>
        <v>-0.46304550282877255</v>
      </c>
      <c r="J21" s="1">
        <f>2*(IF(Rules!$B$9=Rules!$E$9,SUM(HSD!J9:J15)+Rules!$B$5*HSD!J16+HSD!J40+J34,SUM(HS!J9:J15)+Rules!$B$5*HS!J16+HS!J40+J34)/(9+Rules!$B$5))</f>
        <v>-0.63423528935103346</v>
      </c>
      <c r="K21" s="9">
        <f>2*(IF(Rules!$B$9=Rules!$E$9,SUM(HSD!K9:K15)+Rules!$B$5*HSD!K16+HSD!K40+K34,SUM(HS!K9:K15)+Rules!$B$5*HS!K16+HS!K40+K34)/(9+Rules!$B$5))</f>
        <v>-0.74023538344852136</v>
      </c>
    </row>
    <row r="22" spans="1:11" x14ac:dyDescent="0.2">
      <c r="A22" s="99">
        <v>7</v>
      </c>
      <c r="B22" s="93">
        <f>2*(IF(Rules!$B$9=Rules!$E$9,SUM(HSD!B10:B16)+Rules!$B$5*HSD!B17+HSD!B41+B35,SUM(HS!B10:B16)+Rules!$B$5*HS!B17+HS!B41+B35)/(9+Rules!$B$5))</f>
        <v>-0.71856860040621029</v>
      </c>
      <c r="C22" s="1">
        <f>2*(IF(Rules!$B$9=Rules!$E$9,SUM(HSD!C10:C16)+Rules!$B$5*HSD!C17+HSD!C41+C35,SUM(HS!C10:C16)+Rules!$B$5*HS!C17+HS!C41+C35)/(9+Rules!$B$5))</f>
        <v>-0.1963016079632402</v>
      </c>
      <c r="D22" s="1">
        <f>2*(IF(Rules!$B$9=Rules!$E$9,SUM(HSD!D10:D16)+Rules!$B$5*HSD!D17+HSD!D41+D35,SUM(HS!D10:D16)+Rules!$B$5*HS!D17+HS!D41+D35)/(9+Rules!$B$5))</f>
        <v>-0.10948552726048816</v>
      </c>
      <c r="E22" s="1">
        <f>2*(IF(Rules!$B$9=Rules!$E$9,SUM(HSD!E10:E16)+Rules!$B$5*HSD!E17+HSD!E41+E35,SUM(HS!E10:E16)+Rules!$B$5*HS!E17+HS!E41+E35)/(9+Rules!$B$5))</f>
        <v>-1.9921218921965758E-2</v>
      </c>
      <c r="F22" s="1">
        <f>2*(IF(Rules!$B$9=Rules!$E$9,SUM(HSD!F10:F16)+Rules!$B$5*HSD!F17+HSD!F41+F35,SUM(HS!F10:F16)+Rules!$B$5*HS!F17+HS!F41+F35)/(9+Rules!$B$5))</f>
        <v>7.4563567868088848E-2</v>
      </c>
      <c r="G22" s="1">
        <f>2*(IF(Rules!$B$9=Rules!$E$9,SUM(HSD!G10:G16)+Rules!$B$5*HSD!G17+HSD!G41+G35,SUM(HS!G10:G16)+Rules!$B$5*HS!G17+HS!G41+G35)/(9+Rules!$B$5))</f>
        <v>0.16472730313989489</v>
      </c>
      <c r="H22" s="1">
        <f>2*(IF(Rules!$B$9=Rules!$E$9,SUM(HSD!H10:H16)+Rules!$B$5*HSD!H17+HSD!H41+H35,SUM(HS!H10:H16)+Rules!$B$5*HS!H17+HS!H41+H35)/(9+Rules!$B$5))</f>
        <v>-0.13707521359511174</v>
      </c>
      <c r="I22" s="1">
        <f>2*(IF(Rules!$B$9=Rules!$E$9,SUM(HSD!I10:I16)+Rules!$B$5*HSD!I17+HSD!I41+I35,SUM(HS!I10:I16)+Rules!$B$5*HS!I17+HS!I41+I35)/(9+Rules!$B$5))</f>
        <v>-0.4755109701627388</v>
      </c>
      <c r="J22" s="1">
        <f>2*(IF(Rules!$B$9=Rules!$E$9,SUM(HSD!J10:J16)+Rules!$B$5*HSD!J17+HSD!J41+J35,SUM(HS!J10:J16)+Rules!$B$5*HS!J17+HS!J41+J35)/(9+Rules!$B$5))</f>
        <v>-0.64515064432824587</v>
      </c>
      <c r="K22" s="9">
        <f>2*(IF(Rules!$B$9=Rules!$E$9,SUM(HSD!K10:K16)+Rules!$B$5*HSD!K17+HSD!K41+K35,SUM(HS!K10:K16)+Rules!$B$5*HS!K17+HS!K41+K35)/(9+Rules!$B$5))</f>
        <v>-0.71332528034968157</v>
      </c>
    </row>
    <row r="23" spans="1:11" x14ac:dyDescent="0.2">
      <c r="A23" s="99">
        <v>8</v>
      </c>
      <c r="B23" s="93">
        <f>2*(IF(Rules!$B$9=Rules!$E$9,SUM(HSD!B11:B17)+Rules!$B$5*HSD!B18+HSD!B42+B36,SUM(HS!B11:B17)+Rules!$B$5*HS!B18+HS!B42+B36)/(9+Rules!$B$5))</f>
        <v>-0.47846720619452893</v>
      </c>
      <c r="C23" s="1">
        <f>2*(IF(Rules!$B$9=Rules!$E$9,SUM(HSD!C11:C17)+Rules!$B$5*HSD!C18+HSD!C42+C36,SUM(HS!C11:C17)+Rules!$B$5*HS!C18+HS!C42+C36)/(9+Rules!$B$5))</f>
        <v>-4.10085652565544E-2</v>
      </c>
      <c r="D23" s="1">
        <f>2*(IF(Rules!$B$9=Rules!$E$9,SUM(HSD!D11:D17)+Rules!$B$5*HSD!D18+HSD!D42+D36,SUM(HS!D11:D17)+Rules!$B$5*HS!D18+HS!D42+D36)/(9+Rules!$B$5))</f>
        <v>2.9651267038439212E-2</v>
      </c>
      <c r="E23" s="1">
        <f>2*(IF(Rules!$B$9=Rules!$E$9,SUM(HSD!E11:E17)+Rules!$B$5*HSD!E18+HSD!E42+E36,SUM(HS!E11:E17)+Rules!$B$5*HS!E18+HS!E42+E36)/(9+Rules!$B$5))</f>
        <v>0.10253679913733912</v>
      </c>
      <c r="F23" s="1">
        <f>2*(IF(Rules!$B$9=Rules!$E$9,SUM(HSD!F11:F17)+Rules!$B$5*HSD!F18+HSD!F42+F36,SUM(HS!F11:F17)+Rules!$B$5*HS!F18+HS!F42+F36)/(9+Rules!$B$5))</f>
        <v>0.17786869518456505</v>
      </c>
      <c r="G23" s="1">
        <f>2*(IF(Rules!$B$9=Rules!$E$9,SUM(HSD!G11:G17)+Rules!$B$5*HSD!G18+HSD!G42+G36,SUM(HS!G11:G17)+Rules!$B$5*HS!G18+HS!G42+G36)/(9+Rules!$B$5))</f>
        <v>0.28114462143026464</v>
      </c>
      <c r="H23" s="1">
        <f>2*(IF(Rules!$B$9=Rules!$E$9,SUM(HSD!H11:H17)+Rules!$B$5*HSD!H18+HSD!H42+H36,SUM(HS!H11:H17)+Rules!$B$5*HS!H18+HS!H42+H36)/(9+Rules!$B$5))</f>
        <v>0.17942021385705018</v>
      </c>
      <c r="I23" s="1">
        <f>2*(IF(Rules!$B$9=Rules!$E$9,SUM(HSD!I11:I17)+Rules!$B$5*HSD!I18+HSD!I42+I36,SUM(HS!I11:I17)+Rules!$B$5*HS!I18+HS!I42+I36)/(9+Rules!$B$5))</f>
        <v>-0.15401156627741791</v>
      </c>
      <c r="J23" s="1">
        <f>2*(IF(Rules!$B$9=Rules!$E$9,SUM(HSD!J11:J17)+Rules!$B$5*HSD!J18+HSD!J42+J36,SUM(HS!J11:J17)+Rules!$B$5*HS!J18+HS!J42+J36)/(9+Rules!$B$5))</f>
        <v>-0.50298441638041402</v>
      </c>
      <c r="K23" s="9">
        <f>2*(IF(Rules!$B$9=Rules!$E$9,SUM(HSD!K11:K17)+Rules!$B$5*HSD!K18+HSD!K42+K36,SUM(HS!K11:K17)+Rules!$B$5*HS!K18+HS!K42+K36)/(9+Rules!$B$5))</f>
        <v>-0.58087155443935135</v>
      </c>
    </row>
    <row r="24" spans="1:11" x14ac:dyDescent="0.2">
      <c r="A24" s="99">
        <v>9</v>
      </c>
      <c r="B24" s="93">
        <f>2*(IF(Rules!$B$9=Rules!$E$9,SUM(HSD!B12:B18)+Rules!$B$5*HSD!B19+HSD!B43+B37,SUM(HS!B12:B18)+Rules!$B$5*HS!B19+HS!B43+B37)/(9+Rules!$B$5))</f>
        <v>-0.18006502022790671</v>
      </c>
      <c r="C24" s="1">
        <f>2*(IF(Rules!$B$9=Rules!$E$9,SUM(HSD!C12:C18)+Rules!$B$5*HSD!C19+HSD!C43+C37,SUM(HS!C12:C18)+Rules!$B$5*HS!C19+HS!C43+C37)/(9+Rules!$B$5))</f>
        <v>0.13385768207672508</v>
      </c>
      <c r="D24" s="1">
        <f>2*(IF(Rules!$B$9=Rules!$E$9,SUM(HSD!D12:D18)+Rules!$B$5*HSD!D19+HSD!D43+D37,SUM(HS!D12:D18)+Rules!$B$5*HS!D19+HS!D43+D37)/(9+Rules!$B$5))</f>
        <v>0.19320731563116447</v>
      </c>
      <c r="E24" s="1">
        <f>2*(IF(Rules!$B$9=Rules!$E$9,SUM(HSD!E12:E18)+Rules!$B$5*HSD!E19+HSD!E43+E37,SUM(HS!E12:E18)+Rules!$B$5*HS!E19+HS!E43+E37)/(9+Rules!$B$5))</f>
        <v>0.25454407563811315</v>
      </c>
      <c r="F24" s="1">
        <f>2*(IF(Rules!$B$9=Rules!$E$9,SUM(HSD!F12:F18)+Rules!$B$5*HSD!F19+HSD!F43+F37,SUM(HS!F12:F18)+Rules!$B$5*HS!F19+HS!F43+F37)/(9+Rules!$B$5))</f>
        <v>0.31872977328281132</v>
      </c>
      <c r="G24" s="1">
        <f>2*(IF(Rules!$B$9=Rules!$E$9,SUM(HSD!G12:G18)+Rules!$B$5*HSD!G19+HSD!G43+G37,SUM(HS!G12:G18)+Rules!$B$5*HS!G19+HS!G43+G37)/(9+Rules!$B$5))</f>
        <v>0.40361032143368897</v>
      </c>
      <c r="H24" s="1">
        <f>2*(IF(Rules!$B$9=Rules!$E$9,SUM(HSD!H12:H18)+Rules!$B$5*HSD!H19+HSD!H43+H37,SUM(HS!H12:H18)+Rules!$B$5*HS!H19+HS!H43+H37)/(9+Rules!$B$5))</f>
        <v>0.3535152100301121</v>
      </c>
      <c r="I24" s="1">
        <f>2*(IF(Rules!$B$9=Rules!$E$9,SUM(HSD!I12:I18)+Rules!$B$5*HSD!I19+HSD!I43+I37,SUM(HS!I12:I18)+Rules!$B$5*HS!I19+HS!I43+I37)/(9+Rules!$B$5))</f>
        <v>0.19129321615782191</v>
      </c>
      <c r="J24" s="1">
        <f>2*(IF(Rules!$B$9=Rules!$E$9,SUM(HSD!J12:J18)+Rules!$B$5*HSD!J19+HSD!J43+J37,SUM(HS!J12:J18)+Rules!$B$5*HS!J19+HS!J43+J37)/(9+Rules!$B$5))</f>
        <v>-0.15072067108588086</v>
      </c>
      <c r="K24" s="9">
        <f>2*(IF(Rules!$B$9=Rules!$E$9,SUM(HSD!K12:K18)+Rules!$B$5*HSD!K19+HSD!K43+K37,SUM(HS!K12:K18)+Rules!$B$5*HS!K19+HS!K43+K37)/(9+Rules!$B$5))</f>
        <v>-0.3811994363976306</v>
      </c>
    </row>
    <row r="25" spans="1:11" ht="17" thickBot="1" x14ac:dyDescent="0.25">
      <c r="A25" s="100">
        <v>10</v>
      </c>
      <c r="B25" s="94">
        <f>2*(IF(Rules!$B$9=Rules!$E$9,SUM(HSD!B13:B19)+Rules!$B$5*HSD!B20+HSD!B44+B38,SUM(HS!B13:B19)+Rules!$B$5*HS!B20+HS!B44+B38)/(9+Rules!$B$5))</f>
        <v>0.25404256790190649</v>
      </c>
      <c r="C25" s="111">
        <f>2*(IF(Rules!$B$9=Rules!$E$9,SUM(HSD!C13:C19)+Rules!$B$5*HSD!C20+HSD!C44+C38,SUM(HS!C13:C19)+Rules!$B$5*HS!C20+HS!C44+C38)/(9+Rules!$B$5))</f>
        <v>0.47477335618105915</v>
      </c>
      <c r="D25" s="111">
        <f>2*(IF(Rules!$B$9=Rules!$E$9,SUM(HSD!D13:D19)+Rules!$B$5*HSD!D20+HSD!D44+D38,SUM(HS!D13:D19)+Rules!$B$5*HS!D20+HS!D44+D38)/(9+Rules!$B$5))</f>
        <v>0.52682687199935552</v>
      </c>
      <c r="E25" s="111">
        <f>2*(IF(Rules!$B$9=Rules!$E$9,SUM(HSD!E13:E19)+Rules!$B$5*HSD!E20+HSD!E44+E38,SUM(HS!E13:E19)+Rules!$B$5*HS!E20+HS!E44+E38)/(9+Rules!$B$5))</f>
        <v>0.58023077979244886</v>
      </c>
      <c r="F25" s="111">
        <f>2*(IF(Rules!$B$9=Rules!$E$9,SUM(HSD!F13:F19)+Rules!$B$5*HSD!F20+HSD!F44+F38,SUM(HS!F13:F19)+Rules!$B$5*HS!F20+HS!F44+F38)/(9+Rules!$B$5))</f>
        <v>0.63317564802789661</v>
      </c>
      <c r="G25" s="111">
        <f>2*(IF(Rules!$B$9=Rules!$E$9,SUM(HSD!G13:G19)+Rules!$B$5*HSD!G20+HSD!G44+G38,SUM(HS!G13:G19)+Rules!$B$5*HS!G20+HS!G44+G38)/(9+Rules!$B$5))</f>
        <v>0.70504978713524302</v>
      </c>
      <c r="H25" s="111">
        <f>2*(IF(Rules!$B$9=Rules!$E$9,SUM(HSD!H13:H19)+Rules!$B$5*HSD!H20+HSD!H44+H38,SUM(HS!H13:H19)+Rules!$B$5*HS!H20+HS!H44+H38)/(9+Rules!$B$5))</f>
        <v>0.64281131172356143</v>
      </c>
      <c r="I25" s="111">
        <f>2*(IF(Rules!$B$9=Rules!$E$9,SUM(HSD!I13:I19)+Rules!$B$5*HSD!I20+HSD!I44+I38,SUM(HS!I13:I19)+Rules!$B$5*HS!I20+HS!I44+I38)/(9+Rules!$B$5))</f>
        <v>0.5143953850109767</v>
      </c>
      <c r="J25" s="111">
        <f>2*(IF(Rules!$B$9=Rules!$E$9,SUM(HSD!J13:J19)+Rules!$B$5*HSD!J20+HSD!J44+J38,SUM(HS!J13:J19)+Rules!$B$5*HS!J20+HS!J44+J38)/(9+Rules!$B$5))</f>
        <v>0.3347880216795448</v>
      </c>
      <c r="K25" s="10">
        <f>2*(IF(Rules!$B$9=Rules!$E$9,SUM(HSD!K13:K19)+Rules!$B$5*HSD!K20+HSD!K44+K38,SUM(HS!K13:K19)+Rules!$B$5*HS!K20+HS!K44+K38)/(9+Rules!$B$5))</f>
        <v>0.12724308849531457</v>
      </c>
    </row>
    <row r="26" spans="1:11" ht="17" thickBot="1" x14ac:dyDescent="0.25"/>
    <row r="27" spans="1:11" ht="17" thickBot="1" x14ac:dyDescent="0.25">
      <c r="A27" s="308" t="s">
        <v>77</v>
      </c>
      <c r="B27" s="318"/>
      <c r="C27" s="318"/>
      <c r="D27" s="318"/>
      <c r="E27" s="318"/>
      <c r="F27" s="318"/>
      <c r="G27" s="318"/>
      <c r="H27" s="318"/>
      <c r="I27" s="318"/>
      <c r="J27" s="318"/>
      <c r="K27" s="309"/>
    </row>
    <row r="28" spans="1:11" ht="17" thickBot="1" x14ac:dyDescent="0.25">
      <c r="A28" s="106" t="s">
        <v>7</v>
      </c>
      <c r="B28" s="117">
        <v>1</v>
      </c>
      <c r="C28" s="118">
        <v>2</v>
      </c>
      <c r="D28" s="118">
        <v>3</v>
      </c>
      <c r="E28" s="118">
        <v>4</v>
      </c>
      <c r="F28" s="118">
        <v>5</v>
      </c>
      <c r="G28" s="118">
        <v>6</v>
      </c>
      <c r="H28" s="118">
        <v>7</v>
      </c>
      <c r="I28" s="118">
        <v>8</v>
      </c>
      <c r="J28" s="118">
        <v>9</v>
      </c>
      <c r="K28" s="105">
        <v>10</v>
      </c>
    </row>
    <row r="29" spans="1:11" x14ac:dyDescent="0.2">
      <c r="A29" s="101">
        <v>1</v>
      </c>
      <c r="B29" s="109">
        <f>2*(IF(Rules!$B$12=Rules!$F$12,SUM(Stand!B36:B43)+Rules!$B$5*Stand!B44+B42,SUM(HSD!B36:B43)+Rules!$B$5*HSD!B44+B42)/(9+Rules!$B$5))</f>
        <v>0.22844717277365195</v>
      </c>
      <c r="C29" s="110">
        <f>2*(IF(Rules!$B$12=Rules!$F$12,SUM(Stand!C36:C43)+Rules!$B$5*Stand!C44+C42,SUM(HSD!C36:C43)+Rules!$B$5*HSD!C44+C42)/(9+Rules!$B$5))</f>
        <v>0.58809086957773749</v>
      </c>
      <c r="D29" s="110">
        <f>2*(IF(Rules!$B$12=Rules!$F$12,SUM(Stand!D36:D43)+Rules!$B$5*Stand!D44+D42,SUM(HSD!D36:D43)+Rules!$B$5*HSD!D44+D42)/(9+Rules!$B$5))</f>
        <v>0.63626378886959067</v>
      </c>
      <c r="E29" s="110">
        <f>2*(IF(Rules!$B$12=Rules!$F$12,SUM(Stand!E36:E43)+Rules!$B$5*Stand!E44+E42,SUM(HSD!E36:E43)+Rules!$B$5*HSD!E44+E42)/(9+Rules!$B$5))</f>
        <v>0.68559495955842076</v>
      </c>
      <c r="F29" s="110">
        <f>2*(IF(Rules!$B$12=Rules!$F$12,SUM(Stand!F36:F43)+Rules!$B$5*Stand!F44+F42,SUM(HSD!F36:F43)+Rules!$B$5*HSD!F44+F42)/(9+Rules!$B$5))</f>
        <v>0.73499004540818236</v>
      </c>
      <c r="G29" s="110">
        <f>2*(IF(Rules!$B$12=Rules!$F$12,SUM(Stand!G36:G43)+Rules!$B$5*Stand!G44+G42,SUM(HSD!G36:G43)+Rules!$B$5*HSD!G44+G42)/(9+Rules!$B$5))</f>
        <v>0.79369995809796545</v>
      </c>
      <c r="H29" s="110">
        <f>2*(IF(Rules!$B$12=Rules!$F$12,SUM(Stand!H36:H43)+Rules!$B$5*Stand!H44+H42,SUM(HSD!H36:H43)+Rules!$B$5*HSD!H44+H42)/(9+Rules!$B$5))</f>
        <v>0.60723727688601759</v>
      </c>
      <c r="I29" s="110">
        <f>2*(IF(Rules!$B$12=Rules!$F$12,SUM(Stand!I36:I43)+Rules!$B$5*Stand!I44+I42,SUM(HSD!I36:I43)+Rules!$B$5*HSD!I44+I42)/(9+Rules!$B$5))</f>
        <v>0.48318645338845845</v>
      </c>
      <c r="J29" s="110">
        <f>2*(IF(Rules!$B$12=Rules!$F$12,SUM(Stand!J36:J43)+Rules!$B$5*Stand!J44+J42,SUM(HSD!J36:J43)+Rules!$B$5*HSD!J44+J42)/(9+Rules!$B$5))</f>
        <v>0.34638851611915705</v>
      </c>
      <c r="K29" s="57">
        <f>2*(IF(Rules!$B$12=Rules!$F$12,SUM(Stand!K36:K43)+Rules!$B$5*Stand!K44+K42,SUM(HSD!K36:K43)+Rules!$B$5*HSD!K44+K42)/(9+Rules!$B$5))</f>
        <v>0.29047627531978187</v>
      </c>
    </row>
    <row r="30" spans="1:11" x14ac:dyDescent="0.2">
      <c r="A30" s="99">
        <v>2</v>
      </c>
      <c r="B30" s="93">
        <f>2*(IF(Rules!$B$9=Rules!$E$9,SUM(HSD!B5:B11)+Rules!$B$5*HSD!B12+HSD!B36+B43,SUM(HS!B5:B11)+Rules!$B$5*HS!B12+HS!B36+B43)/(9+Rules!$B$5))</f>
        <v>-0.43034280812761505</v>
      </c>
      <c r="C30" s="1">
        <f>2*(IF(Rules!$B$9=Rules!$E$9,SUM(HSD!C5:C11)+Rules!$B$5*HSD!C12+HSD!C36+C43,SUM(HS!C5:C11)+Rules!$B$5*HS!C12+HS!C36+C43)/(9+Rules!$B$5))</f>
        <v>-8.4883227555298188E-2</v>
      </c>
      <c r="D30" s="1">
        <f>2*(IF(Rules!$B$9=Rules!$E$9,SUM(HSD!D5:D11)+Rules!$B$5*HSD!D12+HSD!D36+D43,SUM(HS!D5:D11)+Rules!$B$5*HS!D12+HS!D36+D43)/(9+Rules!$B$5))</f>
        <v>-1.6847332968400533E-2</v>
      </c>
      <c r="E30" s="1">
        <f>2*(IF(Rules!$B$9=Rules!$E$9,SUM(HSD!E5:E11)+Rules!$B$5*HSD!E12+HSD!E36+E43,SUM(HS!E5:E11)+Rules!$B$5*HS!E12+HS!E36+E43)/(9+Rules!$B$5))</f>
        <v>5.7148791057335974E-2</v>
      </c>
      <c r="F30" s="1">
        <f>2*(IF(Rules!$B$9=Rules!$E$9,SUM(HSD!F5:F11)+Rules!$B$5*HSD!F12+HSD!F36+F43,SUM(HS!F5:F11)+Rules!$B$5*HS!F12+HS!F36+F43)/(9+Rules!$B$5))</f>
        <v>0.14873132332818745</v>
      </c>
      <c r="G30" s="1">
        <f>2*(IF(Rules!$B$9=Rules!$E$9,SUM(HSD!G5:G11)+Rules!$B$5*HSD!G12+HSD!G36+G43,SUM(HS!G5:G11)+Rules!$B$5*HS!G12+HS!G36+G43)/(9+Rules!$B$5))</f>
        <v>0.22303216445576374</v>
      </c>
      <c r="H30" s="1">
        <f>2*(IF(Rules!$B$9=Rules!$E$9,SUM(HSD!H5:H11)+Rules!$B$5*HSD!H12+HSD!H36+H43,SUM(HS!H5:H11)+Rules!$B$5*HS!H12+HS!H36+H43)/(9+Rules!$B$5))</f>
        <v>5.0437334404890245E-3</v>
      </c>
      <c r="I30" s="1">
        <f>2*(IF(Rules!$B$9=Rules!$E$9,SUM(HSD!I5:I11)+Rules!$B$5*HSD!I12+HSD!I36+I43,SUM(HS!I5:I11)+Rules!$B$5*HS!I12+HS!I36+I43)/(9+Rules!$B$5))</f>
        <v>-0.17638232094742817</v>
      </c>
      <c r="J30" s="1">
        <f>2*(IF(Rules!$B$9=Rules!$E$9,SUM(HSD!J5:J11)+Rules!$B$5*HSD!J12+HSD!J36+J43,SUM(HS!J5:J11)+Rules!$B$5*HS!J12+HS!J36+J43)/(9+Rules!$B$5))</f>
        <v>-0.3842681223231732</v>
      </c>
      <c r="K30" s="9">
        <f>2*(IF(Rules!$B$9=Rules!$E$9,SUM(HSD!K5:K11)+Rules!$B$5*HSD!K12+HSD!K36+K43,SUM(HS!K5:K11)+Rules!$B$5*HS!K12+HS!K36+K43)/(9+Rules!$B$5))</f>
        <v>-0.50327746896703818</v>
      </c>
    </row>
    <row r="31" spans="1:11" x14ac:dyDescent="0.2">
      <c r="A31" s="99">
        <v>3</v>
      </c>
      <c r="B31" s="93">
        <f>2*(IF(Rules!$B$9=Rules!$E$9,SUM(HSD!B6:B12)+Rules!$B$5*HSD!B13+HSD!B37+B44,SUM(HS!B6:B12)+Rules!$B$5*HS!B13+HS!B37+B44)/(9+Rules!$B$5))</f>
        <v>-0.48315196862599741</v>
      </c>
      <c r="C31" s="1">
        <f>2*(IF(Rules!$B$9=Rules!$E$9,SUM(HSD!C6:C12)+Rules!$B$5*HSD!C13+HSD!C37+C44,SUM(HS!C6:C12)+Rules!$B$5*HS!C13+HS!C37+C44)/(9+Rules!$B$5))</f>
        <v>-0.13969398936125582</v>
      </c>
      <c r="D31" s="1">
        <f>2*(IF(Rules!$B$9=Rules!$E$9,SUM(HSD!D6:D12)+Rules!$B$5*HSD!D13+HSD!D37+D44,SUM(HS!D6:D12)+Rules!$B$5*HS!D13+HS!D37+D44)/(9+Rules!$B$5))</f>
        <v>-5.9028928203098463E-2</v>
      </c>
      <c r="E31" s="1">
        <f>2*(IF(Rules!$B$9=Rules!$E$9,SUM(HSD!E6:E12)+Rules!$B$5*HSD!E13+HSD!E37+E44,SUM(HS!E6:E12)+Rules!$B$5*HS!E13+HS!E37+E44)/(9+Rules!$B$5))</f>
        <v>2.6333231902984113E-2</v>
      </c>
      <c r="F31" s="1">
        <f>2*(IF(Rules!$B$9=Rules!$E$9,SUM(HSD!F6:F12)+Rules!$B$5*HSD!F13+HSD!F37+F44,SUM(HS!F6:F12)+Rules!$B$5*HS!F13+HS!F37+F44)/(9+Rules!$B$5))</f>
        <v>0.12171916660728604</v>
      </c>
      <c r="G31" s="1">
        <f>2*(IF(Rules!$B$9=Rules!$E$9,SUM(HSD!G6:G12)+Rules!$B$5*HSD!G13+HSD!G37+G44,SUM(HS!G6:G12)+Rules!$B$5*HS!G13+HS!G37+G44)/(9+Rules!$B$5))</f>
        <v>0.19566738717632817</v>
      </c>
      <c r="H31" s="1">
        <f>2*(IF(Rules!$B$9=Rules!$E$9,SUM(HSD!H6:H12)+Rules!$B$5*HSD!H13+HSD!H37+H44,SUM(HS!H6:H12)+Rules!$B$5*HS!H13+HS!H37+H44)/(9+Rules!$B$5))</f>
        <v>-5.9808615273623515E-2</v>
      </c>
      <c r="I31" s="1">
        <f>2*(IF(Rules!$B$9=Rules!$E$9,SUM(HSD!I6:I12)+Rules!$B$5*HSD!I13+HSD!I37+I44,SUM(HS!I6:I12)+Rules!$B$5*HS!I13+HS!I37+I44)/(9+Rules!$B$5))</f>
        <v>-0.23606588123713995</v>
      </c>
      <c r="J31" s="1">
        <f>2*(IF(Rules!$B$9=Rules!$E$9,SUM(HSD!J6:J12)+Rules!$B$5*HSD!J13+HSD!J37+J44,SUM(HS!J6:J12)+Rules!$B$5*HS!J13+HS!J37+J44)/(9+Rules!$B$5))</f>
        <v>-0.43803632573811863</v>
      </c>
      <c r="K31" s="9">
        <f>2*(IF(Rules!$B$9=Rules!$E$9,SUM(HSD!K6:K12)+Rules!$B$5*HSD!K13+HSD!K37+K44,SUM(HS!K6:K12)+Rules!$B$5*HS!K13+HS!K37+K44)/(9+Rules!$B$5))</f>
        <v>-0.55339346830830327</v>
      </c>
    </row>
    <row r="32" spans="1:11" x14ac:dyDescent="0.2">
      <c r="A32" s="99">
        <v>4</v>
      </c>
      <c r="B32" s="93">
        <f>2*(IF(Rules!$B$9=Rules!$E$9,SUM(HSD!B7:B13)+Rules!$B$5*HSD!B14+HSD!B38+B45,SUM(HS!B7:B13)+Rules!$B$5*HS!B14+HS!B38+B45)/(9+Rules!$B$5))</f>
        <v>-0.53723204385891232</v>
      </c>
      <c r="C32" s="1">
        <f>2*(IF(Rules!$B$9=Rules!$E$9,SUM(HSD!C7:C13)+Rules!$B$5*HSD!C14+HSD!C38+C45,SUM(HS!C7:C13)+Rules!$B$5*HS!C14+HS!C38+C45)/(9+Rules!$B$5))</f>
        <v>-0.17097380442583437</v>
      </c>
      <c r="D32" s="1">
        <f>2*(IF(Rules!$B$9=Rules!$E$9,SUM(HSD!D7:D13)+Rules!$B$5*HSD!D14+HSD!D38+D45,SUM(HS!D7:D13)+Rules!$B$5*HS!D14+HS!D38+D45)/(9+Rules!$B$5))</f>
        <v>-8.8887541982419133E-2</v>
      </c>
      <c r="E32" s="1">
        <f>2*(IF(Rules!$B$9=Rules!$E$9,SUM(HSD!E7:E13)+Rules!$B$5*HSD!E14+HSD!E38+E45,SUM(HS!E7:E13)+Rules!$B$5*HS!E14+HS!E38+E45)/(9+Rules!$B$5))</f>
        <v>-2.1520393652436822E-3</v>
      </c>
      <c r="F32" s="1">
        <f>2*(IF(Rules!$B$9=Rules!$E$9,SUM(HSD!F7:F13)+Rules!$B$5*HSD!F14+HSD!F38+F45,SUM(HS!F7:F13)+Rules!$B$5*HS!F14+HS!F38+F45)/(9+Rules!$B$5))</f>
        <v>9.7979233844480332E-2</v>
      </c>
      <c r="G32" s="1">
        <f>2*(IF(Rules!$B$9=Rules!$E$9,SUM(HSD!G7:G13)+Rules!$B$5*HSD!G14+HSD!G38+G45,SUM(HS!G7:G13)+Rules!$B$5*HS!G14+HS!G38+G45)/(9+Rules!$B$5))</f>
        <v>0.17041251498834212</v>
      </c>
      <c r="H32" s="1">
        <f>2*(IF(Rules!$B$9=Rules!$E$9,SUM(HSD!H7:H13)+Rules!$B$5*HSD!H14+HSD!H38+H45,SUM(HS!H7:H13)+Rules!$B$5*HS!H14+HS!H38+H45)/(9+Rules!$B$5))</f>
        <v>-0.12598383410732422</v>
      </c>
      <c r="I32" s="1">
        <f>2*(IF(Rules!$B$9=Rules!$E$9,SUM(HSD!I7:I13)+Rules!$B$5*HSD!I14+HSD!I38+I45,SUM(HS!I7:I13)+Rules!$B$5*HS!I14+HS!I38+I45)/(9+Rules!$B$5))</f>
        <v>-0.29710211242674955</v>
      </c>
      <c r="J32" s="1">
        <f>2*(IF(Rules!$B$9=Rules!$E$9,SUM(HSD!J7:J13)+Rules!$B$5*HSD!J14+HSD!J38+J45,SUM(HS!J7:J13)+Rules!$B$5*HS!J14+HS!J38+J45)/(9+Rules!$B$5))</f>
        <v>-0.49308520239294168</v>
      </c>
      <c r="K32" s="9">
        <f>2*(IF(Rules!$B$9=Rules!$E$9,SUM(HSD!K7:K13)+Rules!$B$5*HSD!K14+HSD!K38+K45,SUM(HS!K7:K13)+Rules!$B$5*HS!K14+HS!K38+K45)/(9+Rules!$B$5))</f>
        <v>-0.60473080650977351</v>
      </c>
    </row>
    <row r="33" spans="1:11" x14ac:dyDescent="0.2">
      <c r="A33" s="99">
        <v>5</v>
      </c>
      <c r="B33" s="93">
        <f>2*(IF(Rules!$B$9=Rules!$E$9,SUM(HSD!B8:B14)+Rules!$B$5*HSD!B15+HSD!B39+B46,SUM(HS!B8:B14)+Rules!$B$5*HS!B15+HS!B39+B46)/(9+Rules!$B$5))</f>
        <v>-0.59516112506856278</v>
      </c>
      <c r="C33" s="1">
        <f>2*(IF(Rules!$B$9=Rules!$E$9,SUM(HSD!C8:C14)+Rules!$B$5*HSD!C15+HSD!C39+C46,SUM(HS!C8:C14)+Rules!$B$5*HS!C15+HS!C39+C46)/(9+Rules!$B$5))</f>
        <v>-0.206529078466726</v>
      </c>
      <c r="D33" s="1">
        <f>2*(IF(Rules!$B$9=Rules!$E$9,SUM(HSD!D8:D14)+Rules!$B$5*HSD!D15+HSD!D39+D46,SUM(HS!D8:D14)+Rules!$B$5*HS!D15+HS!D39+D46)/(9+Rules!$B$5))</f>
        <v>-0.12291243283323873</v>
      </c>
      <c r="E33" s="1">
        <f>2*(IF(Rules!$B$9=Rules!$E$9,SUM(HSD!E8:E14)+Rules!$B$5*HSD!E15+HSD!E39+E46,SUM(HS!E8:E14)+Rules!$B$5*HS!E15+HS!E39+E46)/(9+Rules!$B$5))</f>
        <v>-3.1426736428273511E-2</v>
      </c>
      <c r="F33" s="1">
        <f>2*(IF(Rules!$B$9=Rules!$E$9,SUM(HSD!F8:F14)+Rules!$B$5*HSD!F15+HSD!F39+F46,SUM(HS!F8:F14)+Rules!$B$5*HS!F15+HS!F39+F46)/(9+Rules!$B$5))</f>
        <v>7.0245147760057941E-2</v>
      </c>
      <c r="G33" s="1">
        <f>2*(IF(Rules!$B$9=Rules!$E$9,SUM(HSD!G8:G14)+Rules!$B$5*HSD!G15+HSD!G39+G46,SUM(HS!G8:G14)+Rules!$B$5*HS!G15+HS!G39+G46)/(9+Rules!$B$5))</f>
        <v>0.13894644378135385</v>
      </c>
      <c r="H33" s="1">
        <f>2*(IF(Rules!$B$9=Rules!$E$9,SUM(HSD!H8:H14)+Rules!$B$5*HSD!H15+HSD!H39+H46,SUM(HS!H8:H14)+Rules!$B$5*HS!H15+HS!H39+H46)/(9+Rules!$B$5))</f>
        <v>-0.21069899103679252</v>
      </c>
      <c r="I33" s="1">
        <f>2*(IF(Rules!$B$9=Rules!$E$9,SUM(HSD!I8:I14)+Rules!$B$5*HSD!I15+HSD!I39+I46,SUM(HS!I8:I14)+Rules!$B$5*HS!I15+HS!I39+I46)/(9+Rules!$B$5))</f>
        <v>-0.36449047877153973</v>
      </c>
      <c r="J33" s="1">
        <f>2*(IF(Rules!$B$9=Rules!$E$9,SUM(HSD!J8:J14)+Rules!$B$5*HSD!J15+HSD!J39+J46,SUM(HS!J8:J14)+Rules!$B$5*HS!J15+HS!J39+J46)/(9+Rules!$B$5))</f>
        <v>-0.55408649051290371</v>
      </c>
      <c r="K33" s="9">
        <f>2*(IF(Rules!$B$9=Rules!$E$9,SUM(HSD!K8:K14)+Rules!$B$5*HSD!K15+HSD!K39+K46,SUM(HS!K8:K14)+Rules!$B$5*HS!K15+HS!K39+K46)/(9+Rules!$B$5))</f>
        <v>-0.66348474222815945</v>
      </c>
    </row>
    <row r="34" spans="1:11" x14ac:dyDescent="0.2">
      <c r="A34" s="99">
        <v>6</v>
      </c>
      <c r="B34" s="93">
        <f>2*(IF(Rules!$B$9=Rules!$E$9,SUM(HSD!B9:B15)+Rules!$B$5*HSD!B16+HSD!B40+B47,SUM(HS!B9:B15)+Rules!$B$5*HS!B16+HS!B40+B47)/(9+Rules!$B$5))</f>
        <v>-0.6715647160094349</v>
      </c>
      <c r="C34" s="1">
        <f>2*(IF(Rules!$B$9=Rules!$E$9,SUM(HSD!C9:C15)+Rules!$B$5*HSD!C16+HSD!C40+C47,SUM(HS!C9:C15)+Rules!$B$5*HS!C16+HS!C40+C47)/(9+Rules!$B$5))</f>
        <v>-0.24891961628240239</v>
      </c>
      <c r="D34" s="1">
        <f>2*(IF(Rules!$B$9=Rules!$E$9,SUM(HSD!D9:D15)+Rules!$B$5*HSD!D16+HSD!D40+D47,SUM(HS!D9:D15)+Rules!$B$5*HS!D16+HS!D40+D47)/(9+Rules!$B$5))</f>
        <v>-0.15893743934968224</v>
      </c>
      <c r="E34" s="1">
        <f>2*(IF(Rules!$B$9=Rules!$E$9,SUM(HSD!E9:E15)+Rules!$B$5*HSD!E16+HSD!E40+E47,SUM(HS!E9:E15)+Rules!$B$5*HS!E16+HS!E40+E47)/(9+Rules!$B$5))</f>
        <v>-6.3151123653835545E-2</v>
      </c>
      <c r="F34" s="1">
        <f>2*(IF(Rules!$B$9=Rules!$E$9,SUM(HSD!F9:F15)+Rules!$B$5*HSD!F16+HSD!F40+F47,SUM(HS!F9:F15)+Rules!$B$5*HS!F16+HS!F40+F47)/(9+Rules!$B$5))</f>
        <v>3.9861095610559186E-2</v>
      </c>
      <c r="G34" s="1">
        <f>2*(IF(Rules!$B$9=Rules!$E$9,SUM(HSD!G9:G15)+Rules!$B$5*HSD!G16+HSD!G40+G47,SUM(HS!G9:G15)+Rules!$B$5*HS!G16+HS!G40+G47)/(9+Rules!$B$5))</f>
        <v>0.10683997453327757</v>
      </c>
      <c r="H34" s="1">
        <f>2*(IF(Rules!$B$9=Rules!$E$9,SUM(HSD!H9:H15)+Rules!$B$5*HSD!H16+HSD!H40+H47,SUM(HS!H9:H15)+Rules!$B$5*HS!H16+HS!H40+H47)/(9+Rules!$B$5))</f>
        <v>-0.30889810168793636</v>
      </c>
      <c r="I34" s="1">
        <f>2*(IF(Rules!$B$9=Rules!$E$9,SUM(HSD!I9:I15)+Rules!$B$5*HSD!I16+HSD!I40+I47,SUM(HS!I9:I15)+Rules!$B$5*HS!I16+HS!I40+I47)/(9+Rules!$B$5))</f>
        <v>-0.45494204097610691</v>
      </c>
      <c r="J34" s="1">
        <f>2*(IF(Rules!$B$9=Rules!$E$9,SUM(HSD!J9:J15)+Rules!$B$5*HSD!J16+HSD!J40+J47,SUM(HS!J9:J15)+Rules!$B$5*HS!J16+HS!J40+J47)/(9+Rules!$B$5))</f>
        <v>-0.62571169221831358</v>
      </c>
      <c r="K34" s="9">
        <f>2*(IF(Rules!$B$9=Rules!$E$9,SUM(HSD!K9:K15)+Rules!$B$5*HSD!K16+HSD!K40+K47,SUM(HS!K9:K15)+Rules!$B$5*HS!K16+HS!K40+K47)/(9+Rules!$B$5))</f>
        <v>-0.73036884469685959</v>
      </c>
    </row>
    <row r="35" spans="1:11" x14ac:dyDescent="0.2">
      <c r="A35" s="99">
        <v>7</v>
      </c>
      <c r="B35" s="93">
        <f>2*(IF(Rules!$B$9=Rules!$E$9,SUM(HSD!B10:B16)+Rules!$B$5*HSD!B17+HSD!B41+B48,SUM(HS!B10:B16)+Rules!$B$5*HS!B17+HS!B41+B48)/(9+Rules!$B$5))</f>
        <v>-0.70544522710715207</v>
      </c>
      <c r="C35" s="1">
        <f>2*(IF(Rules!$B$9=Rules!$E$9,SUM(HSD!C10:C16)+Rules!$B$5*HSD!C17+HSD!C41+C48,SUM(HS!C10:C16)+Rules!$B$5*HS!C17+HS!C41+C48)/(9+Rules!$B$5))</f>
        <v>-0.19085944423380138</v>
      </c>
      <c r="D35" s="1">
        <f>2*(IF(Rules!$B$9=Rules!$E$9,SUM(HSD!D10:D16)+Rules!$B$5*HSD!D17+HSD!D41+D48,SUM(HS!D10:D16)+Rules!$B$5*HS!D17+HS!D41+D48)/(9+Rules!$B$5))</f>
        <v>-0.1048563437310312</v>
      </c>
      <c r="E35" s="1">
        <f>2*(IF(Rules!$B$9=Rules!$E$9,SUM(HSD!E10:E16)+Rules!$B$5*HSD!E17+HSD!E41+E48,SUM(HS!E10:E16)+Rules!$B$5*HS!E17+HS!E41+E48)/(9+Rules!$B$5))</f>
        <v>-1.5863527404892646E-2</v>
      </c>
      <c r="F35" s="1">
        <f>2*(IF(Rules!$B$9=Rules!$E$9,SUM(HSD!F10:F16)+Rules!$B$5*HSD!F17+HSD!F41+F48,SUM(HS!F10:F16)+Rules!$B$5*HS!F17+HS!F41+F48)/(9+Rules!$B$5))</f>
        <v>7.7950375044067696E-2</v>
      </c>
      <c r="G35" s="1">
        <f>2*(IF(Rules!$B$9=Rules!$E$9,SUM(HSD!G10:G16)+Rules!$B$5*HSD!G17+HSD!G41+G48,SUM(HS!G10:G16)+Rules!$B$5*HS!G17+HS!G41+G48)/(9+Rules!$B$5))</f>
        <v>0.16778916128184004</v>
      </c>
      <c r="H35" s="1">
        <f>2*(IF(Rules!$B$9=Rules!$E$9,SUM(HSD!H10:H16)+Rules!$B$5*HSD!H17+HSD!H41+H48,SUM(HS!H10:H16)+Rules!$B$5*HS!H17+HS!H41+H48)/(9+Rules!$B$5))</f>
        <v>-0.13086530256934162</v>
      </c>
      <c r="I35" s="1">
        <f>2*(IF(Rules!$B$9=Rules!$E$9,SUM(HSD!I10:I16)+Rules!$B$5*HSD!I17+HSD!I41+I48,SUM(HS!I10:I16)+Rules!$B$5*HS!I17+HS!I41+I48)/(9+Rules!$B$5))</f>
        <v>-0.46397554930649498</v>
      </c>
      <c r="J35" s="1">
        <f>2*(IF(Rules!$B$9=Rules!$E$9,SUM(HSD!J10:J16)+Rules!$B$5*HSD!J17+HSD!J41+J48,SUM(HS!J10:J16)+Rules!$B$5*HS!J17+HS!J41+J48)/(9+Rules!$B$5))</f>
        <v>-0.63323159727567113</v>
      </c>
      <c r="K35" s="9">
        <f>2*(IF(Rules!$B$9=Rules!$E$9,SUM(HSD!K10:K16)+Rules!$B$5*HSD!K17+HSD!K41+K48,SUM(HS!K10:K16)+Rules!$B$5*HS!K17+HS!K41+K48)/(9+Rules!$B$5))</f>
        <v>-0.70206151561651309</v>
      </c>
    </row>
    <row r="36" spans="1:11" x14ac:dyDescent="0.2">
      <c r="A36" s="99">
        <v>8</v>
      </c>
      <c r="B36" s="93">
        <f>2*(IF(Rules!$B$9=Rules!$E$9,SUM(HSD!B11:B17)+Rules!$B$5*HSD!B18+HSD!B42+B49,SUM(HS!B11:B17)+Rules!$B$5*HS!B18+HS!B42+B49)/(9+Rules!$B$5))</f>
        <v>-0.46721259485503536</v>
      </c>
      <c r="C36" s="1">
        <f>2*(IF(Rules!$B$9=Rules!$E$9,SUM(HSD!C11:C17)+Rules!$B$5*HSD!C18+HSD!C42+C49,SUM(HS!C11:C17)+Rules!$B$5*HS!C18+HS!C42+C49)/(9+Rules!$B$5))</f>
        <v>-3.2969409925924183E-2</v>
      </c>
      <c r="D36" s="1">
        <f>2*(IF(Rules!$B$9=Rules!$E$9,SUM(HSD!D11:D17)+Rules!$B$5*HSD!D18+HSD!D42+D49,SUM(HS!D11:D17)+Rules!$B$5*HS!D18+HS!D42+D49)/(9+Rules!$B$5))</f>
        <v>3.7282812830147755E-2</v>
      </c>
      <c r="E36" s="1">
        <f>2*(IF(Rules!$B$9=Rules!$E$9,SUM(HSD!E11:E17)+Rules!$B$5*HSD!E18+HSD!E42+E49,SUM(HS!E11:E17)+Rules!$B$5*HS!E18+HS!E42+E49)/(9+Rules!$B$5))</f>
        <v>0.10974088847717861</v>
      </c>
      <c r="F36" s="1">
        <f>2*(IF(Rules!$B$9=Rules!$E$9,SUM(HSD!F11:F17)+Rules!$B$5*HSD!F18+HSD!F42+F49,SUM(HS!F11:F17)+Rules!$B$5*HS!F18+HS!F42+F49)/(9+Rules!$B$5))</f>
        <v>0.18459529646735304</v>
      </c>
      <c r="G36" s="1">
        <f>2*(IF(Rules!$B$9=Rules!$E$9,SUM(HSD!G11:G17)+Rules!$B$5*HSD!G18+HSD!G42+G49,SUM(HS!G11:G17)+Rules!$B$5*HS!G18+HS!G42+G49)/(9+Rules!$B$5))</f>
        <v>0.28706312489091801</v>
      </c>
      <c r="H36" s="1">
        <f>2*(IF(Rules!$B$9=Rules!$E$9,SUM(HSD!H11:H17)+Rules!$B$5*HSD!H18+HSD!H42+H49,SUM(HS!H11:H17)+Rules!$B$5*HS!H18+HS!H42+H49)/(9+Rules!$B$5))</f>
        <v>0.18370146494097755</v>
      </c>
      <c r="I36" s="1">
        <f>2*(IF(Rules!$B$9=Rules!$E$9,SUM(HSD!I11:I17)+Rules!$B$5*HSD!I18+HSD!I42+I49,SUM(HS!I11:I17)+Rules!$B$5*HS!I18+HS!I42+I49)/(9+Rules!$B$5))</f>
        <v>-0.14515433445503195</v>
      </c>
      <c r="J36" s="1">
        <f>2*(IF(Rules!$B$9=Rules!$E$9,SUM(HSD!J11:J17)+Rules!$B$5*HSD!J18+HSD!J42+J49,SUM(HS!J11:J17)+Rules!$B$5*HS!J18+HS!J42+J49)/(9+Rules!$B$5))</f>
        <v>-0.48997310412390777</v>
      </c>
      <c r="K36" s="9">
        <f>2*(IF(Rules!$B$9=Rules!$E$9,SUM(HSD!K11:K17)+Rules!$B$5*HSD!K18+HSD!K42+K49,SUM(HS!K11:K17)+Rules!$B$5*HS!K18+HS!K42+K49)/(9+Rules!$B$5))</f>
        <v>-0.56868703026889478</v>
      </c>
    </row>
    <row r="37" spans="1:11" x14ac:dyDescent="0.2">
      <c r="A37" s="99">
        <v>9</v>
      </c>
      <c r="B37" s="93">
        <f>2*(IF(Rules!$B$9=Rules!$E$9,SUM(HSD!B12:B18)+Rules!$B$5*HSD!B19+HSD!B43+B50,SUM(HS!B12:B18)+Rules!$B$5*HS!B19+HS!B43+B50)/(9+Rules!$B$5))</f>
        <v>-0.17357122520500348</v>
      </c>
      <c r="C37" s="1">
        <f>2*(IF(Rules!$B$9=Rules!$E$9,SUM(HSD!C12:C18)+Rules!$B$5*HSD!C19+HSD!C43+C50,SUM(HS!C12:C18)+Rules!$B$5*HS!C19+HS!C43+C50)/(9+Rules!$B$5))</f>
        <v>0.14062719446391592</v>
      </c>
      <c r="D37" s="1">
        <f>2*(IF(Rules!$B$9=Rules!$E$9,SUM(HSD!D12:D18)+Rules!$B$5*HSD!D19+HSD!D43+D50,SUM(HS!D12:D18)+Rules!$B$5*HS!D19+HS!D43+D50)/(9+Rules!$B$5))</f>
        <v>0.19973169628425091</v>
      </c>
      <c r="E37" s="1">
        <f>2*(IF(Rules!$B$9=Rules!$E$9,SUM(HSD!E12:E18)+Rules!$B$5*HSD!E19+HSD!E43+E50,SUM(HS!E12:E18)+Rules!$B$5*HS!E19+HS!E43+E50)/(9+Rules!$B$5))</f>
        <v>0.26080531131208023</v>
      </c>
      <c r="F37" s="1">
        <f>2*(IF(Rules!$B$9=Rules!$E$9,SUM(HSD!F12:F18)+Rules!$B$5*HSD!F19+HSD!F43+F50,SUM(HS!F12:F18)+Rules!$B$5*HS!F19+HS!F43+F50)/(9+Rules!$B$5))</f>
        <v>0.32467890382806186</v>
      </c>
      <c r="G37" s="1">
        <f>2*(IF(Rules!$B$9=Rules!$E$9,SUM(HSD!G12:G18)+Rules!$B$5*HSD!G19+HSD!G43+G50,SUM(HS!G12:G18)+Rules!$B$5*HS!G19+HS!G43+G50)/(9+Rules!$B$5))</f>
        <v>0.40891222642813879</v>
      </c>
      <c r="H37" s="1">
        <f>2*(IF(Rules!$B$9=Rules!$E$9,SUM(HSD!H12:H18)+Rules!$B$5*HSD!H19+HSD!H43+H50,SUM(HS!H12:H18)+Rules!$B$5*HS!H19+HS!H43+H50)/(9+Rules!$B$5))</f>
        <v>0.35571367714235691</v>
      </c>
      <c r="I37" s="1">
        <f>2*(IF(Rules!$B$9=Rules!$E$9,SUM(HSD!I12:I18)+Rules!$B$5*HSD!I19+HSD!I43+I50,SUM(HS!I12:I18)+Rules!$B$5*HS!I19+HS!I43+I50)/(9+Rules!$B$5))</f>
        <v>0.19449722368973132</v>
      </c>
      <c r="J37" s="1">
        <f>2*(IF(Rules!$B$9=Rules!$E$9,SUM(HSD!J12:J18)+Rules!$B$5*HSD!J19+HSD!J43+J50,SUM(HS!J12:J18)+Rules!$B$5*HS!J19+HS!J43+J50)/(9+Rules!$B$5))</f>
        <v>-0.14311254858862787</v>
      </c>
      <c r="K37" s="9">
        <f>2*(IF(Rules!$B$9=Rules!$E$9,SUM(HSD!K12:K18)+Rules!$B$5*HSD!K19+HSD!K43+K50,SUM(HS!K12:K18)+Rules!$B$5*HS!K19+HS!K43+K50)/(9+Rules!$B$5))</f>
        <v>-0.3699253024517255</v>
      </c>
    </row>
    <row r="38" spans="1:11" ht="17" thickBot="1" x14ac:dyDescent="0.25">
      <c r="A38" s="100">
        <v>10</v>
      </c>
      <c r="B38" s="94">
        <f>2*(IF(Rules!$B$9=Rules!$E$9,SUM(HSD!B13:B19)+Rules!$B$5*HSD!B20+HSD!B44+B51,SUM(HS!B13:B19)+Rules!$B$5*HS!B20+HS!B44+B51)/(9+Rules!$B$5))</f>
        <v>0.24189014763372588</v>
      </c>
      <c r="C38" s="111">
        <f>2*(IF(Rules!$B$9=Rules!$E$9,SUM(HSD!C13:C19)+Rules!$B$5*HSD!C20+HSD!C44+C51,SUM(HS!C13:C19)+Rules!$B$5*HS!C20+HS!C44+C51)/(9+Rules!$B$5))</f>
        <v>0.46013690709266325</v>
      </c>
      <c r="D38" s="111">
        <f>2*(IF(Rules!$B$9=Rules!$E$9,SUM(HSD!D13:D19)+Rules!$B$5*HSD!D20+HSD!D44+D51,SUM(HS!D13:D19)+Rules!$B$5*HS!D20+HS!D44+D51)/(9+Rules!$B$5))</f>
        <v>0.51154008261649231</v>
      </c>
      <c r="E38" s="111">
        <f>2*(IF(Rules!$B$9=Rules!$E$9,SUM(HSD!E13:E19)+Rules!$B$5*HSD!E20+HSD!E44+E51,SUM(HS!E13:E19)+Rules!$B$5*HS!E20+HS!E44+E51)/(9+Rules!$B$5))</f>
        <v>0.56432537499270297</v>
      </c>
      <c r="F38" s="111">
        <f>2*(IF(Rules!$B$9=Rules!$E$9,SUM(HSD!F13:F19)+Rules!$B$5*HSD!F20+HSD!F44+F51,SUM(HS!F13:F19)+Rules!$B$5*HS!F20+HS!F44+F51)/(9+Rules!$B$5))</f>
        <v>0.61708784282461282</v>
      </c>
      <c r="G38" s="111">
        <f>2*(IF(Rules!$B$9=Rules!$E$9,SUM(HSD!G13:G19)+Rules!$B$5*HSD!G20+HSD!G44+G51,SUM(HS!G13:G19)+Rules!$B$5*HS!G20+HS!G44+G51)/(9+Rules!$B$5))</f>
        <v>0.68778850466357977</v>
      </c>
      <c r="H38" s="111">
        <f>2*(IF(Rules!$B$9=Rules!$E$9,SUM(HSD!H13:H19)+Rules!$B$5*HSD!H20+HSD!H44+H51,SUM(HS!H13:H19)+Rules!$B$5*HS!H20+HS!H44+H51)/(9+Rules!$B$5))</f>
        <v>0.62561213531670967</v>
      </c>
      <c r="I38" s="111">
        <f>2*(IF(Rules!$B$9=Rules!$E$9,SUM(HSD!I13:I19)+Rules!$B$5*HSD!I20+HSD!I44+I51,SUM(HS!I13:I19)+Rules!$B$5*HS!I20+HS!I44+I51)/(9+Rules!$B$5))</f>
        <v>0.49859698923137341</v>
      </c>
      <c r="J38" s="111">
        <f>2*(IF(Rules!$B$9=Rules!$E$9,SUM(HSD!J13:J19)+Rules!$B$5*HSD!J20+HSD!J44+J51,SUM(HS!J13:J19)+Rules!$B$5*HS!J20+HS!J44+J51)/(9+Rules!$B$5))</f>
        <v>0.32122417640741452</v>
      </c>
      <c r="K38" s="10">
        <f>2*(IF(Rules!$B$9=Rules!$E$9,SUM(HSD!K13:K19)+Rules!$B$5*HSD!K20+HSD!K44+K51,SUM(HS!K13:K19)+Rules!$B$5*HS!K20+HS!K44+K51)/(9+Rules!$B$5))</f>
        <v>0.11702628284017082</v>
      </c>
    </row>
    <row r="39" spans="1:11" ht="17" thickBot="1" x14ac:dyDescent="0.25"/>
    <row r="40" spans="1:11" ht="17" thickBot="1" x14ac:dyDescent="0.25">
      <c r="A40" s="319" t="s">
        <v>78</v>
      </c>
      <c r="B40" s="320"/>
      <c r="C40" s="320"/>
      <c r="D40" s="320"/>
      <c r="E40" s="320"/>
      <c r="F40" s="320"/>
      <c r="G40" s="320"/>
      <c r="H40" s="320"/>
      <c r="I40" s="320"/>
      <c r="J40" s="320"/>
      <c r="K40" s="321"/>
    </row>
    <row r="41" spans="1:11" ht="17" thickBot="1" x14ac:dyDescent="0.25">
      <c r="A41" s="106" t="s">
        <v>7</v>
      </c>
      <c r="B41" s="119">
        <v>1</v>
      </c>
      <c r="C41" s="120">
        <v>2</v>
      </c>
      <c r="D41" s="120">
        <v>3</v>
      </c>
      <c r="E41" s="120">
        <v>4</v>
      </c>
      <c r="F41" s="120">
        <v>5</v>
      </c>
      <c r="G41" s="120">
        <v>6</v>
      </c>
      <c r="H41" s="120">
        <v>7</v>
      </c>
      <c r="I41" s="120">
        <v>8</v>
      </c>
      <c r="J41" s="120">
        <v>9</v>
      </c>
      <c r="K41" s="102">
        <v>10</v>
      </c>
    </row>
    <row r="42" spans="1:11" x14ac:dyDescent="0.2">
      <c r="A42" s="101">
        <v>1</v>
      </c>
      <c r="B42" s="109">
        <f>2*(IF(Rules!$B$12=Rules!$F$12,SUM(Stand!B35:B43)+Rules!$B$5*Stand!B44,SUM(HSD!B35:B43)+Rules!$B$5*HSD!B44)/(9+Rules!$B$5))</f>
        <v>0.10906077977909699</v>
      </c>
      <c r="C42" s="110">
        <f>2*(IF(Rules!$B$12=Rules!$F$12,SUM(Stand!C35:C43)+Rules!$B$5*Stand!C44,SUM(HSD!C35:C43)+Rules!$B$5*HSD!C44)/(9+Rules!$B$5))</f>
        <v>0.47064092333946894</v>
      </c>
      <c r="D42" s="110">
        <f>2*(IF(Rules!$B$12=Rules!$F$12,SUM(Stand!D35:D43)+Rules!$B$5*Stand!D44,SUM(HSD!D35:D43)+Rules!$B$5*HSD!D44)/(9+Rules!$B$5))</f>
        <v>0.51779525312221664</v>
      </c>
      <c r="E42" s="110">
        <f>2*(IF(Rules!$B$12=Rules!$F$12,SUM(Stand!E35:E43)+Rules!$B$5*Stand!E44,SUM(HSD!E35:E43)+Rules!$B$5*HSD!E44)/(9+Rules!$B$5))</f>
        <v>0.56604055041797596</v>
      </c>
      <c r="F42" s="110">
        <f>2*(IF(Rules!$B$12=Rules!$F$12,SUM(Stand!F35:F43)+Rules!$B$5*Stand!F44,SUM(HSD!F35:F43)+Rules!$B$5*HSD!F44)/(9+Rules!$B$5))</f>
        <v>0.61469901790902803</v>
      </c>
      <c r="G42" s="110">
        <f>2*(IF(Rules!$B$12=Rules!$F$12,SUM(Stand!G35:G43)+Rules!$B$5*Stand!G44,SUM(HSD!G35:G43)+Rules!$B$5*HSD!G44)/(9+Rules!$B$5))</f>
        <v>0.66738009490756944</v>
      </c>
      <c r="H42" s="110">
        <f>2*(IF(Rules!$B$12=Rules!$F$12,SUM(Stand!H35:H43)+Rules!$B$5*Stand!H44,SUM(HSD!H35:H43)+Rules!$B$5*HSD!H44)/(9+Rules!$B$5))</f>
        <v>0.46288894886429088</v>
      </c>
      <c r="I42" s="110">
        <f>2*(IF(Rules!$B$12=Rules!$F$12,SUM(Stand!I35:I43)+Rules!$B$5*Stand!I44,SUM(HSD!I35:I43)+Rules!$B$5*HSD!I44)/(9+Rules!$B$5))</f>
        <v>0.35069259087031512</v>
      </c>
      <c r="J42" s="110">
        <f>2*(IF(Rules!$B$12=Rules!$F$12,SUM(Stand!J35:J43)+Rules!$B$5*Stand!J44,SUM(HSD!J35:J43)+Rules!$B$5*HSD!J44)/(9+Rules!$B$5))</f>
        <v>0.22778342315245487</v>
      </c>
      <c r="K42" s="57">
        <f>2*(IF(Rules!$B$12=Rules!$F$12,SUM(Stand!K35:K43)+Rules!$B$5*Stand!K44,SUM(HSD!K35:K43)+Rules!$B$5*HSD!K44)/(9+Rules!$B$5))</f>
        <v>0.17968872741114625</v>
      </c>
    </row>
    <row r="43" spans="1:11" x14ac:dyDescent="0.2">
      <c r="A43" s="99">
        <v>2</v>
      </c>
      <c r="B43" s="93">
        <f>2*(IF(Rules!$B$9=Rules!$E$9,SUM(HSD!B4:B11)+Rules!$B$5*HSD!B12+HSD!B36,SUM(HS!B4:B11)+Rules!$B$5*HS!B12+HS!B36)/(9+Rules!$B$5))</f>
        <v>-0.40670736629778753</v>
      </c>
      <c r="C43" s="1">
        <f>2*(IF(Rules!$B$9=Rules!$E$9,SUM(HSD!C4:C11)+Rules!$B$5*HSD!C12+HSD!C36,SUM(HS!C4:C11)+Rules!$B$5*HS!C12+HS!C36)/(9+Rules!$B$5))</f>
        <v>-8.8887240897114625E-2</v>
      </c>
      <c r="D43" s="1">
        <f>2*(IF(Rules!$B$9=Rules!$E$9,SUM(HSD!D4:D11)+Rules!$B$5*HSD!D12+HSD!D36,SUM(HS!D4:D11)+Rules!$B$5*HS!D12+HS!D36)/(9+Rules!$B$5))</f>
        <v>-2.561613047924638E-2</v>
      </c>
      <c r="E43" s="1">
        <f>2*(IF(Rules!$B$9=Rules!$E$9,SUM(HSD!E4:E11)+Rules!$B$5*HSD!E12+HSD!E36,SUM(HS!E4:E11)+Rules!$B$5*HS!E12+HS!E36)/(9+Rules!$B$5))</f>
        <v>4.2946629568768907E-2</v>
      </c>
      <c r="F43" s="1">
        <f>2*(IF(Rules!$B$9=Rules!$E$9,SUM(HSD!F4:F11)+Rules!$B$5*HSD!F12+HSD!F36,SUM(HS!F4:F11)+Rules!$B$5*HS!F12+HS!F36)/(9+Rules!$B$5))</f>
        <v>0.12724982334843896</v>
      </c>
      <c r="G43" s="1">
        <f>2*(IF(Rules!$B$9=Rules!$E$9,SUM(HSD!G4:G11)+Rules!$B$5*HSD!G12+HSD!G36,SUM(HS!G4:G11)+Rules!$B$5*HS!G12+HS!G36)/(9+Rules!$B$5))</f>
        <v>0.19477859816579254</v>
      </c>
      <c r="H43" s="1">
        <f>2*(IF(Rules!$B$9=Rules!$E$9,SUM(HSD!H4:H11)+Rules!$B$5*HSD!H12+HSD!H36,SUM(HS!H4:H11)+Rules!$B$5*HS!H12+HS!H36)/(9+Rules!$B$5))</f>
        <v>-7.3993244927046805E-3</v>
      </c>
      <c r="I43" s="1">
        <f>2*(IF(Rules!$B$9=Rules!$E$9,SUM(HSD!I4:I11)+Rules!$B$5*HSD!I12+HSD!I36,SUM(HS!I4:I11)+Rules!$B$5*HS!I12+HS!I36)/(9+Rules!$B$5))</f>
        <v>-0.17410923184246513</v>
      </c>
      <c r="J43" s="1">
        <f>2*(IF(Rules!$B$9=Rules!$E$9,SUM(HSD!J4:J11)+Rules!$B$5*HSD!J12+HSD!J36,SUM(HS!J4:J11)+Rules!$B$5*HS!J12+HS!J36)/(9+Rules!$B$5))</f>
        <v>-0.36512119656719888</v>
      </c>
      <c r="K43" s="9">
        <f>2*(IF(Rules!$B$9=Rules!$E$9,SUM(HSD!K4:K11)+Rules!$B$5*HSD!K12+HSD!K36,SUM(HS!K4:K11)+Rules!$B$5*HS!K12+HS!K36)/(9+Rules!$B$5))</f>
        <v>-0.47473352836952315</v>
      </c>
    </row>
    <row r="44" spans="1:11" x14ac:dyDescent="0.2">
      <c r="A44" s="99">
        <v>3</v>
      </c>
      <c r="B44" s="93">
        <f>2*(IF(Rules!$B$9=Rules!$E$9,SUM(HSD!B5:B12)+Rules!$B$5*HSD!B13+HSD!B37,SUM(HS!B5:B12)+Rules!$B$5*HS!B13+HS!B37)/(9+Rules!$B$5))</f>
        <v>-0.45587498581610703</v>
      </c>
      <c r="C44" s="1">
        <f>2*(IF(Rules!$B$9=Rules!$E$9,SUM(HSD!C5:C12)+Rules!$B$5*HSD!C13+HSD!C37,SUM(HS!C5:C12)+Rules!$B$5*HS!C13+HS!C37)/(9+Rules!$B$5))</f>
        <v>-0.13816353305492138</v>
      </c>
      <c r="D44" s="1">
        <f>2*(IF(Rules!$B$9=Rules!$E$9,SUM(HSD!D5:D12)+Rules!$B$5*HSD!D13+HSD!D37,SUM(HS!D5:D12)+Rules!$B$5*HS!D13+HS!D37)/(9+Rules!$B$5))</f>
        <v>-6.3866434744217312E-2</v>
      </c>
      <c r="E44" s="1">
        <f>2*(IF(Rules!$B$9=Rules!$E$9,SUM(HSD!E5:E12)+Rules!$B$5*HSD!E13+HSD!E37,SUM(HS!E5:E12)+Rules!$B$5*HS!E13+HS!E37)/(9+Rules!$B$5))</f>
        <v>1.4624872422626991E-2</v>
      </c>
      <c r="F44" s="1">
        <f>2*(IF(Rules!$B$9=Rules!$E$9,SUM(HSD!F5:F12)+Rules!$B$5*HSD!F13+HSD!F37,SUM(HS!F5:F12)+Rules!$B$5*HS!F13+HS!F37)/(9+Rules!$B$5))</f>
        <v>0.10229274834073326</v>
      </c>
      <c r="G44" s="1">
        <f>2*(IF(Rules!$B$9=Rules!$E$9,SUM(HSD!G5:G12)+Rules!$B$5*HSD!G13+HSD!G37,SUM(HS!G5:G12)+Rules!$B$5*HS!G13+HS!G37)/(9+Rules!$B$5))</f>
        <v>0.16942022384102573</v>
      </c>
      <c r="H44" s="1">
        <f>2*(IF(Rules!$B$9=Rules!$E$9,SUM(HSD!H5:H12)+Rules!$B$5*HSD!H13+HSD!H37,SUM(HS!H5:H12)+Rules!$B$5*HS!H13+HS!H37)/(9+Rules!$B$5))</f>
        <v>-6.7760458821693514E-2</v>
      </c>
      <c r="I44" s="1">
        <f>2*(IF(Rules!$B$9=Rules!$E$9,SUM(HSD!I5:I12)+Rules!$B$5*HSD!I13+HSD!I37,SUM(HS!I5:I12)+Rules!$B$5*HS!I13+HS!I37)/(9+Rules!$B$5))</f>
        <v>-0.22966953759261269</v>
      </c>
      <c r="J44" s="1">
        <f>2*(IF(Rules!$B$9=Rules!$E$9,SUM(HSD!J5:J12)+Rules!$B$5*HSD!J13+HSD!J37,SUM(HS!J5:J12)+Rules!$B$5*HS!J13+HS!J37)/(9+Rules!$B$5))</f>
        <v>-0.41518015608743064</v>
      </c>
      <c r="K44" s="9">
        <f>2*(IF(Rules!$B$9=Rules!$E$9,SUM(HSD!K5:K12)+Rules!$B$5*HSD!K13+HSD!K37,SUM(HS!K5:K12)+Rules!$B$5*HS!K13+HS!K37)/(9+Rules!$B$5))</f>
        <v>-0.52139589164919231</v>
      </c>
    </row>
    <row r="45" spans="1:11" x14ac:dyDescent="0.2">
      <c r="A45" s="99">
        <v>4</v>
      </c>
      <c r="B45" s="93">
        <f>2*(IF(Rules!$B$9=Rules!$E$9,SUM(HSD!B6:B13)+Rules!$B$5*HSD!B14+HSD!B38,SUM(HS!B6:B13)+Rules!$B$5*HS!B14+HS!B38)/(9+Rules!$B$5))</f>
        <v>-0.50615398880781726</v>
      </c>
      <c r="C45" s="1">
        <f>2*(IF(Rules!$B$9=Rules!$E$9,SUM(HSD!C6:C13)+Rules!$B$5*HSD!C14+HSD!C38,SUM(HS!C6:C13)+Rules!$B$5*HS!C14+HS!C38)/(9+Rules!$B$5))</f>
        <v>-0.16694517949705912</v>
      </c>
      <c r="D45" s="1">
        <f>2*(IF(Rules!$B$9=Rules!$E$9,SUM(HSD!D6:D13)+Rules!$B$5*HSD!D14+HSD!D38,SUM(HS!D6:D13)+Rules!$B$5*HS!D14+HS!D38)/(9+Rules!$B$5))</f>
        <v>-9.1341346785911021E-2</v>
      </c>
      <c r="E45" s="1">
        <f>2*(IF(Rules!$B$9=Rules!$E$9,SUM(HSD!E6:E13)+Rules!$B$5*HSD!E14+HSD!E38,SUM(HS!E6:E13)+Rules!$B$5*HS!E14+HS!E38)/(9+Rules!$B$5))</f>
        <v>-1.1587386373396152E-2</v>
      </c>
      <c r="F45" s="1">
        <f>2*(IF(Rules!$B$9=Rules!$E$9,SUM(HSD!F6:F13)+Rules!$B$5*HSD!F14+HSD!F38,SUM(HS!F6:F13)+Rules!$B$5*HS!F14+HS!F38)/(9+Rules!$B$5))</f>
        <v>8.0259872887869343E-2</v>
      </c>
      <c r="G45" s="1">
        <f>2*(IF(Rules!$B$9=Rules!$E$9,SUM(HSD!G6:G13)+Rules!$B$5*HSD!G14+HSD!G38,SUM(HS!G6:G13)+Rules!$B$5*HS!G14+HS!G38)/(9+Rules!$B$5))</f>
        <v>0.14595673491924663</v>
      </c>
      <c r="H45" s="1">
        <f>2*(IF(Rules!$B$9=Rules!$E$9,SUM(HSD!H6:H13)+Rules!$B$5*HSD!H14+HSD!H38,SUM(HS!H6:H13)+Rules!$B$5*HS!H14+HS!H38)/(9+Rules!$B$5))</f>
        <v>-0.12944368385790758</v>
      </c>
      <c r="I45" s="1">
        <f>2*(IF(Rules!$B$9=Rules!$E$9,SUM(HSD!I6:I13)+Rules!$B$5*HSD!I14+HSD!I38,SUM(HS!I6:I13)+Rules!$B$5*HS!I14+HS!I38)/(9+Rules!$B$5))</f>
        <v>-0.28645408161262087</v>
      </c>
      <c r="J45" s="1">
        <f>2*(IF(Rules!$B$9=Rules!$E$9,SUM(HSD!J6:J13)+Rules!$B$5*HSD!J14+HSD!J38,SUM(HS!J6:J13)+Rules!$B$5*HS!J14+HS!J38)/(9+Rules!$B$5))</f>
        <v>-0.46635926876691297</v>
      </c>
      <c r="K45" s="9">
        <f>2*(IF(Rules!$B$9=Rules!$E$9,SUM(HSD!K6:K13)+Rules!$B$5*HSD!K14+HSD!K38,SUM(HS!K6:K13)+Rules!$B$5*HS!K14+HS!K38)/(9+Rules!$B$5))</f>
        <v>-0.5691332910255914</v>
      </c>
    </row>
    <row r="46" spans="1:11" x14ac:dyDescent="0.2">
      <c r="A46" s="99">
        <v>5</v>
      </c>
      <c r="B46" s="93">
        <f>2*(IF(Rules!$B$9=Rules!$E$9,SUM(HSD!B7:B14)+Rules!$B$5*HSD!B15+HSD!B39,SUM(HS!B7:B14)+Rules!$B$5*HS!B15+HS!B39)/(9+Rules!$B$5))</f>
        <v>-0.55714919510363936</v>
      </c>
      <c r="C46" s="1">
        <f>2*(IF(Rules!$B$9=Rules!$E$9,SUM(HSD!C7:C14)+Rules!$B$5*HSD!C15+HSD!C39,SUM(HS!C7:C14)+Rules!$B$5*HS!C15+HS!C39)/(9+Rules!$B$5))</f>
        <v>-0.19354965838671134</v>
      </c>
      <c r="D46" s="1">
        <f>2*(IF(Rules!$B$9=Rules!$E$9,SUM(HSD!D7:D14)+Rules!$B$5*HSD!D15+HSD!D39,SUM(HS!D7:D14)+Rules!$B$5*HS!D15+HS!D39)/(9+Rules!$B$5))</f>
        <v>-0.11673517270940206</v>
      </c>
      <c r="E46" s="1">
        <f>2*(IF(Rules!$B$9=Rules!$E$9,SUM(HSD!E7:E14)+Rules!$B$5*HSD!E15+HSD!E39,SUM(HS!E7:E14)+Rules!$B$5*HS!E15+HS!E39)/(9+Rules!$B$5))</f>
        <v>-3.2972744105082649E-2</v>
      </c>
      <c r="F46" s="1">
        <f>2*(IF(Rules!$B$9=Rules!$E$9,SUM(HSD!F7:F14)+Rules!$B$5*HSD!F15+HSD!F39,SUM(HS!F7:F14)+Rules!$B$5*HS!F15+HS!F39)/(9+Rules!$B$5))</f>
        <v>5.9909613271658099E-2</v>
      </c>
      <c r="G46" s="1">
        <f>2*(IF(Rules!$B$9=Rules!$E$9,SUM(HSD!G7:G14)+Rules!$B$5*HSD!G15+HSD!G39,SUM(HS!G7:G14)+Rules!$B$5*HS!G15+HS!G39)/(9+Rules!$B$5))</f>
        <v>0.12431163025768811</v>
      </c>
      <c r="H46" s="1">
        <f>2*(IF(Rules!$B$9=Rules!$E$9,SUM(HSD!H7:H14)+Rules!$B$5*HSD!H15+HSD!H39,SUM(HS!H7:H14)+Rules!$B$5*HS!H15+HS!H39)/(9+Rules!$B$5))</f>
        <v>-0.19178016550927721</v>
      </c>
      <c r="I46" s="1">
        <f>2*(IF(Rules!$B$9=Rules!$E$9,SUM(HSD!I7:I14)+Rules!$B$5*HSD!I15+HSD!I39,SUM(HS!I7:I14)+Rules!$B$5*HS!I15+HS!I39)/(9+Rules!$B$5))</f>
        <v>-0.34397238409858105</v>
      </c>
      <c r="J46" s="1">
        <f>2*(IF(Rules!$B$9=Rules!$E$9,SUM(HSD!J7:J14)+Rules!$B$5*HSD!J15+HSD!J39,SUM(HS!J7:J14)+Rules!$B$5*HS!J15+HS!J39)/(9+Rules!$B$5))</f>
        <v>-0.51825701717610007</v>
      </c>
      <c r="K46" s="9">
        <f>2*(IF(Rules!$B$9=Rules!$E$9,SUM(HSD!K7:K14)+Rules!$B$5*HSD!K15+HSD!K39,SUM(HS!K7:K14)+Rules!$B$5*HS!K15+HS!K39)/(9+Rules!$B$5))</f>
        <v>-0.61756074878418332</v>
      </c>
    </row>
    <row r="47" spans="1:11" x14ac:dyDescent="0.2">
      <c r="A47" s="99">
        <v>6</v>
      </c>
      <c r="B47" s="93">
        <f>2*(IF(Rules!$B$9=Rules!$E$9,SUM(HSD!B8:B15)+Rules!$B$5*HSD!B16+HSD!B40,SUM(HS!B8:B15)+Rules!$B$5*HS!B16+HS!B40)/(9+Rules!$B$5))</f>
        <v>-0.60829326195139866</v>
      </c>
      <c r="C47" s="1">
        <f>2*(IF(Rules!$B$9=Rules!$E$9,SUM(HSD!C8:C15)+Rules!$B$5*HSD!C16+HSD!C40,SUM(HS!C8:C15)+Rules!$B$5*HS!C16+HS!C40)/(9+Rules!$B$5))</f>
        <v>-0.21863675917925621</v>
      </c>
      <c r="D47" s="1">
        <f>2*(IF(Rules!$B$9=Rules!$E$9,SUM(HSD!D8:D15)+Rules!$B$5*HSD!D16+HSD!D40,SUM(HS!D8:D15)+Rules!$B$5*HS!D16+HS!D40)/(9+Rules!$B$5))</f>
        <v>-0.13667841243230397</v>
      </c>
      <c r="E47" s="1">
        <f>2*(IF(Rules!$B$9=Rules!$E$9,SUM(HSD!E8:E15)+Rules!$B$5*HSD!E16+HSD!E40,SUM(HS!E8:E15)+Rules!$B$5*HS!E16+HS!E40)/(9+Rules!$B$5))</f>
        <v>-4.9559710729696275E-2</v>
      </c>
      <c r="F47" s="1">
        <f>2*(IF(Rules!$B$9=Rules!$E$9,SUM(HSD!F8:F15)+Rules!$B$5*HSD!F16+HSD!F40,SUM(HS!F8:F15)+Rules!$B$5*HS!F16+HS!F40)/(9+Rules!$B$5))</f>
        <v>4.3986900993555816E-2</v>
      </c>
      <c r="G47" s="1">
        <f>2*(IF(Rules!$B$9=Rules!$E$9,SUM(HSD!G8:G15)+Rules!$B$5*HSD!G16+HSD!G40,SUM(HS!G8:G15)+Rules!$B$5*HS!G16+HS!G40)/(9+Rules!$B$5))</f>
        <v>0.10792266460833698</v>
      </c>
      <c r="H47" s="1">
        <f>2*(IF(Rules!$B$9=Rules!$E$9,SUM(HSD!H8:H15)+Rules!$B$5*HSD!H16+HSD!H40,SUM(HS!H8:H15)+Rules!$B$5*HS!H16+HS!H40)/(9+Rules!$B$5))</f>
        <v>-0.25675069621437913</v>
      </c>
      <c r="I47" s="1">
        <f>2*(IF(Rules!$B$9=Rules!$E$9,SUM(HSD!I8:I15)+Rules!$B$5*HSD!I16+HSD!I40,SUM(HS!I8:I15)+Rules!$B$5*HS!I16+HS!I40)/(9+Rules!$B$5))</f>
        <v>-0.40226953893378015</v>
      </c>
      <c r="J47" s="1">
        <f>2*(IF(Rules!$B$9=Rules!$E$9,SUM(HSD!J8:J15)+Rules!$B$5*HSD!J16+HSD!J40,SUM(HS!J8:J15)+Rules!$B$5*HS!J16+HS!J40)/(9+Rules!$B$5))</f>
        <v>-0.57030831085563405</v>
      </c>
      <c r="K47" s="9">
        <f>2*(IF(Rules!$B$9=Rules!$E$9,SUM(HSD!K8:K15)+Rules!$B$5*HSD!K16+HSD!K40,SUM(HS!K8:K15)+Rules!$B$5*HS!K16+HS!K40)/(9+Rules!$B$5))</f>
        <v>-0.66623634281105726</v>
      </c>
    </row>
    <row r="48" spans="1:11" x14ac:dyDescent="0.2">
      <c r="A48" s="99">
        <v>7</v>
      </c>
      <c r="B48" s="93">
        <f>2*(IF(Rules!$B$9=Rules!$E$9,SUM(HSD!B9:B16)+Rules!$B$5*HSD!B17+HSD!B41,SUM(HS!B9:B16)+Rules!$B$5*HS!B17+HS!B41)/(9+Rules!$B$5))</f>
        <v>-0.62014330066327394</v>
      </c>
      <c r="C48" s="1">
        <f>2*(IF(Rules!$B$9=Rules!$E$9,SUM(HSD!C9:C16)+Rules!$B$5*HSD!C17+HSD!C41,SUM(HS!C9:C16)+Rules!$B$5*HS!C17+HS!C41)/(9+Rules!$B$5))</f>
        <v>-0.1554853799924491</v>
      </c>
      <c r="D48" s="1">
        <f>2*(IF(Rules!$B$9=Rules!$E$9,SUM(HSD!D9:D16)+Rules!$B$5*HSD!D17+HSD!D41,SUM(HS!D9:D16)+Rules!$B$5*HS!D17+HS!D41)/(9+Rules!$B$5))</f>
        <v>-7.4766650789560851E-2</v>
      </c>
      <c r="E48" s="1">
        <f>2*(IF(Rules!$B$9=Rules!$E$9,SUM(HSD!E9:E16)+Rules!$B$5*HSD!E17+HSD!E41,SUM(HS!E9:E16)+Rules!$B$5*HS!E17+HS!E41)/(9+Rules!$B$5))</f>
        <v>1.0511467456082583E-2</v>
      </c>
      <c r="F48" s="1">
        <f>2*(IF(Rules!$B$9=Rules!$E$9,SUM(HSD!F9:F16)+Rules!$B$5*HSD!F17+HSD!F41,SUM(HS!F9:F16)+Rules!$B$5*HS!F17+HS!F41)/(9+Rules!$B$5))</f>
        <v>9.9964621687930175E-2</v>
      </c>
      <c r="G48" s="1">
        <f>2*(IF(Rules!$B$9=Rules!$E$9,SUM(HSD!G9:G16)+Rules!$B$5*HSD!G17+HSD!G41,SUM(HS!G9:G16)+Rules!$B$5*HS!G17+HS!G41)/(9+Rules!$B$5))</f>
        <v>0.18769123920448363</v>
      </c>
      <c r="H48" s="1">
        <f>2*(IF(Rules!$B$9=Rules!$E$9,SUM(HSD!H9:H16)+Rules!$B$5*HSD!H17+HSD!H41,SUM(HS!H9:H16)+Rules!$B$5*HS!H17+HS!H41)/(9+Rules!$B$5))</f>
        <v>-9.0500880901835723E-2</v>
      </c>
      <c r="I48" s="1">
        <f>2*(IF(Rules!$B$9=Rules!$E$9,SUM(HSD!I9:I16)+Rules!$B$5*HSD!I17+HSD!I41,SUM(HS!I9:I16)+Rules!$B$5*HS!I17+HS!I41)/(9+Rules!$B$5))</f>
        <v>-0.38899531374091001</v>
      </c>
      <c r="J48" s="1">
        <f>2*(IF(Rules!$B$9=Rules!$E$9,SUM(HSD!J9:J16)+Rules!$B$5*HSD!J17+HSD!J41,SUM(HS!J9:J16)+Rules!$B$5*HS!J17+HS!J41)/(9+Rules!$B$5))</f>
        <v>-0.55575779143393522</v>
      </c>
      <c r="K48" s="9">
        <f>2*(IF(Rules!$B$9=Rules!$E$9,SUM(HSD!K9:K16)+Rules!$B$5*HSD!K17+HSD!K41,SUM(HS!K9:K16)+Rules!$B$5*HS!K17+HS!K41)/(9+Rules!$B$5))</f>
        <v>-0.62884704485091814</v>
      </c>
    </row>
    <row r="49" spans="1:11" x14ac:dyDescent="0.2">
      <c r="A49" s="99">
        <v>8</v>
      </c>
      <c r="B49" s="93">
        <f>2*(IF(Rules!$B$9=Rules!$E$9,SUM(HSD!B10:B17)+Rules!$B$5*HSD!B18+HSD!B42,SUM(HS!B10:B17)+Rules!$B$5*HS!B18+HS!B42)/(9+Rules!$B$5))</f>
        <v>-0.39405762114832721</v>
      </c>
      <c r="C49" s="1">
        <f>2*(IF(Rules!$B$9=Rules!$E$9,SUM(HSD!C10:C17)+Rules!$B$5*HSD!C18+HSD!C42,SUM(HS!C10:C17)+Rules!$B$5*HS!C18+HS!C42)/(9+Rules!$B$5))</f>
        <v>1.9285099723172237E-2</v>
      </c>
      <c r="D49" s="1">
        <f>2*(IF(Rules!$B$9=Rules!$E$9,SUM(HSD!D10:D17)+Rules!$B$5*HSD!D18+HSD!D42,SUM(HS!D10:D17)+Rules!$B$5*HS!D18+HS!D42)/(9+Rules!$B$5))</f>
        <v>8.688786047625327E-2</v>
      </c>
      <c r="E49" s="1">
        <f>2*(IF(Rules!$B$9=Rules!$E$9,SUM(HSD!E10:E17)+Rules!$B$5*HSD!E18+HSD!E42,SUM(HS!E10:E17)+Rules!$B$5*HS!E18+HS!E42)/(9+Rules!$B$5))</f>
        <v>0.15656746918613532</v>
      </c>
      <c r="F49" s="1">
        <f>2*(IF(Rules!$B$9=Rules!$E$9,SUM(HSD!F10:F17)+Rules!$B$5*HSD!F18+HSD!F42,SUM(HS!F10:F17)+Rules!$B$5*HS!F18+HS!F42)/(9+Rules!$B$5))</f>
        <v>0.22831820480547502</v>
      </c>
      <c r="G49" s="1">
        <f>2*(IF(Rules!$B$9=Rules!$E$9,SUM(HSD!G10:G17)+Rules!$B$5*HSD!G18+HSD!G42,SUM(HS!G10:G17)+Rules!$B$5*HS!G18+HS!G42)/(9+Rules!$B$5))</f>
        <v>0.32553339738516479</v>
      </c>
      <c r="H49" s="1">
        <f>2*(IF(Rules!$B$9=Rules!$E$9,SUM(HSD!H10:H17)+Rules!$B$5*HSD!H18+HSD!H42,SUM(HS!H10:H17)+Rules!$B$5*HS!H18+HS!H42)/(9+Rules!$B$5))</f>
        <v>0.21152959698650559</v>
      </c>
      <c r="I49" s="1">
        <f>2*(IF(Rules!$B$9=Rules!$E$9,SUM(HSD!I10:I17)+Rules!$B$5*HSD!I18+HSD!I42,SUM(HS!I10:I17)+Rules!$B$5*HS!I18+HS!I42)/(9+Rules!$B$5))</f>
        <v>-8.7582327609523197E-2</v>
      </c>
      <c r="J49" s="1">
        <f>2*(IF(Rules!$B$9=Rules!$E$9,SUM(HSD!J10:J17)+Rules!$B$5*HSD!J18+HSD!J42,SUM(HS!J10:J17)+Rules!$B$5*HS!J18+HS!J42)/(9+Rules!$B$5))</f>
        <v>-0.40539957445661723</v>
      </c>
      <c r="K49" s="9">
        <f>2*(IF(Rules!$B$9=Rules!$E$9,SUM(HSD!K10:K17)+Rules!$B$5*HSD!K18+HSD!K42,SUM(HS!K10:K17)+Rules!$B$5*HS!K18+HS!K42)/(9+Rules!$B$5))</f>
        <v>-0.48948762316092631</v>
      </c>
    </row>
    <row r="50" spans="1:11" x14ac:dyDescent="0.2">
      <c r="A50" s="99">
        <v>9</v>
      </c>
      <c r="B50" s="93">
        <f>2*(IF(Rules!$B$9=Rules!$E$9,SUM(HSD!B11:B18)+Rules!$B$5*HSD!B19+HSD!B43,SUM(HS!B11:B18)+Rules!$B$5*HS!B19+HS!B43)/(9+Rules!$B$5))</f>
        <v>-0.13136155755613241</v>
      </c>
      <c r="C50" s="1">
        <f>2*(IF(Rules!$B$9=Rules!$E$9,SUM(HSD!C11:C18)+Rules!$B$5*HSD!C19+HSD!C43,SUM(HS!C11:C18)+Rules!$B$5*HS!C19+HS!C43)/(9+Rules!$B$5))</f>
        <v>0.18462902498065631</v>
      </c>
      <c r="D50" s="1">
        <f>2*(IF(Rules!$B$9=Rules!$E$9,SUM(HSD!D11:D18)+Rules!$B$5*HSD!D19+HSD!D43,SUM(HS!D11:D18)+Rules!$B$5*HS!D19+HS!D43)/(9+Rules!$B$5))</f>
        <v>0.24214017052931303</v>
      </c>
      <c r="E50" s="1">
        <f>2*(IF(Rules!$B$9=Rules!$E$9,SUM(HSD!E11:E18)+Rules!$B$5*HSD!E19+HSD!E43,SUM(HS!E11:E18)+Rules!$B$5*HS!E19+HS!E43)/(9+Rules!$B$5))</f>
        <v>0.30150334319286637</v>
      </c>
      <c r="F50" s="1">
        <f>2*(IF(Rules!$B$9=Rules!$E$9,SUM(HSD!F11:F18)+Rules!$B$5*HSD!F19+HSD!F43,SUM(HS!F11:F18)+Rules!$B$5*HS!F19+HS!F43)/(9+Rules!$B$5))</f>
        <v>0.36334825237219065</v>
      </c>
      <c r="G50" s="1">
        <f>2*(IF(Rules!$B$9=Rules!$E$9,SUM(HSD!G11:G18)+Rules!$B$5*HSD!G19+HSD!G43,SUM(HS!G11:G18)+Rules!$B$5*HS!G19+HS!G43)/(9+Rules!$B$5))</f>
        <v>0.44337460889206287</v>
      </c>
      <c r="H50" s="1">
        <f>2*(IF(Rules!$B$9=Rules!$E$9,SUM(HSD!H11:H18)+Rules!$B$5*HSD!H19+HSD!H43,SUM(HS!H11:H18)+Rules!$B$5*HS!H19+HS!H43)/(9+Rules!$B$5))</f>
        <v>0.37000371337194804</v>
      </c>
      <c r="I50" s="1">
        <f>2*(IF(Rules!$B$9=Rules!$E$9,SUM(HSD!I11:I18)+Rules!$B$5*HSD!I19+HSD!I43,SUM(HS!I11:I18)+Rules!$B$5*HS!I19+HS!I43)/(9+Rules!$B$5))</f>
        <v>0.21532327264714252</v>
      </c>
      <c r="J50" s="1">
        <f>2*(IF(Rules!$B$9=Rules!$E$9,SUM(HSD!J11:J18)+Rules!$B$5*HSD!J19+HSD!J43,SUM(HS!J11:J18)+Rules!$B$5*HS!J19+HS!J43)/(9+Rules!$B$5))</f>
        <v>-9.3659752356483508E-2</v>
      </c>
      <c r="K50" s="9">
        <f>2*(IF(Rules!$B$9=Rules!$E$9,SUM(HSD!K11:K18)+Rules!$B$5*HSD!K19+HSD!K43,SUM(HS!K11:K18)+Rules!$B$5*HS!K19+HS!K43)/(9+Rules!$B$5))</f>
        <v>-0.29664343180334263</v>
      </c>
    </row>
    <row r="51" spans="1:11" ht="17" thickBot="1" x14ac:dyDescent="0.25">
      <c r="A51" s="100">
        <v>10</v>
      </c>
      <c r="B51" s="94">
        <f>2*(IF(Rules!$B$9=Rules!$E$9,SUM(HSD!B12:B19)+Rules!$B$5*HSD!B20+HSD!B44,SUM(HS!B12:B19)+Rules!$B$5*HS!B20+HS!B44)/(9+Rules!$B$5))</f>
        <v>0.16289941589055185</v>
      </c>
      <c r="C51" s="111">
        <f>2*(IF(Rules!$B$9=Rules!$E$9,SUM(HSD!C12:C19)+Rules!$B$5*HSD!C20+HSD!C44,SUM(HS!C12:C19)+Rules!$B$5*HS!C20+HS!C44)/(9+Rules!$B$5))</f>
        <v>0.36499998801808975</v>
      </c>
      <c r="D51" s="111">
        <f>2*(IF(Rules!$B$9=Rules!$E$9,SUM(HSD!D12:D19)+Rules!$B$5*HSD!D20+HSD!D44,SUM(HS!D12:D19)+Rules!$B$5*HS!D20+HS!D44)/(9+Rules!$B$5))</f>
        <v>0.41217595162788179</v>
      </c>
      <c r="E51" s="111">
        <f>2*(IF(Rules!$B$9=Rules!$E$9,SUM(HSD!E12:E19)+Rules!$B$5*HSD!E20+HSD!E44,SUM(HS!E12:E19)+Rules!$B$5*HS!E20+HS!E44)/(9+Rules!$B$5))</f>
        <v>0.460940243794354</v>
      </c>
      <c r="F51" s="111">
        <f>2*(IF(Rules!$B$9=Rules!$E$9,SUM(HSD!F12:F19)+Rules!$B$5*HSD!F20+HSD!F44,SUM(HS!F12:F19)+Rules!$B$5*HS!F20+HS!F44)/(9+Rules!$B$5))</f>
        <v>0.51251710900326775</v>
      </c>
      <c r="G51" s="111">
        <f>2*(IF(Rules!$B$9=Rules!$E$9,SUM(HSD!G12:G19)+Rules!$B$5*HSD!G20+HSD!G44,SUM(HS!G12:G19)+Rules!$B$5*HS!G20+HS!G44)/(9+Rules!$B$5))</f>
        <v>0.57559016859776857</v>
      </c>
      <c r="H51" s="111">
        <f>2*(IF(Rules!$B$9=Rules!$E$9,SUM(HSD!H12:H19)+Rules!$B$5*HSD!H20+HSD!H44,SUM(HS!H12:H19)+Rules!$B$5*HS!H20+HS!H44)/(9+Rules!$B$5))</f>
        <v>0.51381748867217314</v>
      </c>
      <c r="I51" s="111">
        <f>2*(IF(Rules!$B$9=Rules!$E$9,SUM(HSD!I12:I19)+Rules!$B$5*HSD!I20+HSD!I44,SUM(HS!I12:I19)+Rules!$B$5*HS!I20+HS!I44)/(9+Rules!$B$5))</f>
        <v>0.39590741666395218</v>
      </c>
      <c r="J51" s="111">
        <f>2*(IF(Rules!$B$9=Rules!$E$9,SUM(HSD!J12:J19)+Rules!$B$5*HSD!J20+HSD!J44,SUM(HS!J12:J19)+Rules!$B$5*HS!J20+HS!J44)/(9+Rules!$B$5))</f>
        <v>0.2330591821385678</v>
      </c>
      <c r="K51" s="10">
        <f>2*(IF(Rules!$B$9=Rules!$E$9,SUM(HSD!K12:K19)+Rules!$B$5*HSD!K20+HSD!K44,SUM(HS!K12:K19)+Rules!$B$5*HS!K20+HS!K44)/(9+Rules!$B$5))</f>
        <v>5.061704608173629E-2</v>
      </c>
    </row>
    <row r="53" spans="1:11" x14ac:dyDescent="0.2">
      <c r="A53" s="1" t="s">
        <v>7</v>
      </c>
      <c r="B53" s="1">
        <v>1</v>
      </c>
      <c r="C53" s="1">
        <v>2</v>
      </c>
      <c r="D53" s="1">
        <v>3</v>
      </c>
      <c r="E53" s="1">
        <v>4</v>
      </c>
      <c r="F53" s="1">
        <v>5</v>
      </c>
      <c r="G53" s="1">
        <v>6</v>
      </c>
      <c r="H53" s="1">
        <v>7</v>
      </c>
      <c r="I53" s="1">
        <v>8</v>
      </c>
      <c r="J53" s="1">
        <v>9</v>
      </c>
      <c r="K53" s="1">
        <v>10</v>
      </c>
    </row>
    <row r="54" spans="1:11" x14ac:dyDescent="0.2">
      <c r="A54" s="1">
        <v>1</v>
      </c>
      <c r="B54" s="1">
        <f>MAX(IF(Rules!$B$17=2,B42,IF(Rules!$B$17=3,B29,IF(Rules!$B$17=4,B16,B3))),HSDR!B35)</f>
        <v>0.10906077977909699</v>
      </c>
      <c r="C54" s="1">
        <f>MAX(IF(Rules!$B$17=2,C42,IF(Rules!$B$17=3,C29,IF(Rules!$B$17=4,C16,C3))),HSDR!C35)</f>
        <v>0.47064092333946894</v>
      </c>
      <c r="D54" s="1">
        <f>MAX(IF(Rules!$B$17=2,D42,IF(Rules!$B$17=3,D29,IF(Rules!$B$17=4,D16,D3))),HSDR!D35)</f>
        <v>0.51779525312221664</v>
      </c>
      <c r="E54" s="1">
        <f>MAX(IF(Rules!$B$17=2,E42,IF(Rules!$B$17=3,E29,IF(Rules!$B$17=4,E16,E3))),HSDR!E35)</f>
        <v>0.56604055041797596</v>
      </c>
      <c r="F54" s="1">
        <f>MAX(IF(Rules!$B$17=2,F42,IF(Rules!$B$17=3,F29,IF(Rules!$B$17=4,F16,F3))),HSDR!F35)</f>
        <v>0.61469901790902803</v>
      </c>
      <c r="G54" s="1">
        <f>MAX(IF(Rules!$B$17=2,G42,IF(Rules!$B$17=3,G29,IF(Rules!$B$17=4,G16,G3))),HSDR!G35)</f>
        <v>0.66738009490756944</v>
      </c>
      <c r="H54" s="1">
        <f>MAX(IF(Rules!$B$17=2,H42,IF(Rules!$B$17=3,H29,IF(Rules!$B$17=4,H16,H3))),HSDR!H35)</f>
        <v>0.46288894886429088</v>
      </c>
      <c r="I54" s="1">
        <f>MAX(IF(Rules!$B$17=2,I42,IF(Rules!$B$17=3,I29,IF(Rules!$B$17=4,I16,I3))),HSDR!I35)</f>
        <v>0.35069259087031512</v>
      </c>
      <c r="J54" s="1">
        <f>MAX(IF(Rules!$B$17=2,J42,IF(Rules!$B$17=3,J29,IF(Rules!$B$17=4,J16,J3))),HSDR!J35)</f>
        <v>0.22778342315245487</v>
      </c>
      <c r="K54" s="1">
        <f>MAX(IF(Rules!$B$17=2,K42,IF(Rules!$B$17=3,K29,IF(Rules!$B$17=4,K16,K3))),HSDR!K35)</f>
        <v>0.17968872741114625</v>
      </c>
    </row>
    <row r="55" spans="1:11" x14ac:dyDescent="0.2">
      <c r="A55" s="1">
        <v>2</v>
      </c>
      <c r="B55" s="1">
        <f>MAX(IF(Rules!$B$11=2,B43,IF(Rules!$B$11=3,B30,IF(Rules!$B$11=4,B17,B4))),HSDR!B4)</f>
        <v>-0.25307699440390863</v>
      </c>
      <c r="C55" s="1">
        <f>MAX(IF(Rules!$B$11=2,C43,IF(Rules!$B$11=3,C30,IF(Rules!$B$11=4,C17,C4))),HSDR!C4)</f>
        <v>-8.8887240897114625E-2</v>
      </c>
      <c r="D55" s="1">
        <f>MAX(IF(Rules!$B$11=2,D43,IF(Rules!$B$11=3,D30,IF(Rules!$B$11=4,D17,D4))),HSDR!D4)</f>
        <v>-2.561613047924638E-2</v>
      </c>
      <c r="E55" s="1">
        <f>MAX(IF(Rules!$B$11=2,E43,IF(Rules!$B$11=3,E30,IF(Rules!$B$11=4,E17,E4))),HSDR!E4)</f>
        <v>4.2946629568768907E-2</v>
      </c>
      <c r="F55" s="1">
        <f>MAX(IF(Rules!$B$11=2,F43,IF(Rules!$B$11=3,F30,IF(Rules!$B$11=4,F17,F4))),HSDR!F4)</f>
        <v>0.12724982334843896</v>
      </c>
      <c r="G55" s="1">
        <f>MAX(IF(Rules!$B$11=2,G43,IF(Rules!$B$11=3,G30,IF(Rules!$B$11=4,G17,G4))),HSDR!G4)</f>
        <v>0.19477859816579254</v>
      </c>
      <c r="H55" s="1">
        <f>MAX(IF(Rules!$B$11=2,H43,IF(Rules!$B$11=3,H30,IF(Rules!$B$11=4,H17,H4))),HSDR!H4)</f>
        <v>-7.3993244927046805E-3</v>
      </c>
      <c r="I55" s="1">
        <f>MAX(IF(Rules!$B$11=2,I43,IF(Rules!$B$11=3,I30,IF(Rules!$B$11=4,I17,I4))),HSDR!I4)</f>
        <v>-0.15933415266020512</v>
      </c>
      <c r="J55" s="1">
        <f>MAX(IF(Rules!$B$11=2,J43,IF(Rules!$B$11=3,J30,IF(Rules!$B$11=4,J17,J4))),HSDR!J4)</f>
        <v>-0.24066617915336547</v>
      </c>
      <c r="K55" s="1">
        <f>MAX(IF(Rules!$B$11=2,K43,IF(Rules!$B$11=3,K30,IF(Rules!$B$11=4,K17,K4))),HSDR!K4)</f>
        <v>-0.28919791448567511</v>
      </c>
    </row>
    <row r="56" spans="1:11" x14ac:dyDescent="0.2">
      <c r="A56" s="1">
        <v>3</v>
      </c>
      <c r="B56" s="1">
        <f>MAX(IF(Rules!$B$11=2,B44,IF(Rules!$B$11=3,B31,IF(Rules!$B$11=4,B18,B5))),HSDR!B6)</f>
        <v>-0.30414663097569933</v>
      </c>
      <c r="C56" s="1">
        <f>MAX(IF(Rules!$B$11=2,C44,IF(Rules!$B$11=3,C31,IF(Rules!$B$11=4,C18,C5))),HSDR!C6)</f>
        <v>-0.13816353305492138</v>
      </c>
      <c r="D56" s="1">
        <f>MAX(IF(Rules!$B$11=2,D44,IF(Rules!$B$11=3,D31,IF(Rules!$B$11=4,D18,D5))),HSDR!D6)</f>
        <v>-6.3866434744217312E-2</v>
      </c>
      <c r="E56" s="1">
        <f>MAX(IF(Rules!$B$11=2,E44,IF(Rules!$B$11=3,E31,IF(Rules!$B$11=4,E18,E5))),HSDR!E6)</f>
        <v>1.4624872422626991E-2</v>
      </c>
      <c r="F56" s="1">
        <f>MAX(IF(Rules!$B$11=2,F44,IF(Rules!$B$11=3,F31,IF(Rules!$B$11=4,F18,F5))),HSDR!F6)</f>
        <v>0.10229274834073326</v>
      </c>
      <c r="G56" s="1">
        <f>MAX(IF(Rules!$B$11=2,G44,IF(Rules!$B$11=3,G31,IF(Rules!$B$11=4,G18,G5))),HSDR!G6)</f>
        <v>0.16942022384102573</v>
      </c>
      <c r="H56" s="1">
        <f>MAX(IF(Rules!$B$11=2,H44,IF(Rules!$B$11=3,H31,IF(Rules!$B$11=4,H18,H5))),HSDR!H6)</f>
        <v>-6.7760458821693514E-2</v>
      </c>
      <c r="I56" s="1">
        <f>MAX(IF(Rules!$B$11=2,I44,IF(Rules!$B$11=3,I31,IF(Rules!$B$11=4,I18,I5))),HSDR!I6)</f>
        <v>-0.21724188132078476</v>
      </c>
      <c r="J56" s="1">
        <f>MAX(IF(Rules!$B$11=2,J44,IF(Rules!$B$11=3,J31,IF(Rules!$B$11=4,J18,J5))),HSDR!J6)</f>
        <v>-0.29264070019772598</v>
      </c>
      <c r="K56" s="1">
        <f>MAX(IF(Rules!$B$11=2,K44,IF(Rules!$B$11=3,K31,IF(Rules!$B$11=4,K18,K5))),HSDR!K6)</f>
        <v>-0.33774944037840804</v>
      </c>
    </row>
    <row r="57" spans="1:11" x14ac:dyDescent="0.2">
      <c r="A57" s="1">
        <v>4</v>
      </c>
      <c r="B57" s="1">
        <f>MAX(IF(Rules!$B$11=2,B45,IF(Rules!$B$11=3,B32,IF(Rules!$B$11=4,B19,B6))),HSDR!B8)</f>
        <v>-0.1970288105741636</v>
      </c>
      <c r="C57" s="1">
        <f>MAX(IF(Rules!$B$11=2,C45,IF(Rules!$B$11=3,C32,IF(Rules!$B$11=4,C19,C6))),HSDR!C8)</f>
        <v>-2.1798188008805668E-2</v>
      </c>
      <c r="D57" s="1">
        <f>MAX(IF(Rules!$B$11=2,D45,IF(Rules!$B$11=3,D32,IF(Rules!$B$11=4,D19,D6))),HSDR!D8)</f>
        <v>8.0052625306546825E-3</v>
      </c>
      <c r="E57" s="1">
        <f>MAX(IF(Rules!$B$11=2,E45,IF(Rules!$B$11=3,E32,IF(Rules!$B$11=4,E19,E6))),HSDR!E8)</f>
        <v>3.8784473277208811E-2</v>
      </c>
      <c r="F57" s="1">
        <f>MAX(IF(Rules!$B$11=2,F45,IF(Rules!$B$11=3,F32,IF(Rules!$B$11=4,F19,F6))),HSDR!F8)</f>
        <v>8.0259872887869343E-2</v>
      </c>
      <c r="G57" s="1">
        <f>MAX(IF(Rules!$B$11=2,G45,IF(Rules!$B$11=3,G32,IF(Rules!$B$11=4,G19,G6))),HSDR!G8)</f>
        <v>0.14595673491924663</v>
      </c>
      <c r="H57" s="1">
        <f>MAX(IF(Rules!$B$11=2,H45,IF(Rules!$B$11=3,H32,IF(Rules!$B$11=4,H19,H6))),HSDR!H8)</f>
        <v>8.2207439363742862E-2</v>
      </c>
      <c r="I57" s="1">
        <f>MAX(IF(Rules!$B$11=2,I45,IF(Rules!$B$11=3,I32,IF(Rules!$B$11=4,I19,I6))),HSDR!I8)</f>
        <v>-5.9898275658656304E-2</v>
      </c>
      <c r="J57" s="1">
        <f>MAX(IF(Rules!$B$11=2,J45,IF(Rules!$B$11=3,J32,IF(Rules!$B$11=4,J19,J6))),HSDR!J8)</f>
        <v>-0.21018633199821757</v>
      </c>
      <c r="K57" s="1">
        <f>MAX(IF(Rules!$B$11=2,K45,IF(Rules!$B$11=3,K32,IF(Rules!$B$11=4,K19,K6))),HSDR!K8)</f>
        <v>-0.24937508055334259</v>
      </c>
    </row>
    <row r="58" spans="1:11" x14ac:dyDescent="0.2">
      <c r="A58" s="1">
        <v>5</v>
      </c>
      <c r="B58" s="1">
        <f>MAX(IF(Rules!$B$11=2,B46,IF(Rules!$B$11=3,B33,IF(Rules!$B$11=4,B20,B7))),HSDR!B10)</f>
        <v>8.1449707945275923E-2</v>
      </c>
      <c r="C58" s="1">
        <f>MAX(IF(Rules!$B$11=2,C46,IF(Rules!$B$11=3,C33,IF(Rules!$B$11=4,C20,C7))),HSDR!C10)</f>
        <v>0.3589394124422991</v>
      </c>
      <c r="D58" s="1">
        <f>MAX(IF(Rules!$B$11=2,D46,IF(Rules!$B$11=3,D33,IF(Rules!$B$11=4,D20,D7))),HSDR!D10)</f>
        <v>0.40932067017593915</v>
      </c>
      <c r="E58" s="1">
        <f>MAX(IF(Rules!$B$11=2,E46,IF(Rules!$B$11=3,E33,IF(Rules!$B$11=4,E20,E7))),HSDR!E10)</f>
        <v>0.460940243794354</v>
      </c>
      <c r="F58" s="1">
        <f>MAX(IF(Rules!$B$11=2,F46,IF(Rules!$B$11=3,F33,IF(Rules!$B$11=4,F20,F7))),HSDR!F10)</f>
        <v>0.51251710900326775</v>
      </c>
      <c r="G58" s="1">
        <f>MAX(IF(Rules!$B$11=2,G46,IF(Rules!$B$11=3,G33,IF(Rules!$B$11=4,G20,G7))),HSDR!G10)</f>
        <v>0.57559016859776857</v>
      </c>
      <c r="H58" s="1">
        <f>MAX(IF(Rules!$B$11=2,H46,IF(Rules!$B$11=3,H33,IF(Rules!$B$11=4,H20,H7))),HSDR!H10)</f>
        <v>0.39241245528243773</v>
      </c>
      <c r="I58" s="1">
        <f>MAX(IF(Rules!$B$11=2,I46,IF(Rules!$B$11=3,I33,IF(Rules!$B$11=4,I20,I7))),HSDR!I10)</f>
        <v>0.28663571688628381</v>
      </c>
      <c r="J58" s="1">
        <f>MAX(IF(Rules!$B$11=2,J46,IF(Rules!$B$11=3,J33,IF(Rules!$B$11=4,J20,J7))),HSDR!J10)</f>
        <v>0.1443283683807712</v>
      </c>
      <c r="K58" s="1">
        <f>MAX(IF(Rules!$B$11=2,K46,IF(Rules!$B$11=3,K33,IF(Rules!$B$11=4,K20,K7))),HSDR!K10)</f>
        <v>2.5308523040868145E-2</v>
      </c>
    </row>
    <row r="59" spans="1:11" x14ac:dyDescent="0.2">
      <c r="A59" s="1">
        <v>6</v>
      </c>
      <c r="B59" s="1">
        <f>MAX(IF(Rules!$B$11=2,B47,IF(Rules!$B$11=3,B34,IF(Rules!$B$11=4,B21,B8))),HSDR!B12)</f>
        <v>-0.35054034044008009</v>
      </c>
      <c r="C59" s="1">
        <f>MAX(IF(Rules!$B$11=2,C47,IF(Rules!$B$11=3,C34,IF(Rules!$B$11=4,C21,C8))),HSDR!C12)</f>
        <v>-0.21863675917925621</v>
      </c>
      <c r="D59" s="1">
        <f>MAX(IF(Rules!$B$11=2,D47,IF(Rules!$B$11=3,D34,IF(Rules!$B$11=4,D21,D8))),HSDR!D12)</f>
        <v>-0.13667841243230397</v>
      </c>
      <c r="E59" s="1">
        <f>MAX(IF(Rules!$B$11=2,E47,IF(Rules!$B$11=3,E34,IF(Rules!$B$11=4,E21,E8))),HSDR!E12)</f>
        <v>-4.9559710729696275E-2</v>
      </c>
      <c r="F59" s="1">
        <f>MAX(IF(Rules!$B$11=2,F47,IF(Rules!$B$11=3,F34,IF(Rules!$B$11=4,F21,F8))),HSDR!F12)</f>
        <v>4.3986900993555816E-2</v>
      </c>
      <c r="G59" s="1">
        <f>MAX(IF(Rules!$B$11=2,G47,IF(Rules!$B$11=3,G34,IF(Rules!$B$11=4,G21,G8))),HSDR!G12)</f>
        <v>0.10792266460833698</v>
      </c>
      <c r="H59" s="1">
        <f>MAX(IF(Rules!$B$11=2,H47,IF(Rules!$B$11=3,H34,IF(Rules!$B$11=4,H21,H8))),HSDR!H12)</f>
        <v>-0.21284771451731424</v>
      </c>
      <c r="I59" s="1">
        <f>MAX(IF(Rules!$B$11=2,I47,IF(Rules!$B$11=3,I34,IF(Rules!$B$11=4,I21,I8))),HSDR!I12)</f>
        <v>-0.27157480502428616</v>
      </c>
      <c r="J59" s="1">
        <f>MAX(IF(Rules!$B$11=2,J47,IF(Rules!$B$11=3,J34,IF(Rules!$B$11=4,J21,J8))),HSDR!J12)</f>
        <v>-0.3400132806089356</v>
      </c>
      <c r="K59" s="1">
        <f>MAX(IF(Rules!$B$11=2,K47,IF(Rules!$B$11=3,K34,IF(Rules!$B$11=4,K21,K8))),HSDR!K12)</f>
        <v>-0.38104299284808768</v>
      </c>
    </row>
    <row r="60" spans="1:11" x14ac:dyDescent="0.2">
      <c r="A60" s="1">
        <v>7</v>
      </c>
      <c r="B60" s="1">
        <f>MAX(IF(Rules!$B$11=2,B48,IF(Rules!$B$11=3,B35,IF(Rules!$B$11=4,B22,B9))),HSDR!B14)</f>
        <v>-0.44000672211415065</v>
      </c>
      <c r="C60" s="1">
        <f>MAX(IF(Rules!$B$11=2,C48,IF(Rules!$B$11=3,C35,IF(Rules!$B$11=4,C22,C9))),HSDR!C14)</f>
        <v>-0.1554853799924491</v>
      </c>
      <c r="D60" s="1">
        <f>MAX(IF(Rules!$B$11=2,D48,IF(Rules!$B$11=3,D35,IF(Rules!$B$11=4,D22,D9))),HSDR!D14)</f>
        <v>-7.4766650789560851E-2</v>
      </c>
      <c r="E60" s="1">
        <f>MAX(IF(Rules!$B$11=2,E48,IF(Rules!$B$11=3,E35,IF(Rules!$B$11=4,E22,E9))),HSDR!E14)</f>
        <v>1.0511467456082583E-2</v>
      </c>
      <c r="F60" s="1">
        <f>MAX(IF(Rules!$B$11=2,F48,IF(Rules!$B$11=3,F35,IF(Rules!$B$11=4,F22,F9))),HSDR!F14)</f>
        <v>9.9964621687930175E-2</v>
      </c>
      <c r="G60" s="1">
        <f>MAX(IF(Rules!$B$11=2,G48,IF(Rules!$B$11=3,G35,IF(Rules!$B$11=4,G22,G9))),HSDR!G14)</f>
        <v>0.18769123920448363</v>
      </c>
      <c r="H60" s="1">
        <f>MAX(IF(Rules!$B$11=2,H48,IF(Rules!$B$11=3,H35,IF(Rules!$B$11=4,H22,H9))),HSDR!H14)</f>
        <v>-9.0500880901835723E-2</v>
      </c>
      <c r="I60" s="1">
        <f>MAX(IF(Rules!$B$11=2,I48,IF(Rules!$B$11=3,I35,IF(Rules!$B$11=4,I22,I9))),HSDR!I14)</f>
        <v>-0.37191909208726714</v>
      </c>
      <c r="J60" s="1">
        <f>MAX(IF(Rules!$B$11=2,J48,IF(Rules!$B$11=3,J35,IF(Rules!$B$11=4,J22,J9))),HSDR!J14)</f>
        <v>-0.43092981848423528</v>
      </c>
      <c r="K60" s="1">
        <f>MAX(IF(Rules!$B$11=2,K48,IF(Rules!$B$11=3,K35,IF(Rules!$B$11=4,K22,K9))),HSDR!K14)</f>
        <v>-0.46630747852717758</v>
      </c>
    </row>
    <row r="61" spans="1:11" x14ac:dyDescent="0.2">
      <c r="A61" s="1">
        <v>8</v>
      </c>
      <c r="B61" s="1">
        <f>MAX(IF(Rules!$B$11=2,B49,IF(Rules!$B$11=3,B36,IF(Rules!$B$11=4,B23,B10))),HSDR!B16)</f>
        <v>-0.39405762114832721</v>
      </c>
      <c r="C61" s="1">
        <f>MAX(IF(Rules!$B$11=2,C49,IF(Rules!$B$11=3,C36,IF(Rules!$B$11=4,C23,C10))),HSDR!C16)</f>
        <v>1.9285099723172237E-2</v>
      </c>
      <c r="D61" s="1">
        <f>MAX(IF(Rules!$B$11=2,D49,IF(Rules!$B$11=3,D36,IF(Rules!$B$11=4,D23,D10))),HSDR!D16)</f>
        <v>8.688786047625327E-2</v>
      </c>
      <c r="E61" s="1">
        <f>MAX(IF(Rules!$B$11=2,E49,IF(Rules!$B$11=3,E36,IF(Rules!$B$11=4,E23,E10))),HSDR!E16)</f>
        <v>0.15656746918613532</v>
      </c>
      <c r="F61" s="1">
        <f>MAX(IF(Rules!$B$11=2,F49,IF(Rules!$B$11=3,F36,IF(Rules!$B$11=4,F23,F10))),HSDR!F16)</f>
        <v>0.22831820480547502</v>
      </c>
      <c r="G61" s="1">
        <f>MAX(IF(Rules!$B$11=2,G49,IF(Rules!$B$11=3,G36,IF(Rules!$B$11=4,G23,G10))),HSDR!G16)</f>
        <v>0.32553339738516479</v>
      </c>
      <c r="H61" s="1">
        <f>MAX(IF(Rules!$B$11=2,H49,IF(Rules!$B$11=3,H36,IF(Rules!$B$11=4,H23,H10))),HSDR!H16)</f>
        <v>0.21152959698650559</v>
      </c>
      <c r="I61" s="1">
        <f>MAX(IF(Rules!$B$11=2,I49,IF(Rules!$B$11=3,I36,IF(Rules!$B$11=4,I23,I10))),HSDR!I16)</f>
        <v>-8.7582327609523197E-2</v>
      </c>
      <c r="J61" s="1">
        <f>MAX(IF(Rules!$B$11=2,J49,IF(Rules!$B$11=3,J36,IF(Rules!$B$11=4,J23,J10))),HSDR!J16)</f>
        <v>-0.40539957445661723</v>
      </c>
      <c r="K61" s="1">
        <f>MAX(IF(Rules!$B$11=2,K49,IF(Rules!$B$11=3,K36,IF(Rules!$B$11=4,K23,K10))),HSDR!K16)</f>
        <v>-0.48948762316092631</v>
      </c>
    </row>
    <row r="62" spans="1:11" x14ac:dyDescent="0.2">
      <c r="A62" s="1">
        <v>9</v>
      </c>
      <c r="B62" s="1">
        <f>MAX(IF(Rules!$B$11=2,B50,IF(Rules!$B$11=3,B37,IF(Rules!$B$11=4,B24,B11))),HSDR!B18)</f>
        <v>-0.10019887561319057</v>
      </c>
      <c r="C62" s="1">
        <f>MAX(IF(Rules!$B$11=2,C50,IF(Rules!$B$11=3,C37,IF(Rules!$B$11=4,C24,C11))),HSDR!C18)</f>
        <v>0.18462902498065631</v>
      </c>
      <c r="D62" s="1">
        <f>MAX(IF(Rules!$B$11=2,D50,IF(Rules!$B$11=3,D37,IF(Rules!$B$11=4,D24,D11))),HSDR!D18)</f>
        <v>0.24214017052931303</v>
      </c>
      <c r="E62" s="1">
        <f>MAX(IF(Rules!$B$11=2,E50,IF(Rules!$B$11=3,E37,IF(Rules!$B$11=4,E24,E11))),HSDR!E18)</f>
        <v>0.30150334319286637</v>
      </c>
      <c r="F62" s="1">
        <f>MAX(IF(Rules!$B$11=2,F50,IF(Rules!$B$11=3,F37,IF(Rules!$B$11=4,F24,F11))),HSDR!F18)</f>
        <v>0.36334825237219065</v>
      </c>
      <c r="G62" s="1">
        <f>MAX(IF(Rules!$B$11=2,G50,IF(Rules!$B$11=3,G37,IF(Rules!$B$11=4,G24,G11))),HSDR!G18)</f>
        <v>0.44337460889206287</v>
      </c>
      <c r="H62" s="1">
        <f>MAX(IF(Rules!$B$11=2,H50,IF(Rules!$B$11=3,H37,IF(Rules!$B$11=4,H24,H11))),HSDR!H18)</f>
        <v>0.3995541673365518</v>
      </c>
      <c r="I62" s="1">
        <f>MAX(IF(Rules!$B$11=2,I50,IF(Rules!$B$11=3,I37,IF(Rules!$B$11=4,I24,I11))),HSDR!I18)</f>
        <v>0.21532327264714252</v>
      </c>
      <c r="J62" s="1">
        <f>MAX(IF(Rules!$B$11=2,J50,IF(Rules!$B$11=3,J37,IF(Rules!$B$11=4,J24,J11))),HSDR!J18)</f>
        <v>-9.3659752356483508E-2</v>
      </c>
      <c r="K62" s="1">
        <f>MAX(IF(Rules!$B$11=2,K50,IF(Rules!$B$11=3,K37,IF(Rules!$B$11=4,K24,K11))),HSDR!K18)</f>
        <v>-0.17830123379648949</v>
      </c>
    </row>
    <row r="63" spans="1:11" x14ac:dyDescent="0.2">
      <c r="A63" s="1">
        <v>10</v>
      </c>
      <c r="B63" s="1">
        <f>MAX(IF(Rules!$B$11=2,B51,IF(Rules!$B$11=3,B38,IF(Rules!$B$11=4,B25,B12))),HSDR!B20)</f>
        <v>0.65547032314990239</v>
      </c>
      <c r="C63" s="1">
        <f>MAX(IF(Rules!$B$11=2,C51,IF(Rules!$B$11=3,C38,IF(Rules!$B$11=4,C25,C12))),HSDR!C20)</f>
        <v>0.63998657521683877</v>
      </c>
      <c r="D63" s="1">
        <f>MAX(IF(Rules!$B$11=2,D51,IF(Rules!$B$11=3,D38,IF(Rules!$B$11=4,D25,D12))),HSDR!D20)</f>
        <v>0.65027209425148136</v>
      </c>
      <c r="E63" s="1">
        <f>MAX(IF(Rules!$B$11=2,E51,IF(Rules!$B$11=3,E38,IF(Rules!$B$11=4,E25,E12))),HSDR!E20)</f>
        <v>0.66104996194807186</v>
      </c>
      <c r="F63" s="1">
        <f>MAX(IF(Rules!$B$11=2,F51,IF(Rules!$B$11=3,F38,IF(Rules!$B$11=4,F25,F12))),HSDR!F20)</f>
        <v>0.67035969063279999</v>
      </c>
      <c r="G63" s="1">
        <f>MAX(IF(Rules!$B$11=2,G51,IF(Rules!$B$11=3,G38,IF(Rules!$B$11=4,G25,G12))),HSDR!G20)</f>
        <v>0.70395857017134467</v>
      </c>
      <c r="H63" s="1">
        <f>MAX(IF(Rules!$B$11=2,H51,IF(Rules!$B$11=3,H38,IF(Rules!$B$11=4,H25,H12))),HSDR!H20)</f>
        <v>0.77322722653717491</v>
      </c>
      <c r="I63" s="1">
        <f>MAX(IF(Rules!$B$11=2,I51,IF(Rules!$B$11=3,I38,IF(Rules!$B$11=4,I25,I12))),HSDR!I20)</f>
        <v>0.79181515955189841</v>
      </c>
      <c r="J63" s="1">
        <f>MAX(IF(Rules!$B$11=2,J51,IF(Rules!$B$11=3,J38,IF(Rules!$B$11=4,J25,J12))),HSDR!J20)</f>
        <v>0.75835687080859626</v>
      </c>
      <c r="K63" s="1">
        <f>MAX(IF(Rules!$B$11=2,K51,IF(Rules!$B$11=3,K38,IF(Rules!$B$11=4,K25,K12))),HSDR!K20)</f>
        <v>0.55453756646817121</v>
      </c>
    </row>
  </sheetData>
  <sheetProtection sheet="1" objects="1" scenarios="1"/>
  <mergeCells count="4">
    <mergeCell ref="A1:K1"/>
    <mergeCell ref="A14:K14"/>
    <mergeCell ref="A27:K27"/>
    <mergeCell ref="A40:K40"/>
  </mergeCells>
  <phoneticPr fontId="16" type="noConversion"/>
  <conditionalFormatting sqref="O2:X11">
    <cfRule type="containsText" dxfId="804" priority="5" operator="containsText" text="S">
      <formula>NOT(ISERROR(SEARCH("S",O2)))</formula>
    </cfRule>
    <cfRule type="containsText" dxfId="803" priority="6" operator="containsText" text="H">
      <formula>NOT(ISERROR(SEARCH("H",O2)))</formula>
    </cfRule>
  </conditionalFormatting>
  <conditionalFormatting sqref="O2:X11">
    <cfRule type="containsText" dxfId="802" priority="4" operator="containsText" text="D">
      <formula>NOT(ISERROR(SEARCH("D",O2)))</formula>
    </cfRule>
  </conditionalFormatting>
  <conditionalFormatting sqref="O2:X11">
    <cfRule type="containsText" dxfId="801" priority="3" operator="containsText" text="R">
      <formula>NOT(ISERROR(SEARCH("R",O2)))</formula>
    </cfRule>
  </conditionalFormatting>
  <conditionalFormatting sqref="O2:X11">
    <cfRule type="containsText" dxfId="800" priority="2" operator="containsText" text="P">
      <formula>NOT(ISERROR(SEARCH("P",O2)))</formula>
    </cfRule>
  </conditionalFormatting>
  <conditionalFormatting sqref="O3:X11">
    <cfRule type="containsText" dxfId="799" priority="1" operator="containsText" text="P">
      <formula>NOT(ISERROR(SEARCH("P",O3)))</formula>
    </cfRule>
  </conditionalFormatting>
  <pageMargins left="0.7" right="0.7" top="0.75" bottom="0.75" header="0.3" footer="0.3"/>
  <pageSetup paperSize="9" orientation="landscape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B1:C3"/>
  <sheetViews>
    <sheetView workbookViewId="0">
      <selection activeCell="K9" sqref="K9"/>
    </sheetView>
  </sheetViews>
  <sheetFormatPr baseColWidth="10" defaultColWidth="8.83203125" defaultRowHeight="16" x14ac:dyDescent="0.2"/>
  <cols>
    <col min="2" max="2" width="17.6640625" bestFit="1" customWidth="1"/>
  </cols>
  <sheetData>
    <row r="1" spans="2:3" x14ac:dyDescent="0.2">
      <c r="B1" s="52" t="s">
        <v>31</v>
      </c>
      <c r="C1" s="1">
        <f>Dealer!J33</f>
        <v>4.7337278106508882E-2</v>
      </c>
    </row>
    <row r="2" spans="2:3" x14ac:dyDescent="0.2">
      <c r="B2" s="52" t="s">
        <v>32</v>
      </c>
      <c r="C2" s="1">
        <f>1-Dealer!J33</f>
        <v>0.9526627218934911</v>
      </c>
    </row>
    <row r="3" spans="2:3" x14ac:dyDescent="0.2">
      <c r="B3" s="1"/>
      <c r="C3" s="1">
        <f>C1*C2</f>
        <v>4.5096460207975919E-2</v>
      </c>
    </row>
  </sheetData>
  <sheetProtection sheet="1" objects="1" scenarios="1"/>
  <phoneticPr fontId="16" type="noConversion"/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pageSetUpPr fitToPage="1"/>
  </sheetPr>
  <dimension ref="A1:M87"/>
  <sheetViews>
    <sheetView workbookViewId="0">
      <selection activeCell="H6" sqref="H6"/>
    </sheetView>
  </sheetViews>
  <sheetFormatPr baseColWidth="10" defaultColWidth="8.83203125" defaultRowHeight="15" x14ac:dyDescent="0.2"/>
  <cols>
    <col min="1" max="2" width="8.83203125" style="33"/>
    <col min="3" max="3" width="8" style="33" customWidth="1"/>
    <col min="4" max="16384" width="8.83203125" style="33"/>
  </cols>
  <sheetData>
    <row r="1" spans="1:13" ht="25" thickBot="1" x14ac:dyDescent="0.35">
      <c r="A1" s="322" t="s">
        <v>132</v>
      </c>
      <c r="B1" s="323"/>
      <c r="C1" s="323"/>
      <c r="D1" s="323"/>
      <c r="E1" s="323"/>
      <c r="F1" s="323"/>
      <c r="G1" s="323"/>
      <c r="H1" s="323"/>
      <c r="I1" s="323"/>
      <c r="J1" s="323"/>
      <c r="K1" s="324"/>
    </row>
    <row r="2" spans="1:13" x14ac:dyDescent="0.2">
      <c r="A2" s="163" t="s">
        <v>9</v>
      </c>
      <c r="B2" s="163" t="s">
        <v>1</v>
      </c>
      <c r="C2" s="163">
        <v>2</v>
      </c>
      <c r="D2" s="163">
        <v>3</v>
      </c>
      <c r="E2" s="163">
        <v>4</v>
      </c>
      <c r="F2" s="163">
        <v>5</v>
      </c>
      <c r="G2" s="163">
        <v>6</v>
      </c>
      <c r="H2" s="163">
        <v>7</v>
      </c>
      <c r="I2" s="163">
        <v>8</v>
      </c>
      <c r="J2" s="163">
        <v>9</v>
      </c>
      <c r="K2" s="163">
        <v>10</v>
      </c>
    </row>
    <row r="3" spans="1:13" x14ac:dyDescent="0.2">
      <c r="A3" s="32">
        <v>5</v>
      </c>
      <c r="B3" s="34">
        <f>$C71*1/(9+Rules!$B$5)*(9/(9+Rules!$B$5))</f>
        <v>6.3023003396239633E-4</v>
      </c>
      <c r="C3" s="34">
        <f>$C71*1/(9+Rules!$B$5)</f>
        <v>9.1033227127901696E-4</v>
      </c>
      <c r="D3" s="34">
        <f>$C71*1/(9+Rules!$B$5)</f>
        <v>9.1033227127901696E-4</v>
      </c>
      <c r="E3" s="34">
        <f>$C71*1/(9+Rules!$B$5)</f>
        <v>9.1033227127901696E-4</v>
      </c>
      <c r="F3" s="34">
        <f>$C71*1/(9+Rules!$B$5)</f>
        <v>9.1033227127901696E-4</v>
      </c>
      <c r="G3" s="34">
        <f>$C71*1/(9+Rules!$B$5)</f>
        <v>9.1033227127901696E-4</v>
      </c>
      <c r="H3" s="34">
        <f>$C71*1/(9+Rules!$B$5)</f>
        <v>9.1033227127901696E-4</v>
      </c>
      <c r="I3" s="34">
        <f>$C71*1/(9+Rules!$B$5)</f>
        <v>9.1033227127901696E-4</v>
      </c>
      <c r="J3" s="34">
        <f>$C71*1/(9+Rules!$B$5)</f>
        <v>9.1033227127901696E-4</v>
      </c>
      <c r="K3" s="34">
        <f>$C71*Rules!$B$5/(9+Rules!$B$5)*((9+Rules!$B$5-1)/(9+Rules!$B$5))</f>
        <v>3.3612268477994475E-3</v>
      </c>
    </row>
    <row r="4" spans="1:13" x14ac:dyDescent="0.2">
      <c r="A4" s="32">
        <v>6</v>
      </c>
      <c r="B4" s="34">
        <f>$C72*1/(9+Rules!$B$5)*(9/(9+Rules!$B$5))</f>
        <v>6.3023003396239633E-4</v>
      </c>
      <c r="C4" s="34">
        <f>$C72*1/(9+Rules!$B$5)</f>
        <v>9.1033227127901696E-4</v>
      </c>
      <c r="D4" s="34">
        <f>$C72*1/(9+Rules!$B$5)</f>
        <v>9.1033227127901696E-4</v>
      </c>
      <c r="E4" s="34">
        <f>$C72*1/(9+Rules!$B$5)</f>
        <v>9.1033227127901696E-4</v>
      </c>
      <c r="F4" s="34">
        <f>$C72*1/(9+Rules!$B$5)</f>
        <v>9.1033227127901696E-4</v>
      </c>
      <c r="G4" s="34">
        <f>$C72*1/(9+Rules!$B$5)</f>
        <v>9.1033227127901696E-4</v>
      </c>
      <c r="H4" s="34">
        <f>$C72*1/(9+Rules!$B$5)</f>
        <v>9.1033227127901696E-4</v>
      </c>
      <c r="I4" s="34">
        <f>$C72*1/(9+Rules!$B$5)</f>
        <v>9.1033227127901696E-4</v>
      </c>
      <c r="J4" s="34">
        <f>$C72*1/(9+Rules!$B$5)</f>
        <v>9.1033227127901696E-4</v>
      </c>
      <c r="K4" s="34">
        <f>$C72*Rules!$B$5/(9+Rules!$B$5)*((9+Rules!$B$5-1)/(9+Rules!$B$5))</f>
        <v>3.3612268477994475E-3</v>
      </c>
    </row>
    <row r="5" spans="1:13" x14ac:dyDescent="0.2">
      <c r="A5" s="32">
        <v>7</v>
      </c>
      <c r="B5" s="34">
        <f>$C73*1/(9+Rules!$B$5)*(9/(9+Rules!$B$5))</f>
        <v>1.2604600679247927E-3</v>
      </c>
      <c r="C5" s="34">
        <f>$C73*1/(9+Rules!$B$5)</f>
        <v>1.8206645425580339E-3</v>
      </c>
      <c r="D5" s="34">
        <f>$C73*1/(9+Rules!$B$5)</f>
        <v>1.8206645425580339E-3</v>
      </c>
      <c r="E5" s="34">
        <f>$C73*1/(9+Rules!$B$5)</f>
        <v>1.8206645425580339E-3</v>
      </c>
      <c r="F5" s="34">
        <f>$C73*1/(9+Rules!$B$5)</f>
        <v>1.8206645425580339E-3</v>
      </c>
      <c r="G5" s="34">
        <f>$C73*1/(9+Rules!$B$5)</f>
        <v>1.8206645425580339E-3</v>
      </c>
      <c r="H5" s="34">
        <f>$C73*1/(9+Rules!$B$5)</f>
        <v>1.8206645425580339E-3</v>
      </c>
      <c r="I5" s="34">
        <f>$C73*1/(9+Rules!$B$5)</f>
        <v>1.8206645425580339E-3</v>
      </c>
      <c r="J5" s="34">
        <f>$C73*1/(9+Rules!$B$5)</f>
        <v>1.8206645425580339E-3</v>
      </c>
      <c r="K5" s="34">
        <f>$C73*Rules!$B$5/(9+Rules!$B$5)*((9+Rules!$B$5-1)/(9+Rules!$B$5))</f>
        <v>6.7224536955988951E-3</v>
      </c>
    </row>
    <row r="6" spans="1:13" x14ac:dyDescent="0.2">
      <c r="A6" s="32">
        <v>8</v>
      </c>
      <c r="B6" s="34">
        <f>$C74*1/(9+Rules!$B$5)*(9/(9+Rules!$B$5))</f>
        <v>1.2604600679247927E-3</v>
      </c>
      <c r="C6" s="34">
        <f>$C74*1/(9+Rules!$B$5)</f>
        <v>1.8206645425580339E-3</v>
      </c>
      <c r="D6" s="34">
        <f>$C74*1/(9+Rules!$B$5)</f>
        <v>1.8206645425580339E-3</v>
      </c>
      <c r="E6" s="34">
        <f>$C74*1/(9+Rules!$B$5)</f>
        <v>1.8206645425580339E-3</v>
      </c>
      <c r="F6" s="34">
        <f>$C74*1/(9+Rules!$B$5)</f>
        <v>1.8206645425580339E-3</v>
      </c>
      <c r="G6" s="34">
        <f>$C74*1/(9+Rules!$B$5)</f>
        <v>1.8206645425580339E-3</v>
      </c>
      <c r="H6" s="34">
        <f>$C74*1/(9+Rules!$B$5)</f>
        <v>1.8206645425580339E-3</v>
      </c>
      <c r="I6" s="34">
        <f>$C74*1/(9+Rules!$B$5)</f>
        <v>1.8206645425580339E-3</v>
      </c>
      <c r="J6" s="34">
        <f>$C74*1/(9+Rules!$B$5)</f>
        <v>1.8206645425580339E-3</v>
      </c>
      <c r="K6" s="34">
        <f>$C74*Rules!$B$5/(9+Rules!$B$5)*((9+Rules!$B$5-1)/(9+Rules!$B$5))</f>
        <v>6.7224536955988951E-3</v>
      </c>
    </row>
    <row r="7" spans="1:13" x14ac:dyDescent="0.2">
      <c r="A7" s="32">
        <v>9</v>
      </c>
      <c r="B7" s="34">
        <f>$C75*1/(9+Rules!$B$5)*(9/(9+Rules!$B$5))</f>
        <v>1.890690101887189E-3</v>
      </c>
      <c r="C7" s="34">
        <f>$C75*1/(9+Rules!$B$5)</f>
        <v>2.730996813837051E-3</v>
      </c>
      <c r="D7" s="34">
        <f>$C75*1/(9+Rules!$B$5)</f>
        <v>2.730996813837051E-3</v>
      </c>
      <c r="E7" s="34">
        <f>$C75*1/(9+Rules!$B$5)</f>
        <v>2.730996813837051E-3</v>
      </c>
      <c r="F7" s="34">
        <f>$C75*1/(9+Rules!$B$5)</f>
        <v>2.730996813837051E-3</v>
      </c>
      <c r="G7" s="34">
        <f>$C75*1/(9+Rules!$B$5)</f>
        <v>2.730996813837051E-3</v>
      </c>
      <c r="H7" s="34">
        <f>$C75*1/(9+Rules!$B$5)</f>
        <v>2.730996813837051E-3</v>
      </c>
      <c r="I7" s="34">
        <f>$C75*1/(9+Rules!$B$5)</f>
        <v>2.730996813837051E-3</v>
      </c>
      <c r="J7" s="34">
        <f>$C75*1/(9+Rules!$B$5)</f>
        <v>2.730996813837051E-3</v>
      </c>
      <c r="K7" s="34">
        <f>$C75*Rules!$B$5/(9+Rules!$B$5)*((9+Rules!$B$5-1)/(9+Rules!$B$5))</f>
        <v>1.0083680543398343E-2</v>
      </c>
    </row>
    <row r="8" spans="1:13" x14ac:dyDescent="0.2">
      <c r="A8" s="32">
        <v>10</v>
      </c>
      <c r="B8" s="34">
        <f>$C76*1/(9+Rules!$B$5)*(9/(9+Rules!$B$5))</f>
        <v>1.890690101887189E-3</v>
      </c>
      <c r="C8" s="34">
        <f>$C76*1/(9+Rules!$B$5)</f>
        <v>2.730996813837051E-3</v>
      </c>
      <c r="D8" s="34">
        <f>$C76*1/(9+Rules!$B$5)</f>
        <v>2.730996813837051E-3</v>
      </c>
      <c r="E8" s="34">
        <f>$C76*1/(9+Rules!$B$5)</f>
        <v>2.730996813837051E-3</v>
      </c>
      <c r="F8" s="34">
        <f>$C76*1/(9+Rules!$B$5)</f>
        <v>2.730996813837051E-3</v>
      </c>
      <c r="G8" s="34">
        <f>$C76*1/(9+Rules!$B$5)</f>
        <v>2.730996813837051E-3</v>
      </c>
      <c r="H8" s="34">
        <f>$C76*1/(9+Rules!$B$5)</f>
        <v>2.730996813837051E-3</v>
      </c>
      <c r="I8" s="34">
        <f>$C76*1/(9+Rules!$B$5)</f>
        <v>2.730996813837051E-3</v>
      </c>
      <c r="J8" s="34">
        <f>$C76*1/(9+Rules!$B$5)</f>
        <v>2.730996813837051E-3</v>
      </c>
      <c r="K8" s="34">
        <f>$C76*Rules!$B$5/(9+Rules!$B$5)*((9+Rules!$B$5-1)/(9+Rules!$B$5))</f>
        <v>1.0083680543398343E-2</v>
      </c>
    </row>
    <row r="9" spans="1:13" x14ac:dyDescent="0.2">
      <c r="A9" s="32">
        <v>11</v>
      </c>
      <c r="B9" s="34">
        <f>$C77*1/(9+Rules!$B$5)*(9/(9+Rules!$B$5))</f>
        <v>2.5209201358495858E-3</v>
      </c>
      <c r="C9" s="34">
        <f>$C77*1/(9+Rules!$B$5)</f>
        <v>3.6413290851160683E-3</v>
      </c>
      <c r="D9" s="34">
        <f>$C77*1/(9+Rules!$B$5)</f>
        <v>3.6413290851160683E-3</v>
      </c>
      <c r="E9" s="34">
        <f>$C77*1/(9+Rules!$B$5)</f>
        <v>3.6413290851160683E-3</v>
      </c>
      <c r="F9" s="34">
        <f>$C77*1/(9+Rules!$B$5)</f>
        <v>3.6413290851160683E-3</v>
      </c>
      <c r="G9" s="34">
        <f>$C77*1/(9+Rules!$B$5)</f>
        <v>3.6413290851160683E-3</v>
      </c>
      <c r="H9" s="34">
        <f>$C77*1/(9+Rules!$B$5)</f>
        <v>3.6413290851160683E-3</v>
      </c>
      <c r="I9" s="34">
        <f>$C77*1/(9+Rules!$B$5)</f>
        <v>3.6413290851160683E-3</v>
      </c>
      <c r="J9" s="34">
        <f>$C77*1/(9+Rules!$B$5)</f>
        <v>3.6413290851160683E-3</v>
      </c>
      <c r="K9" s="34">
        <f>$C77*Rules!$B$5/(9+Rules!$B$5)*((9+Rules!$B$5-1)/(9+Rules!$B$5))</f>
        <v>1.3444907391197792E-2</v>
      </c>
    </row>
    <row r="10" spans="1:13" x14ac:dyDescent="0.2">
      <c r="A10" s="32">
        <v>12</v>
      </c>
      <c r="B10" s="34">
        <f>$C78*1/(9+Rules!$B$5)*(9/(9+Rules!$B$5))</f>
        <v>4.4116102377367745E-3</v>
      </c>
      <c r="C10" s="34">
        <f>$C78*1/(9+Rules!$B$5)</f>
        <v>6.3723258989531193E-3</v>
      </c>
      <c r="D10" s="34">
        <f>$C78*1/(9+Rules!$B$5)</f>
        <v>6.3723258989531193E-3</v>
      </c>
      <c r="E10" s="34">
        <f>$C78*1/(9+Rules!$B$5)</f>
        <v>6.3723258989531193E-3</v>
      </c>
      <c r="F10" s="34">
        <f>$C78*1/(9+Rules!$B$5)</f>
        <v>6.3723258989531193E-3</v>
      </c>
      <c r="G10" s="34">
        <f>$C78*1/(9+Rules!$B$5)</f>
        <v>6.3723258989531193E-3</v>
      </c>
      <c r="H10" s="34">
        <f>$C78*1/(9+Rules!$B$5)</f>
        <v>6.3723258989531193E-3</v>
      </c>
      <c r="I10" s="34">
        <f>$C78*1/(9+Rules!$B$5)</f>
        <v>6.3723258989531193E-3</v>
      </c>
      <c r="J10" s="34">
        <f>$C78*1/(9+Rules!$B$5)</f>
        <v>6.3723258989531193E-3</v>
      </c>
      <c r="K10" s="34">
        <f>$C78*Rules!$B$5/(9+Rules!$B$5)*((9+Rules!$B$5-1)/(9+Rules!$B$5))</f>
        <v>2.3528587934596133E-2</v>
      </c>
    </row>
    <row r="11" spans="1:13" x14ac:dyDescent="0.2">
      <c r="A11" s="32">
        <v>13</v>
      </c>
      <c r="B11" s="34">
        <f>$C79*1/(9+Rules!$B$5)*(9/(9+Rules!$B$5))</f>
        <v>4.4116102377367745E-3</v>
      </c>
      <c r="C11" s="34">
        <f>$C79*1/(9+Rules!$B$5)</f>
        <v>6.3723258989531193E-3</v>
      </c>
      <c r="D11" s="34">
        <f>$C79*1/(9+Rules!$B$5)</f>
        <v>6.3723258989531193E-3</v>
      </c>
      <c r="E11" s="34">
        <f>$C79*1/(9+Rules!$B$5)</f>
        <v>6.3723258989531193E-3</v>
      </c>
      <c r="F11" s="34">
        <f>$C79*1/(9+Rules!$B$5)</f>
        <v>6.3723258989531193E-3</v>
      </c>
      <c r="G11" s="34">
        <f>$C79*1/(9+Rules!$B$5)</f>
        <v>6.3723258989531193E-3</v>
      </c>
      <c r="H11" s="34">
        <f>$C79*1/(9+Rules!$B$5)</f>
        <v>6.3723258989531193E-3</v>
      </c>
      <c r="I11" s="34">
        <f>$C79*1/(9+Rules!$B$5)</f>
        <v>6.3723258989531193E-3</v>
      </c>
      <c r="J11" s="34">
        <f>$C79*1/(9+Rules!$B$5)</f>
        <v>6.3723258989531193E-3</v>
      </c>
      <c r="K11" s="34">
        <f>$C79*Rules!$B$5/(9+Rules!$B$5)*((9+Rules!$B$5-1)/(9+Rules!$B$5))</f>
        <v>2.3528587934596133E-2</v>
      </c>
    </row>
    <row r="12" spans="1:13" x14ac:dyDescent="0.2">
      <c r="A12" s="32">
        <v>14</v>
      </c>
      <c r="B12" s="34">
        <f>$C80*1/(9+Rules!$B$5)*(9/(9+Rules!$B$5))</f>
        <v>3.781380203774378E-3</v>
      </c>
      <c r="C12" s="34">
        <f>$C80*1/(9+Rules!$B$5)</f>
        <v>5.461993627674102E-3</v>
      </c>
      <c r="D12" s="34">
        <f>$C80*1/(9+Rules!$B$5)</f>
        <v>5.461993627674102E-3</v>
      </c>
      <c r="E12" s="34">
        <f>$C80*1/(9+Rules!$B$5)</f>
        <v>5.461993627674102E-3</v>
      </c>
      <c r="F12" s="34">
        <f>$C80*1/(9+Rules!$B$5)</f>
        <v>5.461993627674102E-3</v>
      </c>
      <c r="G12" s="34">
        <f>$C80*1/(9+Rules!$B$5)</f>
        <v>5.461993627674102E-3</v>
      </c>
      <c r="H12" s="34">
        <f>$C80*1/(9+Rules!$B$5)</f>
        <v>5.461993627674102E-3</v>
      </c>
      <c r="I12" s="34">
        <f>$C80*1/(9+Rules!$B$5)</f>
        <v>5.461993627674102E-3</v>
      </c>
      <c r="J12" s="34">
        <f>$C80*1/(9+Rules!$B$5)</f>
        <v>5.461993627674102E-3</v>
      </c>
      <c r="K12" s="34">
        <f>$C80*Rules!$B$5/(9+Rules!$B$5)*((9+Rules!$B$5-1)/(9+Rules!$B$5))</f>
        <v>2.0167361086796686E-2</v>
      </c>
    </row>
    <row r="13" spans="1:13" x14ac:dyDescent="0.2">
      <c r="A13" s="32">
        <v>15</v>
      </c>
      <c r="B13" s="34">
        <f>$C81*1/(9+Rules!$B$5)*(9/(9+Rules!$B$5))</f>
        <v>3.781380203774378E-3</v>
      </c>
      <c r="C13" s="34">
        <f>$C81*1/(9+Rules!$B$5)</f>
        <v>5.461993627674102E-3</v>
      </c>
      <c r="D13" s="34">
        <f>$C81*1/(9+Rules!$B$5)</f>
        <v>5.461993627674102E-3</v>
      </c>
      <c r="E13" s="34">
        <f>$C81*1/(9+Rules!$B$5)</f>
        <v>5.461993627674102E-3</v>
      </c>
      <c r="F13" s="34">
        <f>$C81*1/(9+Rules!$B$5)</f>
        <v>5.461993627674102E-3</v>
      </c>
      <c r="G13" s="34">
        <f>$C81*1/(9+Rules!$B$5)</f>
        <v>5.461993627674102E-3</v>
      </c>
      <c r="H13" s="34">
        <f>$C81*1/(9+Rules!$B$5)</f>
        <v>5.461993627674102E-3</v>
      </c>
      <c r="I13" s="34">
        <f>$C81*1/(9+Rules!$B$5)</f>
        <v>5.461993627674102E-3</v>
      </c>
      <c r="J13" s="34">
        <f>$C81*1/(9+Rules!$B$5)</f>
        <v>5.461993627674102E-3</v>
      </c>
      <c r="K13" s="34">
        <f>$C81*Rules!$B$5/(9+Rules!$B$5)*((9+Rules!$B$5-1)/(9+Rules!$B$5))</f>
        <v>2.0167361086796686E-2</v>
      </c>
    </row>
    <row r="14" spans="1:13" x14ac:dyDescent="0.2">
      <c r="A14" s="32">
        <v>16</v>
      </c>
      <c r="B14" s="34">
        <f>$C82*1/(9+Rules!$B$5)*(9/(9+Rules!$B$5))</f>
        <v>3.1511501698119814E-3</v>
      </c>
      <c r="C14" s="34">
        <f>$C82*1/(9+Rules!$B$5)</f>
        <v>4.5516613563950847E-3</v>
      </c>
      <c r="D14" s="34">
        <f>$C82*1/(9+Rules!$B$5)</f>
        <v>4.5516613563950847E-3</v>
      </c>
      <c r="E14" s="34">
        <f>$C82*1/(9+Rules!$B$5)</f>
        <v>4.5516613563950847E-3</v>
      </c>
      <c r="F14" s="34">
        <f>$C82*1/(9+Rules!$B$5)</f>
        <v>4.5516613563950847E-3</v>
      </c>
      <c r="G14" s="34">
        <f>$C82*1/(9+Rules!$B$5)</f>
        <v>4.5516613563950847E-3</v>
      </c>
      <c r="H14" s="34">
        <f>$C82*1/(9+Rules!$B$5)</f>
        <v>4.5516613563950847E-3</v>
      </c>
      <c r="I14" s="34">
        <f>$C82*1/(9+Rules!$B$5)</f>
        <v>4.5516613563950847E-3</v>
      </c>
      <c r="J14" s="34">
        <f>$C82*1/(9+Rules!$B$5)</f>
        <v>4.5516613563950847E-3</v>
      </c>
      <c r="K14" s="34">
        <f>$C82*Rules!$B$5/(9+Rules!$B$5)*((9+Rules!$B$5-1)/(9+Rules!$B$5))</f>
        <v>1.6806134238997236E-2</v>
      </c>
      <c r="M14" s="137"/>
    </row>
    <row r="15" spans="1:13" x14ac:dyDescent="0.2">
      <c r="A15" s="32">
        <v>17</v>
      </c>
      <c r="B15" s="34">
        <f>$C83*1/(9+Rules!$B$5)*(9/(9+Rules!$B$5))</f>
        <v>3.1511501698119814E-3</v>
      </c>
      <c r="C15" s="34">
        <f>$C83*1/(9+Rules!$B$5)</f>
        <v>4.5516613563950847E-3</v>
      </c>
      <c r="D15" s="34">
        <f>$C83*1/(9+Rules!$B$5)</f>
        <v>4.5516613563950847E-3</v>
      </c>
      <c r="E15" s="34">
        <f>$C83*1/(9+Rules!$B$5)</f>
        <v>4.5516613563950847E-3</v>
      </c>
      <c r="F15" s="34">
        <f>$C83*1/(9+Rules!$B$5)</f>
        <v>4.5516613563950847E-3</v>
      </c>
      <c r="G15" s="34">
        <f>$C83*1/(9+Rules!$B$5)</f>
        <v>4.5516613563950847E-3</v>
      </c>
      <c r="H15" s="34">
        <f>$C83*1/(9+Rules!$B$5)</f>
        <v>4.5516613563950847E-3</v>
      </c>
      <c r="I15" s="34">
        <f>$C83*1/(9+Rules!$B$5)</f>
        <v>4.5516613563950847E-3</v>
      </c>
      <c r="J15" s="34">
        <f>$C83*1/(9+Rules!$B$5)</f>
        <v>4.5516613563950847E-3</v>
      </c>
      <c r="K15" s="34">
        <f>$C83*Rules!$B$5/(9+Rules!$B$5)*((9+Rules!$B$5-1)/(9+Rules!$B$5))</f>
        <v>1.6806134238997236E-2</v>
      </c>
    </row>
    <row r="16" spans="1:13" x14ac:dyDescent="0.2">
      <c r="A16" s="32">
        <v>18</v>
      </c>
      <c r="B16" s="34">
        <f>$C84*1/(9+Rules!$B$5)*(9/(9+Rules!$B$5))</f>
        <v>2.5209201358495853E-3</v>
      </c>
      <c r="C16" s="34">
        <f>$C84*1/(9+Rules!$B$5)</f>
        <v>3.6413290851160678E-3</v>
      </c>
      <c r="D16" s="34">
        <f>$C84*1/(9+Rules!$B$5)</f>
        <v>3.6413290851160678E-3</v>
      </c>
      <c r="E16" s="34">
        <f>$C84*1/(9+Rules!$B$5)</f>
        <v>3.6413290851160678E-3</v>
      </c>
      <c r="F16" s="34">
        <f>$C84*1/(9+Rules!$B$5)</f>
        <v>3.6413290851160678E-3</v>
      </c>
      <c r="G16" s="34">
        <f>$C84*1/(9+Rules!$B$5)</f>
        <v>3.6413290851160678E-3</v>
      </c>
      <c r="H16" s="34">
        <f>$C84*1/(9+Rules!$B$5)</f>
        <v>3.6413290851160678E-3</v>
      </c>
      <c r="I16" s="34">
        <f>$C84*1/(9+Rules!$B$5)</f>
        <v>3.6413290851160678E-3</v>
      </c>
      <c r="J16" s="34">
        <f>$C84*1/(9+Rules!$B$5)</f>
        <v>3.6413290851160678E-3</v>
      </c>
      <c r="K16" s="34">
        <f>$C84*Rules!$B$5/(9+Rules!$B$5)*((9+Rules!$B$5-1)/(9+Rules!$B$5))</f>
        <v>1.344490739119779E-2</v>
      </c>
    </row>
    <row r="17" spans="1:13" x14ac:dyDescent="0.2">
      <c r="A17" s="32">
        <v>19</v>
      </c>
      <c r="B17" s="34">
        <f>$C85*1/(9+Rules!$B$5)*(9/(9+Rules!$B$5))</f>
        <v>2.5209201358495853E-3</v>
      </c>
      <c r="C17" s="34">
        <f>$C85*1/(9+Rules!$B$5)</f>
        <v>3.6413290851160678E-3</v>
      </c>
      <c r="D17" s="34">
        <f>$C85*1/(9+Rules!$B$5)</f>
        <v>3.6413290851160678E-3</v>
      </c>
      <c r="E17" s="34">
        <f>$C85*1/(9+Rules!$B$5)</f>
        <v>3.6413290851160678E-3</v>
      </c>
      <c r="F17" s="34">
        <f>$C85*1/(9+Rules!$B$5)</f>
        <v>3.6413290851160678E-3</v>
      </c>
      <c r="G17" s="34">
        <f>$C85*1/(9+Rules!$B$5)</f>
        <v>3.6413290851160678E-3</v>
      </c>
      <c r="H17" s="34">
        <f>$C85*1/(9+Rules!$B$5)</f>
        <v>3.6413290851160678E-3</v>
      </c>
      <c r="I17" s="34">
        <f>$C85*1/(9+Rules!$B$5)</f>
        <v>3.6413290851160678E-3</v>
      </c>
      <c r="J17" s="34">
        <f>$C85*1/(9+Rules!$B$5)</f>
        <v>3.6413290851160678E-3</v>
      </c>
      <c r="K17" s="34">
        <f>$C85*Rules!$B$5/(9+Rules!$B$5)*((9+Rules!$B$5-1)/(9+Rules!$B$5))</f>
        <v>1.344490739119779E-2</v>
      </c>
      <c r="M17" s="33">
        <f>SUM(B3:K17)</f>
        <v>0.67644690311963807</v>
      </c>
    </row>
    <row r="18" spans="1:13" x14ac:dyDescent="0.2">
      <c r="A18" s="32" t="s">
        <v>4</v>
      </c>
      <c r="B18" s="32" t="s">
        <v>1</v>
      </c>
      <c r="C18" s="35">
        <v>2</v>
      </c>
      <c r="D18" s="35">
        <v>3</v>
      </c>
      <c r="E18" s="35">
        <v>4</v>
      </c>
      <c r="F18" s="35">
        <v>5</v>
      </c>
      <c r="G18" s="35">
        <v>6</v>
      </c>
      <c r="H18" s="35">
        <v>7</v>
      </c>
      <c r="I18" s="35">
        <v>8</v>
      </c>
      <c r="J18" s="35">
        <v>9</v>
      </c>
      <c r="K18" s="35">
        <v>10</v>
      </c>
    </row>
    <row r="19" spans="1:13" x14ac:dyDescent="0.2">
      <c r="A19" s="32">
        <v>13</v>
      </c>
      <c r="B19" s="34">
        <f>2*(1/(9+Rules!$B$5))^3*(9/(9+Rules!$B$5))</f>
        <v>6.3023003396239633E-4</v>
      </c>
      <c r="C19" s="34">
        <f>2*(1/(9+Rules!$B$5))^3</f>
        <v>9.1033227127901696E-4</v>
      </c>
      <c r="D19" s="34">
        <f>2*(1/(9+Rules!$B$5))^3</f>
        <v>9.1033227127901696E-4</v>
      </c>
      <c r="E19" s="34">
        <f>2*(1/(9+Rules!$B$5))^3</f>
        <v>9.1033227127901696E-4</v>
      </c>
      <c r="F19" s="34">
        <f>2*(1/(9+Rules!$B$5))^3</f>
        <v>9.1033227127901696E-4</v>
      </c>
      <c r="G19" s="34">
        <f>2*(1/(9+Rules!$B$5))^3</f>
        <v>9.1033227127901696E-4</v>
      </c>
      <c r="H19" s="34">
        <f>2*(1/(9+Rules!$B$5))^3</f>
        <v>9.1033227127901696E-4</v>
      </c>
      <c r="I19" s="34">
        <f>2*(1/(9+Rules!$B$5))^3</f>
        <v>9.1033227127901696E-4</v>
      </c>
      <c r="J19" s="34">
        <f>2*(1/(9+Rules!$B$5))^3</f>
        <v>9.1033227127901696E-4</v>
      </c>
      <c r="K19" s="34">
        <f>2*(1/(9+Rules!$B$5))^2*(Rules!$B$5/(9+Rules!$B$5))*((9+Rules!$B$5-1)/(9+Rules!$B$5))</f>
        <v>3.3612268477994475E-3</v>
      </c>
    </row>
    <row r="20" spans="1:13" x14ac:dyDescent="0.2">
      <c r="A20" s="32">
        <v>14</v>
      </c>
      <c r="B20" s="34">
        <f>2*(1/(9+Rules!$B$5))^3*(9/(9+Rules!$B$5))</f>
        <v>6.3023003396239633E-4</v>
      </c>
      <c r="C20" s="34">
        <f>2*(1/(9+Rules!$B$5))^3</f>
        <v>9.1033227127901696E-4</v>
      </c>
      <c r="D20" s="34">
        <f>2*(1/(9+Rules!$B$5))^3</f>
        <v>9.1033227127901696E-4</v>
      </c>
      <c r="E20" s="34">
        <f>2*(1/(9+Rules!$B$5))^3</f>
        <v>9.1033227127901696E-4</v>
      </c>
      <c r="F20" s="34">
        <f>2*(1/(9+Rules!$B$5))^3</f>
        <v>9.1033227127901696E-4</v>
      </c>
      <c r="G20" s="34">
        <f>2*(1/(9+Rules!$B$5))^3</f>
        <v>9.1033227127901696E-4</v>
      </c>
      <c r="H20" s="34">
        <f>2*(1/(9+Rules!$B$5))^3</f>
        <v>9.1033227127901696E-4</v>
      </c>
      <c r="I20" s="34">
        <f>2*(1/(9+Rules!$B$5))^3</f>
        <v>9.1033227127901696E-4</v>
      </c>
      <c r="J20" s="34">
        <f>2*(1/(9+Rules!$B$5))^3</f>
        <v>9.1033227127901696E-4</v>
      </c>
      <c r="K20" s="34">
        <f>2*(1/(9+Rules!$B$5))^2*(Rules!$B$5/(9+Rules!$B$5))*((9+Rules!$B$5-1)/(9+Rules!$B$5))</f>
        <v>3.3612268477994475E-3</v>
      </c>
    </row>
    <row r="21" spans="1:13" x14ac:dyDescent="0.2">
      <c r="A21" s="32">
        <v>15</v>
      </c>
      <c r="B21" s="34">
        <f>2*(1/(9+Rules!$B$5))^3*(9/(9+Rules!$B$5))</f>
        <v>6.3023003396239633E-4</v>
      </c>
      <c r="C21" s="34">
        <f>2*(1/(9+Rules!$B$5))^3</f>
        <v>9.1033227127901696E-4</v>
      </c>
      <c r="D21" s="34">
        <f>2*(1/(9+Rules!$B$5))^3</f>
        <v>9.1033227127901696E-4</v>
      </c>
      <c r="E21" s="34">
        <f>2*(1/(9+Rules!$B$5))^3</f>
        <v>9.1033227127901696E-4</v>
      </c>
      <c r="F21" s="34">
        <f>2*(1/(9+Rules!$B$5))^3</f>
        <v>9.1033227127901696E-4</v>
      </c>
      <c r="G21" s="34">
        <f>2*(1/(9+Rules!$B$5))^3</f>
        <v>9.1033227127901696E-4</v>
      </c>
      <c r="H21" s="34">
        <f>2*(1/(9+Rules!$B$5))^3</f>
        <v>9.1033227127901696E-4</v>
      </c>
      <c r="I21" s="34">
        <f>2*(1/(9+Rules!$B$5))^3</f>
        <v>9.1033227127901696E-4</v>
      </c>
      <c r="J21" s="34">
        <f>2*(1/(9+Rules!$B$5))^3</f>
        <v>9.1033227127901696E-4</v>
      </c>
      <c r="K21" s="34">
        <f>2*(1/(9+Rules!$B$5))^2*(Rules!$B$5/(9+Rules!$B$5))*((9+Rules!$B$5-1)/(9+Rules!$B$5))</f>
        <v>3.3612268477994475E-3</v>
      </c>
    </row>
    <row r="22" spans="1:13" x14ac:dyDescent="0.2">
      <c r="A22" s="32">
        <v>16</v>
      </c>
      <c r="B22" s="34">
        <f>2*(1/(9+Rules!$B$5))^3*(9/(9+Rules!$B$5))</f>
        <v>6.3023003396239633E-4</v>
      </c>
      <c r="C22" s="34">
        <f>2*(1/(9+Rules!$B$5))^3</f>
        <v>9.1033227127901696E-4</v>
      </c>
      <c r="D22" s="34">
        <f>2*(1/(9+Rules!$B$5))^3</f>
        <v>9.1033227127901696E-4</v>
      </c>
      <c r="E22" s="34">
        <f>2*(1/(9+Rules!$B$5))^3</f>
        <v>9.1033227127901696E-4</v>
      </c>
      <c r="F22" s="34">
        <f>2*(1/(9+Rules!$B$5))^3</f>
        <v>9.1033227127901696E-4</v>
      </c>
      <c r="G22" s="34">
        <f>2*(1/(9+Rules!$B$5))^3</f>
        <v>9.1033227127901696E-4</v>
      </c>
      <c r="H22" s="34">
        <f>2*(1/(9+Rules!$B$5))^3</f>
        <v>9.1033227127901696E-4</v>
      </c>
      <c r="I22" s="34">
        <f>2*(1/(9+Rules!$B$5))^3</f>
        <v>9.1033227127901696E-4</v>
      </c>
      <c r="J22" s="34">
        <f>2*(1/(9+Rules!$B$5))^3</f>
        <v>9.1033227127901696E-4</v>
      </c>
      <c r="K22" s="34">
        <f>2*(1/(9+Rules!$B$5))^2*(Rules!$B$5/(9+Rules!$B$5))*((9+Rules!$B$5-1)/(9+Rules!$B$5))</f>
        <v>3.3612268477994475E-3</v>
      </c>
    </row>
    <row r="23" spans="1:13" x14ac:dyDescent="0.2">
      <c r="A23" s="32">
        <v>17</v>
      </c>
      <c r="B23" s="34">
        <f>2*(1/(9+Rules!$B$5))^3*(9/(9+Rules!$B$5))</f>
        <v>6.3023003396239633E-4</v>
      </c>
      <c r="C23" s="34">
        <f>2*(1/(9+Rules!$B$5))^3</f>
        <v>9.1033227127901696E-4</v>
      </c>
      <c r="D23" s="34">
        <f>2*(1/(9+Rules!$B$5))^3</f>
        <v>9.1033227127901696E-4</v>
      </c>
      <c r="E23" s="34">
        <f>2*(1/(9+Rules!$B$5))^3</f>
        <v>9.1033227127901696E-4</v>
      </c>
      <c r="F23" s="34">
        <f>2*(1/(9+Rules!$B$5))^3</f>
        <v>9.1033227127901696E-4</v>
      </c>
      <c r="G23" s="34">
        <f>2*(1/(9+Rules!$B$5))^3</f>
        <v>9.1033227127901696E-4</v>
      </c>
      <c r="H23" s="34">
        <f>2*(1/(9+Rules!$B$5))^3</f>
        <v>9.1033227127901696E-4</v>
      </c>
      <c r="I23" s="34">
        <f>2*(1/(9+Rules!$B$5))^3</f>
        <v>9.1033227127901696E-4</v>
      </c>
      <c r="J23" s="34">
        <f>2*(1/(9+Rules!$B$5))^3</f>
        <v>9.1033227127901696E-4</v>
      </c>
      <c r="K23" s="34">
        <f>2*(1/(9+Rules!$B$5))^2*(Rules!$B$5/(9+Rules!$B$5))*((9+Rules!$B$5-1)/(9+Rules!$B$5))</f>
        <v>3.3612268477994475E-3</v>
      </c>
    </row>
    <row r="24" spans="1:13" x14ac:dyDescent="0.2">
      <c r="A24" s="32">
        <v>18</v>
      </c>
      <c r="B24" s="34">
        <f>2*(1/(9+Rules!$B$5))^3*(9/(9+Rules!$B$5))</f>
        <v>6.3023003396239633E-4</v>
      </c>
      <c r="C24" s="34">
        <f>2*(1/(9+Rules!$B$5))^3</f>
        <v>9.1033227127901696E-4</v>
      </c>
      <c r="D24" s="34">
        <f>2*(1/(9+Rules!$B$5))^3</f>
        <v>9.1033227127901696E-4</v>
      </c>
      <c r="E24" s="34">
        <f>2*(1/(9+Rules!$B$5))^3</f>
        <v>9.1033227127901696E-4</v>
      </c>
      <c r="F24" s="34">
        <f>2*(1/(9+Rules!$B$5))^3</f>
        <v>9.1033227127901696E-4</v>
      </c>
      <c r="G24" s="34">
        <f>2*(1/(9+Rules!$B$5))^3</f>
        <v>9.1033227127901696E-4</v>
      </c>
      <c r="H24" s="34">
        <f>2*(1/(9+Rules!$B$5))^3</f>
        <v>9.1033227127901696E-4</v>
      </c>
      <c r="I24" s="34">
        <f>2*(1/(9+Rules!$B$5))^3</f>
        <v>9.1033227127901696E-4</v>
      </c>
      <c r="J24" s="34">
        <f>2*(1/(9+Rules!$B$5))^3</f>
        <v>9.1033227127901696E-4</v>
      </c>
      <c r="K24" s="34">
        <f>2*(1/(9+Rules!$B$5))^2*(Rules!$B$5/(9+Rules!$B$5))*((9+Rules!$B$5-1)/(9+Rules!$B$5))</f>
        <v>3.3612268477994475E-3</v>
      </c>
    </row>
    <row r="25" spans="1:13" x14ac:dyDescent="0.2">
      <c r="A25" s="32">
        <v>19</v>
      </c>
      <c r="B25" s="34">
        <f>2*(1/(9+Rules!$B$5))^3*(9/(9+Rules!$B$5))</f>
        <v>6.3023003396239633E-4</v>
      </c>
      <c r="C25" s="34">
        <f>2*(1/(9+Rules!$B$5))^3</f>
        <v>9.1033227127901696E-4</v>
      </c>
      <c r="D25" s="34">
        <f>2*(1/(9+Rules!$B$5))^3</f>
        <v>9.1033227127901696E-4</v>
      </c>
      <c r="E25" s="34">
        <f>2*(1/(9+Rules!$B$5))^3</f>
        <v>9.1033227127901696E-4</v>
      </c>
      <c r="F25" s="34">
        <f>2*(1/(9+Rules!$B$5))^3</f>
        <v>9.1033227127901696E-4</v>
      </c>
      <c r="G25" s="34">
        <f>2*(1/(9+Rules!$B$5))^3</f>
        <v>9.1033227127901696E-4</v>
      </c>
      <c r="H25" s="34">
        <f>2*(1/(9+Rules!$B$5))^3</f>
        <v>9.1033227127901696E-4</v>
      </c>
      <c r="I25" s="34">
        <f>2*(1/(9+Rules!$B$5))^3</f>
        <v>9.1033227127901696E-4</v>
      </c>
      <c r="J25" s="34">
        <f>2*(1/(9+Rules!$B$5))^3</f>
        <v>9.1033227127901696E-4</v>
      </c>
      <c r="K25" s="34">
        <f>2*(1/(9+Rules!$B$5))^2*(Rules!$B$5/(9+Rules!$B$5))*((9+Rules!$B$5-1)/(9+Rules!$B$5))</f>
        <v>3.3612268477994475E-3</v>
      </c>
    </row>
    <row r="26" spans="1:13" x14ac:dyDescent="0.2">
      <c r="A26" s="32">
        <v>20</v>
      </c>
      <c r="B26" s="34">
        <f>2*(1/(9+Rules!$B$5))^3*(9/(9+Rules!$B$5))</f>
        <v>6.3023003396239633E-4</v>
      </c>
      <c r="C26" s="34">
        <f>2*(1/(9+Rules!$B$5))^3</f>
        <v>9.1033227127901696E-4</v>
      </c>
      <c r="D26" s="34">
        <f>2*(1/(9+Rules!$B$5))^3</f>
        <v>9.1033227127901696E-4</v>
      </c>
      <c r="E26" s="34">
        <f>2*(1/(9+Rules!$B$5))^3</f>
        <v>9.1033227127901696E-4</v>
      </c>
      <c r="F26" s="34">
        <f>2*(1/(9+Rules!$B$5))^3</f>
        <v>9.1033227127901696E-4</v>
      </c>
      <c r="G26" s="34">
        <f>2*(1/(9+Rules!$B$5))^3</f>
        <v>9.1033227127901696E-4</v>
      </c>
      <c r="H26" s="34">
        <f>2*(1/(9+Rules!$B$5))^3</f>
        <v>9.1033227127901696E-4</v>
      </c>
      <c r="I26" s="34">
        <f>2*(1/(9+Rules!$B$5))^3</f>
        <v>9.1033227127901696E-4</v>
      </c>
      <c r="J26" s="34">
        <f>2*(1/(9+Rules!$B$5))^3</f>
        <v>9.1033227127901696E-4</v>
      </c>
      <c r="K26" s="34">
        <f>2*(1/(9+Rules!$B$5))^2*(Rules!$B$5/(9+Rules!$B$5))*((9+Rules!$B$5-1)/(9+Rules!$B$5))</f>
        <v>3.3612268477994475E-3</v>
      </c>
    </row>
    <row r="27" spans="1:13" x14ac:dyDescent="0.2">
      <c r="A27" s="32">
        <v>21</v>
      </c>
      <c r="B27" s="34">
        <f>2*(1/(9+Rules!$B$5))^2*(Rules!$B$5/(9+Rules!$B$5))*(9/(9+Rules!$B$5))</f>
        <v>2.5209201358495853E-3</v>
      </c>
      <c r="C27" s="34">
        <f>2*(1/(9+Rules!$B$5))^2*(Rules!$B$5/(9+Rules!$B$5))</f>
        <v>3.6413290851160678E-3</v>
      </c>
      <c r="D27" s="34">
        <f>2*(1/(9+Rules!$B$5))^2*(Rules!$B$5/(9+Rules!$B$5))</f>
        <v>3.6413290851160678E-3</v>
      </c>
      <c r="E27" s="34">
        <f>2*(1/(9+Rules!$B$5))^2*(Rules!$B$5/(9+Rules!$B$5))</f>
        <v>3.6413290851160678E-3</v>
      </c>
      <c r="F27" s="34">
        <f>2*(1/(9+Rules!$B$5))^2*(Rules!$B$5/(9+Rules!$B$5))</f>
        <v>3.6413290851160678E-3</v>
      </c>
      <c r="G27" s="34">
        <f>2*(1/(9+Rules!$B$5))^2*(Rules!$B$5/(9+Rules!$B$5))</f>
        <v>3.6413290851160678E-3</v>
      </c>
      <c r="H27" s="34">
        <f>2*(1/(9+Rules!$B$5))^2*(Rules!$B$5/(9+Rules!$B$5))</f>
        <v>3.6413290851160678E-3</v>
      </c>
      <c r="I27" s="34">
        <f>2*(1/(9+Rules!$B$5))^2*(Rules!$B$5/(9+Rules!$B$5))</f>
        <v>3.6413290851160678E-3</v>
      </c>
      <c r="J27" s="34">
        <f>2*(1/(9+Rules!$B$5))^2*(Rules!$B$5/(9+Rules!$B$5))</f>
        <v>3.6413290851160678E-3</v>
      </c>
      <c r="K27" s="34">
        <f>2*(Rules!$B$5/(9+Rules!$B$5))^2*(1/(9+Rules!$B$5))*((9+Rules!$B$5-1)/(9+Rules!$B$5))</f>
        <v>1.344490739119779E-2</v>
      </c>
      <c r="M27" s="33">
        <f>SUM(B19:K27)</f>
        <v>0.13528938062392776</v>
      </c>
    </row>
    <row r="28" spans="1:13" x14ac:dyDescent="0.2">
      <c r="A28" s="32" t="s">
        <v>10</v>
      </c>
      <c r="B28" s="32" t="s">
        <v>1</v>
      </c>
      <c r="C28" s="35">
        <v>2</v>
      </c>
      <c r="D28" s="35">
        <v>3</v>
      </c>
      <c r="E28" s="35">
        <v>4</v>
      </c>
      <c r="F28" s="35">
        <v>5</v>
      </c>
      <c r="G28" s="35">
        <v>6</v>
      </c>
      <c r="H28" s="35">
        <v>7</v>
      </c>
      <c r="I28" s="35">
        <v>8</v>
      </c>
      <c r="J28" s="35">
        <v>9</v>
      </c>
      <c r="K28" s="35">
        <v>10</v>
      </c>
    </row>
    <row r="29" spans="1:13" x14ac:dyDescent="0.2">
      <c r="A29" s="32" t="s">
        <v>1</v>
      </c>
      <c r="B29" s="34">
        <f>(1/(9+Rules!$B$5))^3*(9/(9+Rules!$B$5))</f>
        <v>3.1511501698119817E-4</v>
      </c>
      <c r="C29" s="34">
        <f>(1/(9+Rules!$B$5))^3</f>
        <v>4.5516613563950848E-4</v>
      </c>
      <c r="D29" s="34">
        <f>(1/(9+Rules!$B$5))^3</f>
        <v>4.5516613563950848E-4</v>
      </c>
      <c r="E29" s="34">
        <f>(1/(9+Rules!$B$5))^3</f>
        <v>4.5516613563950848E-4</v>
      </c>
      <c r="F29" s="34">
        <f>(1/(9+Rules!$B$5))^3</f>
        <v>4.5516613563950848E-4</v>
      </c>
      <c r="G29" s="34">
        <f>(1/(9+Rules!$B$5))^3</f>
        <v>4.5516613563950848E-4</v>
      </c>
      <c r="H29" s="34">
        <f>(1/(9+Rules!$B$5))^3</f>
        <v>4.5516613563950848E-4</v>
      </c>
      <c r="I29" s="34">
        <f>(1/(9+Rules!$B$5))^3</f>
        <v>4.5516613563950848E-4</v>
      </c>
      <c r="J29" s="34">
        <f>(1/(9+Rules!$B$5))^3</f>
        <v>4.5516613563950848E-4</v>
      </c>
      <c r="K29" s="34">
        <f>(1/(9+Rules!$B$5))^2*(Rules!$B$5/(9+Rules!$B$5))*((9+Rules!$B$5-1)/(9+Rules!$B$5))</f>
        <v>1.6806134238997238E-3</v>
      </c>
    </row>
    <row r="30" spans="1:13" x14ac:dyDescent="0.2">
      <c r="A30" s="32">
        <v>2</v>
      </c>
      <c r="B30" s="34">
        <f>(1/(9+Rules!$B$5))^3*(9/(9+Rules!$B$5))</f>
        <v>3.1511501698119817E-4</v>
      </c>
      <c r="C30" s="34">
        <f>(1/(9+Rules!$B$5))^3</f>
        <v>4.5516613563950848E-4</v>
      </c>
      <c r="D30" s="34">
        <f>(1/(9+Rules!$B$5))^3</f>
        <v>4.5516613563950848E-4</v>
      </c>
      <c r="E30" s="34">
        <f>(1/(9+Rules!$B$5))^3</f>
        <v>4.5516613563950848E-4</v>
      </c>
      <c r="F30" s="34">
        <f>(1/(9+Rules!$B$5))^3</f>
        <v>4.5516613563950848E-4</v>
      </c>
      <c r="G30" s="34">
        <f>(1/(9+Rules!$B$5))^3</f>
        <v>4.5516613563950848E-4</v>
      </c>
      <c r="H30" s="34">
        <f>(1/(9+Rules!$B$5))^3</f>
        <v>4.5516613563950848E-4</v>
      </c>
      <c r="I30" s="34">
        <f>(1/(9+Rules!$B$5))^3</f>
        <v>4.5516613563950848E-4</v>
      </c>
      <c r="J30" s="34">
        <f>(1/(9+Rules!$B$5))^3</f>
        <v>4.5516613563950848E-4</v>
      </c>
      <c r="K30" s="34">
        <f>(1/(9+Rules!$B$5))^2*(Rules!$B$5/(9+Rules!$B$5))*((9+Rules!$B$5-1)/(9+Rules!$B$5))</f>
        <v>1.6806134238997238E-3</v>
      </c>
    </row>
    <row r="31" spans="1:13" x14ac:dyDescent="0.2">
      <c r="A31" s="32">
        <v>3</v>
      </c>
      <c r="B31" s="34">
        <f>(1/(9+Rules!$B$5))^3*(9/(9+Rules!$B$5))</f>
        <v>3.1511501698119817E-4</v>
      </c>
      <c r="C31" s="34">
        <f>(1/(9+Rules!$B$5))^3</f>
        <v>4.5516613563950848E-4</v>
      </c>
      <c r="D31" s="34">
        <f>(1/(9+Rules!$B$5))^3</f>
        <v>4.5516613563950848E-4</v>
      </c>
      <c r="E31" s="34">
        <f>(1/(9+Rules!$B$5))^3</f>
        <v>4.5516613563950848E-4</v>
      </c>
      <c r="F31" s="34">
        <f>(1/(9+Rules!$B$5))^3</f>
        <v>4.5516613563950848E-4</v>
      </c>
      <c r="G31" s="34">
        <f>(1/(9+Rules!$B$5))^3</f>
        <v>4.5516613563950848E-4</v>
      </c>
      <c r="H31" s="34">
        <f>(1/(9+Rules!$B$5))^3</f>
        <v>4.5516613563950848E-4</v>
      </c>
      <c r="I31" s="34">
        <f>(1/(9+Rules!$B$5))^3</f>
        <v>4.5516613563950848E-4</v>
      </c>
      <c r="J31" s="34">
        <f>(1/(9+Rules!$B$5))^3</f>
        <v>4.5516613563950848E-4</v>
      </c>
      <c r="K31" s="34">
        <f>(1/(9+Rules!$B$5))^2*(Rules!$B$5/(9+Rules!$B$5))*((9+Rules!$B$5-1)/(9+Rules!$B$5))</f>
        <v>1.6806134238997238E-3</v>
      </c>
    </row>
    <row r="32" spans="1:13" x14ac:dyDescent="0.2">
      <c r="A32" s="32">
        <v>4</v>
      </c>
      <c r="B32" s="34">
        <f>(1/(9+Rules!$B$5))^3*(9/(9+Rules!$B$5))</f>
        <v>3.1511501698119817E-4</v>
      </c>
      <c r="C32" s="34">
        <f>(1/(9+Rules!$B$5))^3</f>
        <v>4.5516613563950848E-4</v>
      </c>
      <c r="D32" s="34">
        <f>(1/(9+Rules!$B$5))^3</f>
        <v>4.5516613563950848E-4</v>
      </c>
      <c r="E32" s="34">
        <f>(1/(9+Rules!$B$5))^3</f>
        <v>4.5516613563950848E-4</v>
      </c>
      <c r="F32" s="34">
        <f>(1/(9+Rules!$B$5))^3</f>
        <v>4.5516613563950848E-4</v>
      </c>
      <c r="G32" s="34">
        <f>(1/(9+Rules!$B$5))^3</f>
        <v>4.5516613563950848E-4</v>
      </c>
      <c r="H32" s="34">
        <f>(1/(9+Rules!$B$5))^3</f>
        <v>4.5516613563950848E-4</v>
      </c>
      <c r="I32" s="34">
        <f>(1/(9+Rules!$B$5))^3</f>
        <v>4.5516613563950848E-4</v>
      </c>
      <c r="J32" s="34">
        <f>(1/(9+Rules!$B$5))^3</f>
        <v>4.5516613563950848E-4</v>
      </c>
      <c r="K32" s="34">
        <f>(1/(9+Rules!$B$5))^2*(Rules!$B$5/(9+Rules!$B$5))*((9+Rules!$B$5-1)/(9+Rules!$B$5))</f>
        <v>1.6806134238997238E-3</v>
      </c>
    </row>
    <row r="33" spans="1:13" x14ac:dyDescent="0.2">
      <c r="A33" s="32">
        <v>5</v>
      </c>
      <c r="B33" s="34">
        <f>(1/(9+Rules!$B$5))^3*(9/(9+Rules!$B$5))</f>
        <v>3.1511501698119817E-4</v>
      </c>
      <c r="C33" s="34">
        <f>(1/(9+Rules!$B$5))^3</f>
        <v>4.5516613563950848E-4</v>
      </c>
      <c r="D33" s="34">
        <f>(1/(9+Rules!$B$5))^3</f>
        <v>4.5516613563950848E-4</v>
      </c>
      <c r="E33" s="34">
        <f>(1/(9+Rules!$B$5))^3</f>
        <v>4.5516613563950848E-4</v>
      </c>
      <c r="F33" s="34">
        <f>(1/(9+Rules!$B$5))^3</f>
        <v>4.5516613563950848E-4</v>
      </c>
      <c r="G33" s="34">
        <f>(1/(9+Rules!$B$5))^3</f>
        <v>4.5516613563950848E-4</v>
      </c>
      <c r="H33" s="34">
        <f>(1/(9+Rules!$B$5))^3</f>
        <v>4.5516613563950848E-4</v>
      </c>
      <c r="I33" s="34">
        <f>(1/(9+Rules!$B$5))^3</f>
        <v>4.5516613563950848E-4</v>
      </c>
      <c r="J33" s="34">
        <f>(1/(9+Rules!$B$5))^3</f>
        <v>4.5516613563950848E-4</v>
      </c>
      <c r="K33" s="34">
        <f>(1/(9+Rules!$B$5))^2*(Rules!$B$5/(9+Rules!$B$5))*((9+Rules!$B$5-1)/(9+Rules!$B$5))</f>
        <v>1.6806134238997238E-3</v>
      </c>
    </row>
    <row r="34" spans="1:13" x14ac:dyDescent="0.2">
      <c r="A34" s="32">
        <v>6</v>
      </c>
      <c r="B34" s="34">
        <f>(1/(9+Rules!$B$5))^3*(9/(9+Rules!$B$5))</f>
        <v>3.1511501698119817E-4</v>
      </c>
      <c r="C34" s="34">
        <f>(1/(9+Rules!$B$5))^3</f>
        <v>4.5516613563950848E-4</v>
      </c>
      <c r="D34" s="34">
        <f>(1/(9+Rules!$B$5))^3</f>
        <v>4.5516613563950848E-4</v>
      </c>
      <c r="E34" s="34">
        <f>(1/(9+Rules!$B$5))^3</f>
        <v>4.5516613563950848E-4</v>
      </c>
      <c r="F34" s="34">
        <f>(1/(9+Rules!$B$5))^3</f>
        <v>4.5516613563950848E-4</v>
      </c>
      <c r="G34" s="34">
        <f>(1/(9+Rules!$B$5))^3</f>
        <v>4.5516613563950848E-4</v>
      </c>
      <c r="H34" s="34">
        <f>(1/(9+Rules!$B$5))^3</f>
        <v>4.5516613563950848E-4</v>
      </c>
      <c r="I34" s="34">
        <f>(1/(9+Rules!$B$5))^3</f>
        <v>4.5516613563950848E-4</v>
      </c>
      <c r="J34" s="34">
        <f>(1/(9+Rules!$B$5))^3</f>
        <v>4.5516613563950848E-4</v>
      </c>
      <c r="K34" s="34">
        <f>(1/(9+Rules!$B$5))^2*(Rules!$B$5/(9+Rules!$B$5))*((9+Rules!$B$5-1)/(9+Rules!$B$5))</f>
        <v>1.6806134238997238E-3</v>
      </c>
    </row>
    <row r="35" spans="1:13" x14ac:dyDescent="0.2">
      <c r="A35" s="32">
        <v>7</v>
      </c>
      <c r="B35" s="34">
        <f>(1/(9+Rules!$B$5))^3*(9/(9+Rules!$B$5))</f>
        <v>3.1511501698119817E-4</v>
      </c>
      <c r="C35" s="34">
        <f>(1/(9+Rules!$B$5))^3</f>
        <v>4.5516613563950848E-4</v>
      </c>
      <c r="D35" s="34">
        <f>(1/(9+Rules!$B$5))^3</f>
        <v>4.5516613563950848E-4</v>
      </c>
      <c r="E35" s="34">
        <f>(1/(9+Rules!$B$5))^3</f>
        <v>4.5516613563950848E-4</v>
      </c>
      <c r="F35" s="34">
        <f>(1/(9+Rules!$B$5))^3</f>
        <v>4.5516613563950848E-4</v>
      </c>
      <c r="G35" s="34">
        <f>(1/(9+Rules!$B$5))^3</f>
        <v>4.5516613563950848E-4</v>
      </c>
      <c r="H35" s="34">
        <f>(1/(9+Rules!$B$5))^3</f>
        <v>4.5516613563950848E-4</v>
      </c>
      <c r="I35" s="34">
        <f>(1/(9+Rules!$B$5))^3</f>
        <v>4.5516613563950848E-4</v>
      </c>
      <c r="J35" s="34">
        <f>(1/(9+Rules!$B$5))^3</f>
        <v>4.5516613563950848E-4</v>
      </c>
      <c r="K35" s="34">
        <f>(1/(9+Rules!$B$5))^2*(Rules!$B$5/(9+Rules!$B$5))*((9+Rules!$B$5-1)/(9+Rules!$B$5))</f>
        <v>1.6806134238997238E-3</v>
      </c>
    </row>
    <row r="36" spans="1:13" x14ac:dyDescent="0.2">
      <c r="A36" s="32">
        <v>8</v>
      </c>
      <c r="B36" s="34">
        <f>(1/(9+Rules!$B$5))^3*(9/(9+Rules!$B$5))</f>
        <v>3.1511501698119817E-4</v>
      </c>
      <c r="C36" s="34">
        <f>(1/(9+Rules!$B$5))^3</f>
        <v>4.5516613563950848E-4</v>
      </c>
      <c r="D36" s="34">
        <f>(1/(9+Rules!$B$5))^3</f>
        <v>4.5516613563950848E-4</v>
      </c>
      <c r="E36" s="34">
        <f>(1/(9+Rules!$B$5))^3</f>
        <v>4.5516613563950848E-4</v>
      </c>
      <c r="F36" s="34">
        <f>(1/(9+Rules!$B$5))^3</f>
        <v>4.5516613563950848E-4</v>
      </c>
      <c r="G36" s="34">
        <f>(1/(9+Rules!$B$5))^3</f>
        <v>4.5516613563950848E-4</v>
      </c>
      <c r="H36" s="34">
        <f>(1/(9+Rules!$B$5))^3</f>
        <v>4.5516613563950848E-4</v>
      </c>
      <c r="I36" s="34">
        <f>(1/(9+Rules!$B$5))^3</f>
        <v>4.5516613563950848E-4</v>
      </c>
      <c r="J36" s="34">
        <f>(1/(9+Rules!$B$5))^3</f>
        <v>4.5516613563950848E-4</v>
      </c>
      <c r="K36" s="34">
        <f>(1/(9+Rules!$B$5))^2*(Rules!$B$5/(9+Rules!$B$5))*((9+Rules!$B$5-1)/(9+Rules!$B$5))</f>
        <v>1.6806134238997238E-3</v>
      </c>
    </row>
    <row r="37" spans="1:13" x14ac:dyDescent="0.2">
      <c r="A37" s="32">
        <v>9</v>
      </c>
      <c r="B37" s="34">
        <f>(1/(9+Rules!$B$5))^3*(9/(9+Rules!$B$5))</f>
        <v>3.1511501698119817E-4</v>
      </c>
      <c r="C37" s="34">
        <f>(1/(9+Rules!$B$5))^3</f>
        <v>4.5516613563950848E-4</v>
      </c>
      <c r="D37" s="34">
        <f>(1/(9+Rules!$B$5))^3</f>
        <v>4.5516613563950848E-4</v>
      </c>
      <c r="E37" s="34">
        <f>(1/(9+Rules!$B$5))^3</f>
        <v>4.5516613563950848E-4</v>
      </c>
      <c r="F37" s="34">
        <f>(1/(9+Rules!$B$5))^3</f>
        <v>4.5516613563950848E-4</v>
      </c>
      <c r="G37" s="34">
        <f>(1/(9+Rules!$B$5))^3</f>
        <v>4.5516613563950848E-4</v>
      </c>
      <c r="H37" s="34">
        <f>(1/(9+Rules!$B$5))^3</f>
        <v>4.5516613563950848E-4</v>
      </c>
      <c r="I37" s="34">
        <f>(1/(9+Rules!$B$5))^3</f>
        <v>4.5516613563950848E-4</v>
      </c>
      <c r="J37" s="34">
        <f>(1/(9+Rules!$B$5))^3</f>
        <v>4.5516613563950848E-4</v>
      </c>
      <c r="K37" s="34">
        <f>(1/(9+Rules!$B$5))^2*(Rules!$B$5/(9+Rules!$B$5))*((9+Rules!$B$5-1)/(9+Rules!$B$5))</f>
        <v>1.6806134238997238E-3</v>
      </c>
    </row>
    <row r="38" spans="1:13" x14ac:dyDescent="0.2">
      <c r="A38" s="32">
        <v>10</v>
      </c>
      <c r="B38" s="34">
        <f>(Rules!$B$5/(9+Rules!$B$5))^2*(1/(9+Rules!$B$5))*(9/(9+Rules!$B$5))</f>
        <v>5.0418402716991707E-3</v>
      </c>
      <c r="C38" s="34">
        <f>(Rules!$B$5/(9+Rules!$B$5))^2*(1/(9+Rules!$B$5))</f>
        <v>7.2826581702321357E-3</v>
      </c>
      <c r="D38" s="34">
        <f>(Rules!$B$5/(9+Rules!$B$5))^2*(1/(9+Rules!$B$5))</f>
        <v>7.2826581702321357E-3</v>
      </c>
      <c r="E38" s="34">
        <f>(Rules!$B$5/(9+Rules!$B$5))^2*(1/(9+Rules!$B$5))</f>
        <v>7.2826581702321357E-3</v>
      </c>
      <c r="F38" s="34">
        <f>(Rules!$B$5/(9+Rules!$B$5))^2*(1/(9+Rules!$B$5))</f>
        <v>7.2826581702321357E-3</v>
      </c>
      <c r="G38" s="34">
        <f>(Rules!$B$5/(9+Rules!$B$5))^2*(1/(9+Rules!$B$5))</f>
        <v>7.2826581702321357E-3</v>
      </c>
      <c r="H38" s="34">
        <f>(Rules!$B$5/(9+Rules!$B$5))^2*(1/(9+Rules!$B$5))</f>
        <v>7.2826581702321357E-3</v>
      </c>
      <c r="I38" s="34">
        <f>(Rules!$B$5/(9+Rules!$B$5))^2*(1/(9+Rules!$B$5))</f>
        <v>7.2826581702321357E-3</v>
      </c>
      <c r="J38" s="34">
        <f>(Rules!$B$5/(9+Rules!$B$5))^2*(1/(9+Rules!$B$5))</f>
        <v>7.2826581702321357E-3</v>
      </c>
      <c r="K38" s="34">
        <f>(Rules!$B$5/(9+Rules!$B$5))^3*((9+Rules!$B$5-1)/(9+Rules!$B$5))</f>
        <v>2.688981478239558E-2</v>
      </c>
      <c r="M38" s="33">
        <f>SUM(B29:K38)</f>
        <v>0.1409264381499247</v>
      </c>
    </row>
    <row r="39" spans="1:13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spans="1:13" x14ac:dyDescent="0.2">
      <c r="A40" s="37" t="s">
        <v>11</v>
      </c>
      <c r="B40" s="38"/>
      <c r="C40" s="39">
        <f>2*(1/(9+Rules!$B$5))*(Rules!$B$5/(9+Rules!$B$5))</f>
        <v>4.7337278106508882E-2</v>
      </c>
      <c r="M40" s="33">
        <f>SUM(B3:K17,B19:K27,B29:K38)</f>
        <v>0.95266272189349366</v>
      </c>
    </row>
    <row r="41" spans="1:13" x14ac:dyDescent="0.2">
      <c r="M41" s="33">
        <f>M40+C40</f>
        <v>1.0000000000000024</v>
      </c>
    </row>
    <row r="43" spans="1:13" x14ac:dyDescent="0.2">
      <c r="C43" s="36" t="s">
        <v>12</v>
      </c>
    </row>
    <row r="44" spans="1:13" x14ac:dyDescent="0.2">
      <c r="A44" s="40" t="s">
        <v>13</v>
      </c>
      <c r="B44" s="40"/>
      <c r="C44" s="40">
        <v>2</v>
      </c>
      <c r="D44" s="40">
        <v>3</v>
      </c>
      <c r="E44" s="40">
        <v>4</v>
      </c>
      <c r="F44" s="40">
        <v>5</v>
      </c>
      <c r="G44" s="40">
        <v>6</v>
      </c>
      <c r="H44" s="40">
        <v>7</v>
      </c>
      <c r="I44" s="40">
        <v>8</v>
      </c>
      <c r="J44" s="40">
        <v>9</v>
      </c>
      <c r="K44" s="40">
        <v>10</v>
      </c>
    </row>
    <row r="45" spans="1:13" x14ac:dyDescent="0.2">
      <c r="A45" s="40">
        <v>2</v>
      </c>
      <c r="B45" s="40"/>
      <c r="D45" s="33">
        <f t="shared" ref="D45:K47" si="0">SUM(D$44,$A45)</f>
        <v>5</v>
      </c>
      <c r="E45" s="33">
        <f t="shared" si="0"/>
        <v>6</v>
      </c>
      <c r="F45" s="33">
        <f t="shared" si="0"/>
        <v>7</v>
      </c>
      <c r="G45" s="33">
        <f t="shared" si="0"/>
        <v>8</v>
      </c>
      <c r="H45" s="33">
        <f t="shared" si="0"/>
        <v>9</v>
      </c>
      <c r="I45" s="33">
        <f t="shared" si="0"/>
        <v>10</v>
      </c>
      <c r="J45" s="33">
        <f t="shared" si="0"/>
        <v>11</v>
      </c>
      <c r="K45" s="33">
        <f t="shared" si="0"/>
        <v>12</v>
      </c>
    </row>
    <row r="46" spans="1:13" x14ac:dyDescent="0.2">
      <c r="A46" s="40">
        <v>3</v>
      </c>
      <c r="B46" s="40"/>
      <c r="C46" s="33">
        <f t="shared" ref="C46:E53" si="1">SUM(C$44,$A46)</f>
        <v>5</v>
      </c>
      <c r="E46" s="33">
        <f t="shared" si="0"/>
        <v>7</v>
      </c>
      <c r="F46" s="33">
        <f t="shared" si="0"/>
        <v>8</v>
      </c>
      <c r="G46" s="33">
        <f t="shared" si="0"/>
        <v>9</v>
      </c>
      <c r="H46" s="33">
        <f t="shared" si="0"/>
        <v>10</v>
      </c>
      <c r="I46" s="33">
        <f t="shared" si="0"/>
        <v>11</v>
      </c>
      <c r="J46" s="33">
        <f t="shared" si="0"/>
        <v>12</v>
      </c>
      <c r="K46" s="33">
        <f t="shared" si="0"/>
        <v>13</v>
      </c>
    </row>
    <row r="47" spans="1:13" x14ac:dyDescent="0.2">
      <c r="A47" s="40">
        <v>4</v>
      </c>
      <c r="B47" s="40"/>
      <c r="C47" s="33">
        <f t="shared" si="1"/>
        <v>6</v>
      </c>
      <c r="D47" s="33">
        <f t="shared" si="1"/>
        <v>7</v>
      </c>
      <c r="F47" s="33">
        <f t="shared" si="0"/>
        <v>9</v>
      </c>
      <c r="G47" s="33">
        <f t="shared" si="0"/>
        <v>10</v>
      </c>
      <c r="H47" s="33">
        <f t="shared" si="0"/>
        <v>11</v>
      </c>
      <c r="I47" s="33">
        <f t="shared" si="0"/>
        <v>12</v>
      </c>
      <c r="J47" s="33">
        <f t="shared" si="0"/>
        <v>13</v>
      </c>
      <c r="K47" s="33">
        <f t="shared" si="0"/>
        <v>14</v>
      </c>
    </row>
    <row r="48" spans="1:13" x14ac:dyDescent="0.2">
      <c r="A48" s="40">
        <v>5</v>
      </c>
      <c r="B48" s="40"/>
      <c r="C48" s="33">
        <f t="shared" si="1"/>
        <v>7</v>
      </c>
      <c r="D48" s="33">
        <f t="shared" si="1"/>
        <v>8</v>
      </c>
      <c r="E48" s="33">
        <f t="shared" si="1"/>
        <v>9</v>
      </c>
      <c r="G48" s="33">
        <f>SUM(G$44,$A48)</f>
        <v>11</v>
      </c>
      <c r="H48" s="33">
        <f>SUM(H$44,$A48)</f>
        <v>12</v>
      </c>
      <c r="I48" s="33">
        <f>SUM(I$44,$A48)</f>
        <v>13</v>
      </c>
      <c r="J48" s="33">
        <f>SUM(J$44,$A48)</f>
        <v>14</v>
      </c>
      <c r="K48" s="33">
        <f>SUM(K$44,$A48)</f>
        <v>15</v>
      </c>
    </row>
    <row r="49" spans="1:11" x14ac:dyDescent="0.2">
      <c r="A49" s="40">
        <v>6</v>
      </c>
      <c r="B49" s="40"/>
      <c r="C49" s="33">
        <f t="shared" si="1"/>
        <v>8</v>
      </c>
      <c r="D49" s="33">
        <f t="shared" si="1"/>
        <v>9</v>
      </c>
      <c r="E49" s="33">
        <f t="shared" si="1"/>
        <v>10</v>
      </c>
      <c r="F49" s="33">
        <f>SUM(F$44,$A49)</f>
        <v>11</v>
      </c>
      <c r="H49" s="33">
        <f>SUM(H$44,$A49)</f>
        <v>13</v>
      </c>
      <c r="I49" s="33">
        <f>SUM(I$44,$A49)</f>
        <v>14</v>
      </c>
      <c r="J49" s="33">
        <f>SUM(J$44,$A49)</f>
        <v>15</v>
      </c>
      <c r="K49" s="33">
        <f>SUM(K$44,$A49)</f>
        <v>16</v>
      </c>
    </row>
    <row r="50" spans="1:11" x14ac:dyDescent="0.2">
      <c r="A50" s="40">
        <v>7</v>
      </c>
      <c r="B50" s="40"/>
      <c r="C50" s="33">
        <f t="shared" si="1"/>
        <v>9</v>
      </c>
      <c r="D50" s="33">
        <f t="shared" si="1"/>
        <v>10</v>
      </c>
      <c r="E50" s="33">
        <f t="shared" si="1"/>
        <v>11</v>
      </c>
      <c r="F50" s="33">
        <f>SUM(F$44,$A50)</f>
        <v>12</v>
      </c>
      <c r="G50" s="33">
        <f>SUM(G$44,$A50)</f>
        <v>13</v>
      </c>
      <c r="I50" s="33">
        <f>SUM(I$44,$A50)</f>
        <v>15</v>
      </c>
      <c r="J50" s="33">
        <f>SUM(J$44,$A50)</f>
        <v>16</v>
      </c>
      <c r="K50" s="33">
        <f>SUM(K$44,$A50)</f>
        <v>17</v>
      </c>
    </row>
    <row r="51" spans="1:11" x14ac:dyDescent="0.2">
      <c r="A51" s="40">
        <v>8</v>
      </c>
      <c r="B51" s="40"/>
      <c r="C51" s="33">
        <f t="shared" si="1"/>
        <v>10</v>
      </c>
      <c r="D51" s="33">
        <f t="shared" si="1"/>
        <v>11</v>
      </c>
      <c r="E51" s="33">
        <f t="shared" si="1"/>
        <v>12</v>
      </c>
      <c r="F51" s="33">
        <f>SUM(F$44,$A51)</f>
        <v>13</v>
      </c>
      <c r="G51" s="33">
        <f>SUM(G$44,$A51)</f>
        <v>14</v>
      </c>
      <c r="H51" s="33">
        <f>SUM(H$44,$A51)</f>
        <v>15</v>
      </c>
      <c r="J51" s="33">
        <f>SUM(J$44,$A51)</f>
        <v>17</v>
      </c>
      <c r="K51" s="33">
        <f>SUM(K$44,$A51)</f>
        <v>18</v>
      </c>
    </row>
    <row r="52" spans="1:11" x14ac:dyDescent="0.2">
      <c r="A52" s="40">
        <v>9</v>
      </c>
      <c r="B52" s="40"/>
      <c r="C52" s="33">
        <f t="shared" si="1"/>
        <v>11</v>
      </c>
      <c r="D52" s="33">
        <f t="shared" si="1"/>
        <v>12</v>
      </c>
      <c r="E52" s="33">
        <f t="shared" si="1"/>
        <v>13</v>
      </c>
      <c r="F52" s="33">
        <f>SUM(F$44,$A52)</f>
        <v>14</v>
      </c>
      <c r="G52" s="33">
        <f>SUM(G$44,$A52)</f>
        <v>15</v>
      </c>
      <c r="H52" s="33">
        <f>SUM(H$44,$A52)</f>
        <v>16</v>
      </c>
      <c r="I52" s="33">
        <f>SUM(I$44,$A52)</f>
        <v>17</v>
      </c>
      <c r="K52" s="33">
        <f>SUM(K$44,$A52)</f>
        <v>19</v>
      </c>
    </row>
    <row r="53" spans="1:11" x14ac:dyDescent="0.2">
      <c r="A53" s="40">
        <v>10</v>
      </c>
      <c r="B53" s="40"/>
      <c r="C53" s="33">
        <f t="shared" si="1"/>
        <v>12</v>
      </c>
      <c r="D53" s="33">
        <f t="shared" si="1"/>
        <v>13</v>
      </c>
      <c r="E53" s="33">
        <f t="shared" si="1"/>
        <v>14</v>
      </c>
      <c r="F53" s="33">
        <f>SUM(F$44,$A53)</f>
        <v>15</v>
      </c>
      <c r="G53" s="33">
        <f>SUM(G$44,$A53)</f>
        <v>16</v>
      </c>
      <c r="H53" s="33">
        <f>SUM(H$44,$A53)</f>
        <v>17</v>
      </c>
      <c r="I53" s="33">
        <f>SUM(I$44,$A53)</f>
        <v>18</v>
      </c>
      <c r="J53" s="33">
        <f>SUM(J$44,$A53)</f>
        <v>19</v>
      </c>
    </row>
    <row r="54" spans="1:11" x14ac:dyDescent="0.2">
      <c r="A54" s="40" t="s">
        <v>1</v>
      </c>
      <c r="B54" s="40"/>
    </row>
    <row r="56" spans="1:11" x14ac:dyDescent="0.2">
      <c r="C56" s="36" t="s">
        <v>12</v>
      </c>
    </row>
    <row r="57" spans="1:11" x14ac:dyDescent="0.2">
      <c r="A57" s="40" t="s">
        <v>13</v>
      </c>
      <c r="B57" s="40"/>
      <c r="C57" s="40">
        <v>2</v>
      </c>
      <c r="D57" s="40">
        <v>3</v>
      </c>
      <c r="E57" s="40">
        <v>4</v>
      </c>
      <c r="F57" s="40">
        <v>5</v>
      </c>
      <c r="G57" s="40">
        <v>6</v>
      </c>
      <c r="H57" s="40">
        <v>7</v>
      </c>
      <c r="I57" s="40">
        <v>8</v>
      </c>
      <c r="J57" s="40">
        <v>9</v>
      </c>
      <c r="K57" s="40">
        <v>10</v>
      </c>
    </row>
    <row r="58" spans="1:11" x14ac:dyDescent="0.2">
      <c r="A58" s="40">
        <v>2</v>
      </c>
      <c r="B58" s="40"/>
      <c r="D58" s="33">
        <f>(1/(9+Rules!$B$5))^2</f>
        <v>5.9171597633136102E-3</v>
      </c>
      <c r="E58" s="33">
        <f>(1/(9+Rules!$B$5))^2</f>
        <v>5.9171597633136102E-3</v>
      </c>
      <c r="F58" s="33">
        <f>(1/(9+Rules!$B$5))^2</f>
        <v>5.9171597633136102E-3</v>
      </c>
      <c r="G58" s="33">
        <f>(1/(9+Rules!$B$5))^2</f>
        <v>5.9171597633136102E-3</v>
      </c>
      <c r="H58" s="33">
        <f>(1/(9+Rules!$B$5))^2</f>
        <v>5.9171597633136102E-3</v>
      </c>
      <c r="I58" s="33">
        <f>(1/(9+Rules!$B$5))^2</f>
        <v>5.9171597633136102E-3</v>
      </c>
      <c r="J58" s="33">
        <f>(1/(9+Rules!$B$5))^2</f>
        <v>5.9171597633136102E-3</v>
      </c>
      <c r="K58" s="33">
        <f>(1/(9+Rules!$B$5))*(Rules!$B$5/(9+Rules!$B$5))</f>
        <v>2.3668639053254441E-2</v>
      </c>
    </row>
    <row r="59" spans="1:11" x14ac:dyDescent="0.2">
      <c r="A59" s="40">
        <v>3</v>
      </c>
      <c r="B59" s="40"/>
      <c r="C59" s="33">
        <f>(1/(9+Rules!$B$5))^2</f>
        <v>5.9171597633136102E-3</v>
      </c>
      <c r="E59" s="33">
        <f>(1/(9+Rules!$B$5))^2</f>
        <v>5.9171597633136102E-3</v>
      </c>
      <c r="F59" s="33">
        <f>(1/(9+Rules!$B$5))^2</f>
        <v>5.9171597633136102E-3</v>
      </c>
      <c r="G59" s="33">
        <f>(1/(9+Rules!$B$5))^2</f>
        <v>5.9171597633136102E-3</v>
      </c>
      <c r="H59" s="33">
        <f>(1/(9+Rules!$B$5))^2</f>
        <v>5.9171597633136102E-3</v>
      </c>
      <c r="I59" s="33">
        <f>(1/(9+Rules!$B$5))^2</f>
        <v>5.9171597633136102E-3</v>
      </c>
      <c r="J59" s="33">
        <f>(1/(9+Rules!$B$5))^2</f>
        <v>5.9171597633136102E-3</v>
      </c>
      <c r="K59" s="33">
        <f>(1/(9+Rules!$B$5))*(Rules!$B$5/(9+Rules!$B$5))</f>
        <v>2.3668639053254441E-2</v>
      </c>
    </row>
    <row r="60" spans="1:11" x14ac:dyDescent="0.2">
      <c r="A60" s="40">
        <v>4</v>
      </c>
      <c r="B60" s="40"/>
      <c r="C60" s="33">
        <f>(1/(9+Rules!$B$5))^2</f>
        <v>5.9171597633136102E-3</v>
      </c>
      <c r="D60" s="33">
        <f>(1/(9+Rules!$B$5))^2</f>
        <v>5.9171597633136102E-3</v>
      </c>
      <c r="F60" s="33">
        <f>(1/(9+Rules!$B$5))^2</f>
        <v>5.9171597633136102E-3</v>
      </c>
      <c r="G60" s="33">
        <f>(1/(9+Rules!$B$5))^2</f>
        <v>5.9171597633136102E-3</v>
      </c>
      <c r="H60" s="33">
        <f>(1/(9+Rules!$B$5))^2</f>
        <v>5.9171597633136102E-3</v>
      </c>
      <c r="I60" s="33">
        <f>(1/(9+Rules!$B$5))^2</f>
        <v>5.9171597633136102E-3</v>
      </c>
      <c r="J60" s="33">
        <f>(1/(9+Rules!$B$5))^2</f>
        <v>5.9171597633136102E-3</v>
      </c>
      <c r="K60" s="33">
        <f>(1/(9+Rules!$B$5))*(Rules!$B$5/(9+Rules!$B$5))</f>
        <v>2.3668639053254441E-2</v>
      </c>
    </row>
    <row r="61" spans="1:11" x14ac:dyDescent="0.2">
      <c r="A61" s="40">
        <v>5</v>
      </c>
      <c r="B61" s="40"/>
      <c r="C61" s="33">
        <f>(1/(9+Rules!$B$5))^2</f>
        <v>5.9171597633136102E-3</v>
      </c>
      <c r="D61" s="33">
        <f>(1/(9+Rules!$B$5))^2</f>
        <v>5.9171597633136102E-3</v>
      </c>
      <c r="E61" s="33">
        <f>(1/(9+Rules!$B$5))^2</f>
        <v>5.9171597633136102E-3</v>
      </c>
      <c r="G61" s="33">
        <f>(1/(9+Rules!$B$5))^2</f>
        <v>5.9171597633136102E-3</v>
      </c>
      <c r="H61" s="33">
        <f>(1/(9+Rules!$B$5))^2</f>
        <v>5.9171597633136102E-3</v>
      </c>
      <c r="I61" s="33">
        <f>(1/(9+Rules!$B$5))^2</f>
        <v>5.9171597633136102E-3</v>
      </c>
      <c r="J61" s="33">
        <f>(1/(9+Rules!$B$5))^2</f>
        <v>5.9171597633136102E-3</v>
      </c>
      <c r="K61" s="33">
        <f>(1/(9+Rules!$B$5))*(Rules!$B$5/(9+Rules!$B$5))</f>
        <v>2.3668639053254441E-2</v>
      </c>
    </row>
    <row r="62" spans="1:11" x14ac:dyDescent="0.2">
      <c r="A62" s="40">
        <v>6</v>
      </c>
      <c r="B62" s="40"/>
      <c r="C62" s="33">
        <f>(1/(9+Rules!$B$5))^2</f>
        <v>5.9171597633136102E-3</v>
      </c>
      <c r="D62" s="33">
        <f>(1/(9+Rules!$B$5))^2</f>
        <v>5.9171597633136102E-3</v>
      </c>
      <c r="E62" s="33">
        <f>(1/(9+Rules!$B$5))^2</f>
        <v>5.9171597633136102E-3</v>
      </c>
      <c r="F62" s="33">
        <f>(1/(9+Rules!$B$5))^2</f>
        <v>5.9171597633136102E-3</v>
      </c>
      <c r="H62" s="33">
        <f>(1/(9+Rules!$B$5))^2</f>
        <v>5.9171597633136102E-3</v>
      </c>
      <c r="I62" s="33">
        <f>(1/(9+Rules!$B$5))^2</f>
        <v>5.9171597633136102E-3</v>
      </c>
      <c r="J62" s="33">
        <f>(1/(9+Rules!$B$5))^2</f>
        <v>5.9171597633136102E-3</v>
      </c>
      <c r="K62" s="33">
        <f>(1/(9+Rules!$B$5))*(Rules!$B$5/(9+Rules!$B$5))</f>
        <v>2.3668639053254441E-2</v>
      </c>
    </row>
    <row r="63" spans="1:11" x14ac:dyDescent="0.2">
      <c r="A63" s="40">
        <v>7</v>
      </c>
      <c r="B63" s="40"/>
      <c r="C63" s="33">
        <f>(1/(9+Rules!$B$5))^2</f>
        <v>5.9171597633136102E-3</v>
      </c>
      <c r="D63" s="33">
        <f>(1/(9+Rules!$B$5))^2</f>
        <v>5.9171597633136102E-3</v>
      </c>
      <c r="E63" s="33">
        <f>(1/(9+Rules!$B$5))^2</f>
        <v>5.9171597633136102E-3</v>
      </c>
      <c r="F63" s="33">
        <f>(1/(9+Rules!$B$5))^2</f>
        <v>5.9171597633136102E-3</v>
      </c>
      <c r="G63" s="33">
        <f>(1/(9+Rules!$B$5))^2</f>
        <v>5.9171597633136102E-3</v>
      </c>
      <c r="I63" s="33">
        <f>(1/(9+Rules!$B$5))^2</f>
        <v>5.9171597633136102E-3</v>
      </c>
      <c r="J63" s="33">
        <f>(1/(9+Rules!$B$5))^2</f>
        <v>5.9171597633136102E-3</v>
      </c>
      <c r="K63" s="33">
        <f>(1/(9+Rules!$B$5))*(Rules!$B$5/(9+Rules!$B$5))</f>
        <v>2.3668639053254441E-2</v>
      </c>
    </row>
    <row r="64" spans="1:11" x14ac:dyDescent="0.2">
      <c r="A64" s="40">
        <v>8</v>
      </c>
      <c r="B64" s="40"/>
      <c r="C64" s="33">
        <f>(1/(9+Rules!$B$5))^2</f>
        <v>5.9171597633136102E-3</v>
      </c>
      <c r="D64" s="33">
        <f>(1/(9+Rules!$B$5))^2</f>
        <v>5.9171597633136102E-3</v>
      </c>
      <c r="E64" s="33">
        <f>(1/(9+Rules!$B$5))^2</f>
        <v>5.9171597633136102E-3</v>
      </c>
      <c r="F64" s="33">
        <f>(1/(9+Rules!$B$5))^2</f>
        <v>5.9171597633136102E-3</v>
      </c>
      <c r="G64" s="33">
        <f>(1/(9+Rules!$B$5))^2</f>
        <v>5.9171597633136102E-3</v>
      </c>
      <c r="H64" s="33">
        <f>(1/(9+Rules!$B$5))^2</f>
        <v>5.9171597633136102E-3</v>
      </c>
      <c r="J64" s="33">
        <f>(1/(9+Rules!$B$5))^2</f>
        <v>5.9171597633136102E-3</v>
      </c>
      <c r="K64" s="33">
        <f>(1/(9+Rules!$B$5))*(Rules!$B$5/(9+Rules!$B$5))</f>
        <v>2.3668639053254441E-2</v>
      </c>
    </row>
    <row r="65" spans="1:11" x14ac:dyDescent="0.2">
      <c r="A65" s="40">
        <v>9</v>
      </c>
      <c r="B65" s="40"/>
      <c r="C65" s="33">
        <f>(1/(9+Rules!$B$5))^2</f>
        <v>5.9171597633136102E-3</v>
      </c>
      <c r="D65" s="33">
        <f>(1/(9+Rules!$B$5))^2</f>
        <v>5.9171597633136102E-3</v>
      </c>
      <c r="E65" s="33">
        <f>(1/(9+Rules!$B$5))^2</f>
        <v>5.9171597633136102E-3</v>
      </c>
      <c r="F65" s="33">
        <f>(1/(9+Rules!$B$5))^2</f>
        <v>5.9171597633136102E-3</v>
      </c>
      <c r="G65" s="33">
        <f>(1/(9+Rules!$B$5))^2</f>
        <v>5.9171597633136102E-3</v>
      </c>
      <c r="H65" s="33">
        <f>(1/(9+Rules!$B$5))^2</f>
        <v>5.9171597633136102E-3</v>
      </c>
      <c r="I65" s="33">
        <f>(1/(9+Rules!$B$5))^2</f>
        <v>5.9171597633136102E-3</v>
      </c>
      <c r="K65" s="33">
        <f>(1/(9+Rules!$B$5))*(Rules!$B$5/(9+Rules!$B$5))</f>
        <v>2.3668639053254441E-2</v>
      </c>
    </row>
    <row r="66" spans="1:11" x14ac:dyDescent="0.2">
      <c r="A66" s="40">
        <v>10</v>
      </c>
      <c r="B66" s="40"/>
      <c r="C66" s="33">
        <f>(1/(9+Rules!$B$5))*(Rules!$B$5/(9+Rules!$B$5))</f>
        <v>2.3668639053254441E-2</v>
      </c>
      <c r="D66" s="33">
        <f>(1/(9+Rules!$B$5))*(Rules!$B$5/(9+Rules!$B$5))</f>
        <v>2.3668639053254441E-2</v>
      </c>
      <c r="E66" s="33">
        <f>(1/(9+Rules!$B$5))*(Rules!$B$5/(9+Rules!$B$5))</f>
        <v>2.3668639053254441E-2</v>
      </c>
      <c r="F66" s="33">
        <f>(1/(9+Rules!$B$5))*(Rules!$B$5/(9+Rules!$B$5))</f>
        <v>2.3668639053254441E-2</v>
      </c>
      <c r="G66" s="33">
        <f>(1/(9+Rules!$B$5))*(Rules!$B$5/(9+Rules!$B$5))</f>
        <v>2.3668639053254441E-2</v>
      </c>
      <c r="H66" s="33">
        <f>(1/(9+Rules!$B$5))*(Rules!$B$5/(9+Rules!$B$5))</f>
        <v>2.3668639053254441E-2</v>
      </c>
      <c r="I66" s="33">
        <f>(1/(9+Rules!$B$5))*(Rules!$B$5/(9+Rules!$B$5))</f>
        <v>2.3668639053254441E-2</v>
      </c>
      <c r="J66" s="33">
        <f>(1/(9+Rules!$B$5))*(Rules!$B$5/(9+Rules!$B$5))</f>
        <v>2.3668639053254441E-2</v>
      </c>
    </row>
    <row r="67" spans="1:11" x14ac:dyDescent="0.2">
      <c r="A67" s="40" t="s">
        <v>1</v>
      </c>
      <c r="B67" s="40"/>
    </row>
    <row r="69" spans="1:11" x14ac:dyDescent="0.2">
      <c r="A69" s="40"/>
      <c r="B69" s="40"/>
    </row>
    <row r="70" spans="1:11" x14ac:dyDescent="0.2">
      <c r="A70" s="33" t="s">
        <v>9</v>
      </c>
      <c r="C70" s="33" t="s">
        <v>14</v>
      </c>
      <c r="E70" s="33" t="s">
        <v>15</v>
      </c>
    </row>
    <row r="71" spans="1:11" ht="16" x14ac:dyDescent="0.2">
      <c r="A71" s="33">
        <v>5</v>
      </c>
      <c r="C71" s="33">
        <f t="shared" ref="C71:C85" si="2">SUMIF($C$45:$K$53,A71,$C$58:$K$66)</f>
        <v>1.183431952662722E-2</v>
      </c>
      <c r="E71" s="41">
        <f>C71</f>
        <v>1.183431952662722E-2</v>
      </c>
    </row>
    <row r="72" spans="1:11" ht="16" x14ac:dyDescent="0.2">
      <c r="A72" s="33">
        <v>6</v>
      </c>
      <c r="C72" s="33">
        <f t="shared" si="2"/>
        <v>1.183431952662722E-2</v>
      </c>
      <c r="E72" s="41">
        <f t="shared" ref="E72:E85" si="3">C72</f>
        <v>1.183431952662722E-2</v>
      </c>
    </row>
    <row r="73" spans="1:11" ht="16" x14ac:dyDescent="0.2">
      <c r="A73" s="33">
        <v>7</v>
      </c>
      <c r="C73" s="33">
        <f t="shared" si="2"/>
        <v>2.3668639053254441E-2</v>
      </c>
      <c r="E73" s="41">
        <f t="shared" si="3"/>
        <v>2.3668639053254441E-2</v>
      </c>
    </row>
    <row r="74" spans="1:11" ht="16" x14ac:dyDescent="0.2">
      <c r="A74" s="33">
        <v>8</v>
      </c>
      <c r="C74" s="33">
        <f t="shared" si="2"/>
        <v>2.3668639053254441E-2</v>
      </c>
      <c r="E74" s="41">
        <f t="shared" si="3"/>
        <v>2.3668639053254441E-2</v>
      </c>
    </row>
    <row r="75" spans="1:11" ht="16" x14ac:dyDescent="0.2">
      <c r="A75" s="33">
        <v>9</v>
      </c>
      <c r="C75" s="33">
        <f t="shared" si="2"/>
        <v>3.5502958579881665E-2</v>
      </c>
      <c r="E75" s="41">
        <f t="shared" si="3"/>
        <v>3.5502958579881665E-2</v>
      </c>
    </row>
    <row r="76" spans="1:11" ht="16" x14ac:dyDescent="0.2">
      <c r="A76" s="33">
        <v>10</v>
      </c>
      <c r="C76" s="33">
        <f t="shared" si="2"/>
        <v>3.5502958579881665E-2</v>
      </c>
      <c r="E76" s="41">
        <f t="shared" si="3"/>
        <v>3.5502958579881665E-2</v>
      </c>
    </row>
    <row r="77" spans="1:11" ht="16" x14ac:dyDescent="0.2">
      <c r="A77" s="33">
        <v>11</v>
      </c>
      <c r="C77" s="33">
        <f t="shared" si="2"/>
        <v>4.7337278106508889E-2</v>
      </c>
      <c r="E77" s="41">
        <f t="shared" si="3"/>
        <v>4.7337278106508889E-2</v>
      </c>
    </row>
    <row r="78" spans="1:11" ht="16" x14ac:dyDescent="0.2">
      <c r="A78" s="33">
        <v>12</v>
      </c>
      <c r="C78" s="33">
        <f t="shared" si="2"/>
        <v>8.2840236686390553E-2</v>
      </c>
      <c r="E78" s="41">
        <f t="shared" si="3"/>
        <v>8.2840236686390553E-2</v>
      </c>
    </row>
    <row r="79" spans="1:11" ht="16" x14ac:dyDescent="0.2">
      <c r="A79" s="33">
        <v>13</v>
      </c>
      <c r="C79" s="33">
        <f t="shared" si="2"/>
        <v>8.2840236686390553E-2</v>
      </c>
      <c r="E79" s="41">
        <f t="shared" si="3"/>
        <v>8.2840236686390553E-2</v>
      </c>
    </row>
    <row r="80" spans="1:11" ht="16" x14ac:dyDescent="0.2">
      <c r="A80" s="33">
        <v>14</v>
      </c>
      <c r="C80" s="33">
        <f t="shared" si="2"/>
        <v>7.1005917159763329E-2</v>
      </c>
      <c r="E80" s="41">
        <f t="shared" si="3"/>
        <v>7.1005917159763329E-2</v>
      </c>
    </row>
    <row r="81" spans="1:5" ht="16" x14ac:dyDescent="0.2">
      <c r="A81" s="33">
        <v>15</v>
      </c>
      <c r="C81" s="33">
        <f t="shared" si="2"/>
        <v>7.1005917159763329E-2</v>
      </c>
      <c r="E81" s="41">
        <f t="shared" si="3"/>
        <v>7.1005917159763329E-2</v>
      </c>
    </row>
    <row r="82" spans="1:5" ht="16" x14ac:dyDescent="0.2">
      <c r="A82" s="33">
        <v>16</v>
      </c>
      <c r="C82" s="33">
        <f t="shared" si="2"/>
        <v>5.9171597633136105E-2</v>
      </c>
      <c r="E82" s="41">
        <f t="shared" si="3"/>
        <v>5.9171597633136105E-2</v>
      </c>
    </row>
    <row r="83" spans="1:5" ht="16" x14ac:dyDescent="0.2">
      <c r="A83" s="33">
        <v>17</v>
      </c>
      <c r="C83" s="33">
        <f t="shared" si="2"/>
        <v>5.9171597633136105E-2</v>
      </c>
      <c r="E83" s="41">
        <f t="shared" si="3"/>
        <v>5.9171597633136105E-2</v>
      </c>
    </row>
    <row r="84" spans="1:5" ht="16" x14ac:dyDescent="0.2">
      <c r="A84" s="33">
        <v>18</v>
      </c>
      <c r="C84" s="33">
        <f t="shared" si="2"/>
        <v>4.7337278106508882E-2</v>
      </c>
      <c r="E84" s="41">
        <f t="shared" si="3"/>
        <v>4.7337278106508882E-2</v>
      </c>
    </row>
    <row r="85" spans="1:5" ht="16" x14ac:dyDescent="0.2">
      <c r="A85" s="33">
        <v>19</v>
      </c>
      <c r="C85" s="33">
        <f t="shared" si="2"/>
        <v>4.7337278106508882E-2</v>
      </c>
      <c r="E85" s="41">
        <f t="shared" si="3"/>
        <v>4.7337278106508882E-2</v>
      </c>
    </row>
    <row r="87" spans="1:5" x14ac:dyDescent="0.2">
      <c r="C87" s="33">
        <f>SUM(C71:C86)</f>
        <v>0.71005917159763332</v>
      </c>
    </row>
  </sheetData>
  <sheetProtection sheet="1" objects="1" scenarios="1"/>
  <mergeCells count="1">
    <mergeCell ref="A1:K1"/>
  </mergeCells>
  <phoneticPr fontId="16" type="noConversion"/>
  <conditionalFormatting sqref="B19:K27 B29:K39 B3:K17">
    <cfRule type="containsText" dxfId="798" priority="15" operator="containsText" text="R">
      <formula>NOT(ISERROR(SEARCH("R",B3)))</formula>
    </cfRule>
    <cfRule type="containsText" dxfId="797" priority="16" operator="containsText" text="D">
      <formula>NOT(ISERROR(SEARCH("D",B3)))</formula>
    </cfRule>
    <cfRule type="containsText" dxfId="796" priority="17" operator="containsText" text="S">
      <formula>NOT(ISERROR(SEARCH("S",B3)))</formula>
    </cfRule>
    <cfRule type="containsText" dxfId="795" priority="18" operator="containsText" text="H">
      <formula>NOT(ISERROR(SEARCH("H",B3)))</formula>
    </cfRule>
  </conditionalFormatting>
  <conditionalFormatting sqref="B19:K27 B29:K39 B3:K17">
    <cfRule type="containsText" dxfId="794" priority="14" operator="containsText" text="P">
      <formula>NOT(ISERROR(SEARCH("P",B3)))</formula>
    </cfRule>
  </conditionalFormatting>
  <conditionalFormatting sqref="C43">
    <cfRule type="containsText" dxfId="793" priority="10" operator="containsText" text="R">
      <formula>NOT(ISERROR(SEARCH("R",C43)))</formula>
    </cfRule>
    <cfRule type="containsText" dxfId="792" priority="11" operator="containsText" text="D">
      <formula>NOT(ISERROR(SEARCH("D",C43)))</formula>
    </cfRule>
    <cfRule type="containsText" dxfId="791" priority="12" operator="containsText" text="S">
      <formula>NOT(ISERROR(SEARCH("S",C43)))</formula>
    </cfRule>
    <cfRule type="containsText" dxfId="790" priority="13" operator="containsText" text="H">
      <formula>NOT(ISERROR(SEARCH("H",C43)))</formula>
    </cfRule>
  </conditionalFormatting>
  <conditionalFormatting sqref="C43">
    <cfRule type="containsText" dxfId="789" priority="9" operator="containsText" text="P">
      <formula>NOT(ISERROR(SEARCH("P",C43)))</formula>
    </cfRule>
  </conditionalFormatting>
  <conditionalFormatting sqref="C56">
    <cfRule type="containsText" dxfId="788" priority="5" operator="containsText" text="R">
      <formula>NOT(ISERROR(SEARCH("R",C56)))</formula>
    </cfRule>
    <cfRule type="containsText" dxfId="787" priority="6" operator="containsText" text="D">
      <formula>NOT(ISERROR(SEARCH("D",C56)))</formula>
    </cfRule>
    <cfRule type="containsText" dxfId="786" priority="7" operator="containsText" text="S">
      <formula>NOT(ISERROR(SEARCH("S",C56)))</formula>
    </cfRule>
    <cfRule type="containsText" dxfId="785" priority="8" operator="containsText" text="H">
      <formula>NOT(ISERROR(SEARCH("H",C56)))</formula>
    </cfRule>
  </conditionalFormatting>
  <conditionalFormatting sqref="C56">
    <cfRule type="containsText" dxfId="784" priority="4" operator="containsText" text="P">
      <formula>NOT(ISERROR(SEARCH("P",C56)))</formula>
    </cfRule>
  </conditionalFormatting>
  <conditionalFormatting sqref="B3:K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K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K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000000000000011" bottom="0.75000000000000011" header="0.30000000000000004" footer="0.30000000000000004"/>
  <pageSetup paperSize="9" scale="3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2:AF122"/>
  <sheetViews>
    <sheetView topLeftCell="A105" zoomScale="85" workbookViewId="0">
      <selection activeCell="C17" sqref="C17"/>
    </sheetView>
  </sheetViews>
  <sheetFormatPr baseColWidth="10" defaultColWidth="11" defaultRowHeight="16" x14ac:dyDescent="0.2"/>
  <cols>
    <col min="2" max="3" width="12" bestFit="1" customWidth="1"/>
  </cols>
  <sheetData>
    <row r="2" spans="1:18" x14ac:dyDescent="0.2">
      <c r="A2" s="33"/>
      <c r="B2" s="33"/>
      <c r="C2" s="36" t="s">
        <v>12</v>
      </c>
      <c r="D2" s="33"/>
      <c r="E2" s="33"/>
      <c r="F2" s="33"/>
      <c r="G2" s="33"/>
      <c r="H2" s="33"/>
      <c r="I2" s="33"/>
      <c r="J2" s="33"/>
      <c r="K2" s="33"/>
      <c r="N2" t="s">
        <v>91</v>
      </c>
      <c r="O2" t="s">
        <v>14</v>
      </c>
      <c r="Q2" t="s">
        <v>92</v>
      </c>
      <c r="R2" t="s">
        <v>14</v>
      </c>
    </row>
    <row r="3" spans="1:18" x14ac:dyDescent="0.2">
      <c r="A3" s="40" t="s">
        <v>13</v>
      </c>
      <c r="B3" s="40"/>
      <c r="C3" s="40">
        <v>2</v>
      </c>
      <c r="D3" s="40">
        <v>3</v>
      </c>
      <c r="E3" s="40">
        <v>4</v>
      </c>
      <c r="F3" s="40">
        <v>5</v>
      </c>
      <c r="G3" s="40">
        <v>6</v>
      </c>
      <c r="H3" s="40">
        <v>7</v>
      </c>
      <c r="I3" s="40">
        <v>8</v>
      </c>
      <c r="J3" s="40">
        <v>9</v>
      </c>
      <c r="K3" s="40">
        <v>10</v>
      </c>
      <c r="L3" s="40">
        <v>1</v>
      </c>
      <c r="N3" s="33">
        <v>4</v>
      </c>
      <c r="O3">
        <f>SUMIF($C$4:$K$12,N3,$C$17:$K$25)</f>
        <v>5.9171597633136093E-3</v>
      </c>
      <c r="Q3">
        <v>12</v>
      </c>
      <c r="R3">
        <f>SUMIF($L$4:$L$13,Q3,$L$17:$L$26)+SUMIF($C$13:$K$13,Q3,$C$26:$K$26)</f>
        <v>5.9171597633136093E-3</v>
      </c>
    </row>
    <row r="4" spans="1:18" x14ac:dyDescent="0.2">
      <c r="A4" s="40">
        <v>2</v>
      </c>
      <c r="B4" s="40"/>
      <c r="C4" s="33">
        <f>SUM(C$3,$A4)</f>
        <v>4</v>
      </c>
      <c r="D4" s="33">
        <f t="shared" ref="D4:K4" si="0">SUM(D$3,$A4)</f>
        <v>5</v>
      </c>
      <c r="E4" s="33">
        <f t="shared" si="0"/>
        <v>6</v>
      </c>
      <c r="F4" s="33">
        <f t="shared" si="0"/>
        <v>7</v>
      </c>
      <c r="G4" s="33">
        <f t="shared" si="0"/>
        <v>8</v>
      </c>
      <c r="H4" s="33">
        <f t="shared" si="0"/>
        <v>9</v>
      </c>
      <c r="I4" s="33">
        <f t="shared" si="0"/>
        <v>10</v>
      </c>
      <c r="J4" s="33">
        <f t="shared" si="0"/>
        <v>11</v>
      </c>
      <c r="K4" s="33">
        <f t="shared" si="0"/>
        <v>12</v>
      </c>
      <c r="L4" s="33">
        <f>SUM(L$3,$A4)+10</f>
        <v>13</v>
      </c>
      <c r="N4">
        <v>5</v>
      </c>
      <c r="O4">
        <f t="shared" ref="O4:O19" si="1">SUMIF($C$4:$K$12,N4,$C$17:$K$25)</f>
        <v>1.183431952662722E-2</v>
      </c>
      <c r="Q4">
        <v>13</v>
      </c>
      <c r="R4">
        <f>SUMIF($L$4:$L$13,Q4,$L$17:$L$26)+SUMIF($C$13:$K$13,Q4,$C$26:$K$26)</f>
        <v>1.183431952662722E-2</v>
      </c>
    </row>
    <row r="5" spans="1:18" x14ac:dyDescent="0.2">
      <c r="A5" s="40">
        <v>3</v>
      </c>
      <c r="B5" s="40"/>
      <c r="C5" s="33">
        <f t="shared" ref="C5:K12" si="2">SUM(C$3,$A5)</f>
        <v>5</v>
      </c>
      <c r="D5" s="33">
        <f t="shared" si="2"/>
        <v>6</v>
      </c>
      <c r="E5" s="33">
        <f t="shared" si="2"/>
        <v>7</v>
      </c>
      <c r="F5" s="33">
        <f t="shared" si="2"/>
        <v>8</v>
      </c>
      <c r="G5" s="33">
        <f t="shared" si="2"/>
        <v>9</v>
      </c>
      <c r="H5" s="33">
        <f t="shared" si="2"/>
        <v>10</v>
      </c>
      <c r="I5" s="33">
        <f t="shared" si="2"/>
        <v>11</v>
      </c>
      <c r="J5" s="33">
        <f t="shared" si="2"/>
        <v>12</v>
      </c>
      <c r="K5" s="33">
        <f t="shared" si="2"/>
        <v>13</v>
      </c>
      <c r="L5" s="33">
        <f t="shared" ref="L5:L13" si="3">SUM(L$3,$A5)+10</f>
        <v>14</v>
      </c>
      <c r="N5" s="33">
        <v>6</v>
      </c>
      <c r="O5">
        <f t="shared" si="1"/>
        <v>1.7751479289940829E-2</v>
      </c>
      <c r="Q5">
        <v>14</v>
      </c>
      <c r="R5">
        <f t="shared" ref="R5:R12" si="4">SUMIF($L$4:$L$13,Q5,$L$17:$L$26)+SUMIF($C$13:$K$13,Q5,$C$26:$K$26)</f>
        <v>1.183431952662722E-2</v>
      </c>
    </row>
    <row r="6" spans="1:18" x14ac:dyDescent="0.2">
      <c r="A6" s="40">
        <v>4</v>
      </c>
      <c r="B6" s="40"/>
      <c r="C6" s="33">
        <f t="shared" si="2"/>
        <v>6</v>
      </c>
      <c r="D6" s="33">
        <f t="shared" si="2"/>
        <v>7</v>
      </c>
      <c r="E6" s="33">
        <f t="shared" si="2"/>
        <v>8</v>
      </c>
      <c r="F6" s="33">
        <f t="shared" si="2"/>
        <v>9</v>
      </c>
      <c r="G6" s="33">
        <f t="shared" si="2"/>
        <v>10</v>
      </c>
      <c r="H6" s="33">
        <f t="shared" si="2"/>
        <v>11</v>
      </c>
      <c r="I6" s="33">
        <f t="shared" si="2"/>
        <v>12</v>
      </c>
      <c r="J6" s="33">
        <f t="shared" si="2"/>
        <v>13</v>
      </c>
      <c r="K6" s="33">
        <f t="shared" si="2"/>
        <v>14</v>
      </c>
      <c r="L6" s="33">
        <f t="shared" si="3"/>
        <v>15</v>
      </c>
      <c r="N6">
        <v>7</v>
      </c>
      <c r="O6">
        <f t="shared" si="1"/>
        <v>2.3668639053254441E-2</v>
      </c>
      <c r="Q6">
        <v>15</v>
      </c>
      <c r="R6">
        <f t="shared" si="4"/>
        <v>1.183431952662722E-2</v>
      </c>
    </row>
    <row r="7" spans="1:18" x14ac:dyDescent="0.2">
      <c r="A7" s="40">
        <v>5</v>
      </c>
      <c r="B7" s="40"/>
      <c r="C7" s="33">
        <f t="shared" si="2"/>
        <v>7</v>
      </c>
      <c r="D7" s="33">
        <f t="shared" si="2"/>
        <v>8</v>
      </c>
      <c r="E7" s="33">
        <f t="shared" si="2"/>
        <v>9</v>
      </c>
      <c r="F7" s="33">
        <f t="shared" si="2"/>
        <v>10</v>
      </c>
      <c r="G7" s="33">
        <f t="shared" si="2"/>
        <v>11</v>
      </c>
      <c r="H7" s="33">
        <f t="shared" si="2"/>
        <v>12</v>
      </c>
      <c r="I7" s="33">
        <f t="shared" si="2"/>
        <v>13</v>
      </c>
      <c r="J7" s="33">
        <f t="shared" si="2"/>
        <v>14</v>
      </c>
      <c r="K7" s="33">
        <f t="shared" si="2"/>
        <v>15</v>
      </c>
      <c r="L7" s="33">
        <f t="shared" si="3"/>
        <v>16</v>
      </c>
      <c r="N7" s="33">
        <v>8</v>
      </c>
      <c r="O7">
        <f t="shared" si="1"/>
        <v>2.9585798816568053E-2</v>
      </c>
      <c r="Q7">
        <v>16</v>
      </c>
      <c r="R7">
        <f t="shared" si="4"/>
        <v>1.183431952662722E-2</v>
      </c>
    </row>
    <row r="8" spans="1:18" x14ac:dyDescent="0.2">
      <c r="A8" s="40">
        <v>6</v>
      </c>
      <c r="B8" s="40"/>
      <c r="C8" s="33">
        <f t="shared" si="2"/>
        <v>8</v>
      </c>
      <c r="D8" s="33">
        <f t="shared" si="2"/>
        <v>9</v>
      </c>
      <c r="E8" s="33">
        <f t="shared" si="2"/>
        <v>10</v>
      </c>
      <c r="F8" s="33">
        <f t="shared" si="2"/>
        <v>11</v>
      </c>
      <c r="G8" s="33">
        <f t="shared" si="2"/>
        <v>12</v>
      </c>
      <c r="H8" s="33">
        <f t="shared" si="2"/>
        <v>13</v>
      </c>
      <c r="I8" s="33">
        <f t="shared" si="2"/>
        <v>14</v>
      </c>
      <c r="J8" s="33">
        <f t="shared" si="2"/>
        <v>15</v>
      </c>
      <c r="K8" s="33">
        <f t="shared" si="2"/>
        <v>16</v>
      </c>
      <c r="L8" s="33">
        <f t="shared" si="3"/>
        <v>17</v>
      </c>
      <c r="N8">
        <v>9</v>
      </c>
      <c r="O8">
        <f t="shared" si="1"/>
        <v>3.5502958579881665E-2</v>
      </c>
      <c r="Q8">
        <v>17</v>
      </c>
      <c r="R8">
        <f t="shared" si="4"/>
        <v>1.183431952662722E-2</v>
      </c>
    </row>
    <row r="9" spans="1:18" x14ac:dyDescent="0.2">
      <c r="A9" s="40">
        <v>7</v>
      </c>
      <c r="B9" s="40"/>
      <c r="C9" s="33">
        <f t="shared" si="2"/>
        <v>9</v>
      </c>
      <c r="D9" s="33">
        <f t="shared" si="2"/>
        <v>10</v>
      </c>
      <c r="E9" s="33">
        <f t="shared" si="2"/>
        <v>11</v>
      </c>
      <c r="F9" s="33">
        <f t="shared" si="2"/>
        <v>12</v>
      </c>
      <c r="G9" s="33">
        <f t="shared" si="2"/>
        <v>13</v>
      </c>
      <c r="H9" s="33">
        <f t="shared" si="2"/>
        <v>14</v>
      </c>
      <c r="I9" s="33">
        <f t="shared" si="2"/>
        <v>15</v>
      </c>
      <c r="J9" s="33">
        <f t="shared" si="2"/>
        <v>16</v>
      </c>
      <c r="K9" s="33">
        <f t="shared" si="2"/>
        <v>17</v>
      </c>
      <c r="L9" s="33">
        <f t="shared" si="3"/>
        <v>18</v>
      </c>
      <c r="N9" s="33">
        <v>10</v>
      </c>
      <c r="O9">
        <f t="shared" si="1"/>
        <v>4.142011834319527E-2</v>
      </c>
      <c r="Q9">
        <v>18</v>
      </c>
      <c r="R9">
        <f t="shared" si="4"/>
        <v>1.183431952662722E-2</v>
      </c>
    </row>
    <row r="10" spans="1:18" x14ac:dyDescent="0.2">
      <c r="A10" s="40">
        <v>8</v>
      </c>
      <c r="B10" s="40"/>
      <c r="C10" s="33">
        <f t="shared" si="2"/>
        <v>10</v>
      </c>
      <c r="D10" s="33">
        <f t="shared" si="2"/>
        <v>11</v>
      </c>
      <c r="E10" s="33">
        <f t="shared" si="2"/>
        <v>12</v>
      </c>
      <c r="F10" s="33">
        <f t="shared" si="2"/>
        <v>13</v>
      </c>
      <c r="G10" s="33">
        <f t="shared" si="2"/>
        <v>14</v>
      </c>
      <c r="H10" s="33">
        <f t="shared" si="2"/>
        <v>15</v>
      </c>
      <c r="I10" s="33">
        <f t="shared" si="2"/>
        <v>16</v>
      </c>
      <c r="J10" s="33">
        <f t="shared" si="2"/>
        <v>17</v>
      </c>
      <c r="K10" s="33">
        <f t="shared" si="2"/>
        <v>18</v>
      </c>
      <c r="L10" s="33">
        <f t="shared" si="3"/>
        <v>19</v>
      </c>
      <c r="N10">
        <v>11</v>
      </c>
      <c r="O10">
        <f t="shared" si="1"/>
        <v>4.7337278106508889E-2</v>
      </c>
      <c r="Q10">
        <v>19</v>
      </c>
      <c r="R10">
        <f t="shared" si="4"/>
        <v>1.183431952662722E-2</v>
      </c>
    </row>
    <row r="11" spans="1:18" x14ac:dyDescent="0.2">
      <c r="A11" s="40">
        <v>9</v>
      </c>
      <c r="B11" s="40"/>
      <c r="C11" s="33">
        <f t="shared" si="2"/>
        <v>11</v>
      </c>
      <c r="D11" s="33">
        <f t="shared" si="2"/>
        <v>12</v>
      </c>
      <c r="E11" s="33">
        <f t="shared" si="2"/>
        <v>13</v>
      </c>
      <c r="F11" s="33">
        <f t="shared" si="2"/>
        <v>14</v>
      </c>
      <c r="G11" s="33">
        <f t="shared" si="2"/>
        <v>15</v>
      </c>
      <c r="H11" s="33">
        <f t="shared" si="2"/>
        <v>16</v>
      </c>
      <c r="I11" s="33">
        <f t="shared" si="2"/>
        <v>17</v>
      </c>
      <c r="J11" s="33">
        <f t="shared" si="2"/>
        <v>18</v>
      </c>
      <c r="K11" s="33">
        <f t="shared" si="2"/>
        <v>19</v>
      </c>
      <c r="L11" s="33">
        <f t="shared" si="3"/>
        <v>20</v>
      </c>
      <c r="N11" s="33">
        <v>12</v>
      </c>
      <c r="O11">
        <f t="shared" si="1"/>
        <v>8.8757396449704151E-2</v>
      </c>
      <c r="Q11">
        <v>20</v>
      </c>
      <c r="R11">
        <f t="shared" si="4"/>
        <v>1.183431952662722E-2</v>
      </c>
    </row>
    <row r="12" spans="1:18" x14ac:dyDescent="0.2">
      <c r="A12" s="40">
        <v>10</v>
      </c>
      <c r="B12" s="40"/>
      <c r="C12" s="33">
        <f t="shared" si="2"/>
        <v>12</v>
      </c>
      <c r="D12" s="33">
        <f t="shared" si="2"/>
        <v>13</v>
      </c>
      <c r="E12" s="33">
        <f t="shared" si="2"/>
        <v>14</v>
      </c>
      <c r="F12" s="33">
        <f t="shared" si="2"/>
        <v>15</v>
      </c>
      <c r="G12" s="33">
        <f t="shared" si="2"/>
        <v>16</v>
      </c>
      <c r="H12" s="33">
        <f t="shared" si="2"/>
        <v>17</v>
      </c>
      <c r="I12" s="33">
        <f t="shared" si="2"/>
        <v>18</v>
      </c>
      <c r="J12" s="33">
        <f t="shared" si="2"/>
        <v>19</v>
      </c>
      <c r="K12" s="33">
        <f t="shared" si="2"/>
        <v>20</v>
      </c>
      <c r="L12" s="33">
        <f t="shared" si="3"/>
        <v>21</v>
      </c>
      <c r="N12">
        <v>13</v>
      </c>
      <c r="O12">
        <f t="shared" si="1"/>
        <v>8.2840236686390553E-2</v>
      </c>
      <c r="Q12">
        <v>21</v>
      </c>
      <c r="R12">
        <f t="shared" si="4"/>
        <v>4.7337278106508882E-2</v>
      </c>
    </row>
    <row r="13" spans="1:18" x14ac:dyDescent="0.2">
      <c r="A13" s="40">
        <v>1</v>
      </c>
      <c r="B13" s="40"/>
      <c r="C13" s="33">
        <f t="shared" ref="C13:K13" si="5">SUM(C$3,$A13)+10</f>
        <v>13</v>
      </c>
      <c r="D13" s="33">
        <f t="shared" si="5"/>
        <v>14</v>
      </c>
      <c r="E13" s="33">
        <f t="shared" si="5"/>
        <v>15</v>
      </c>
      <c r="F13" s="33">
        <f t="shared" si="5"/>
        <v>16</v>
      </c>
      <c r="G13" s="33">
        <f t="shared" si="5"/>
        <v>17</v>
      </c>
      <c r="H13" s="33">
        <f t="shared" si="5"/>
        <v>18</v>
      </c>
      <c r="I13" s="33">
        <f t="shared" si="5"/>
        <v>19</v>
      </c>
      <c r="J13" s="33">
        <f t="shared" si="5"/>
        <v>20</v>
      </c>
      <c r="K13" s="33">
        <f t="shared" si="5"/>
        <v>21</v>
      </c>
      <c r="L13" s="33">
        <f t="shared" si="3"/>
        <v>12</v>
      </c>
      <c r="N13" s="33">
        <v>14</v>
      </c>
      <c r="O13">
        <f t="shared" si="1"/>
        <v>7.6923076923076941E-2</v>
      </c>
    </row>
    <row r="14" spans="1:18" x14ac:dyDescent="0.2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N14">
        <v>15</v>
      </c>
      <c r="O14">
        <f t="shared" si="1"/>
        <v>7.1005917159763329E-2</v>
      </c>
      <c r="R14">
        <f>SUM(R3:R13)</f>
        <v>0.14792899408284027</v>
      </c>
    </row>
    <row r="15" spans="1:18" x14ac:dyDescent="0.2">
      <c r="A15" s="33"/>
      <c r="B15" s="33"/>
      <c r="C15" s="36" t="s">
        <v>12</v>
      </c>
      <c r="D15" s="33"/>
      <c r="E15" s="33"/>
      <c r="F15" s="33"/>
      <c r="G15" s="33"/>
      <c r="H15" s="33"/>
      <c r="I15" s="33"/>
      <c r="J15" s="33"/>
      <c r="K15" s="33"/>
      <c r="N15" s="33">
        <v>16</v>
      </c>
      <c r="O15">
        <f t="shared" si="1"/>
        <v>6.5088757396449717E-2</v>
      </c>
      <c r="R15">
        <f>R14+O23</f>
        <v>1.0000000000000002</v>
      </c>
    </row>
    <row r="16" spans="1:18" x14ac:dyDescent="0.2">
      <c r="A16" s="40" t="s">
        <v>13</v>
      </c>
      <c r="B16" s="40"/>
      <c r="C16" s="40">
        <v>2</v>
      </c>
      <c r="D16" s="40">
        <v>3</v>
      </c>
      <c r="E16" s="40">
        <v>4</v>
      </c>
      <c r="F16" s="40">
        <v>5</v>
      </c>
      <c r="G16" s="40">
        <v>6</v>
      </c>
      <c r="H16" s="40">
        <v>7</v>
      </c>
      <c r="I16" s="40">
        <v>8</v>
      </c>
      <c r="J16" s="40">
        <v>9</v>
      </c>
      <c r="K16" s="40">
        <v>10</v>
      </c>
      <c r="L16" s="40">
        <v>1</v>
      </c>
      <c r="N16">
        <v>17</v>
      </c>
      <c r="O16">
        <f t="shared" si="1"/>
        <v>5.9171597633136105E-2</v>
      </c>
    </row>
    <row r="17" spans="1:32" x14ac:dyDescent="0.2">
      <c r="A17" s="40">
        <v>2</v>
      </c>
      <c r="B17" s="40"/>
      <c r="C17" s="33">
        <f>1/(9+Rules!$B$5)^2</f>
        <v>5.9171597633136093E-3</v>
      </c>
      <c r="D17" s="33">
        <f>(1/(9+Rules!$B$5))^2</f>
        <v>5.9171597633136102E-3</v>
      </c>
      <c r="E17" s="33">
        <f>(1/(9+Rules!$B$5))^2</f>
        <v>5.9171597633136102E-3</v>
      </c>
      <c r="F17" s="33">
        <f>(1/(9+Rules!$B$5))^2</f>
        <v>5.9171597633136102E-3</v>
      </c>
      <c r="G17" s="33">
        <f>(1/(9+Rules!$B$5))^2</f>
        <v>5.9171597633136102E-3</v>
      </c>
      <c r="H17" s="33">
        <f>(1/(9+Rules!$B$5))^2</f>
        <v>5.9171597633136102E-3</v>
      </c>
      <c r="I17" s="33">
        <f>(1/(9+Rules!$B$5))^2</f>
        <v>5.9171597633136102E-3</v>
      </c>
      <c r="J17" s="33">
        <f>(1/(9+Rules!$B$5))^2</f>
        <v>5.9171597633136102E-3</v>
      </c>
      <c r="K17" s="33">
        <f>(1/(9+Rules!$B$5))*(Rules!$B$5/(9+Rules!$B$5))</f>
        <v>2.3668639053254441E-2</v>
      </c>
      <c r="L17" s="33">
        <f>(1/(9+Rules!$B$5))^2</f>
        <v>5.9171597633136102E-3</v>
      </c>
      <c r="N17" s="33">
        <v>18</v>
      </c>
      <c r="O17">
        <f t="shared" si="1"/>
        <v>5.3254437869822494E-2</v>
      </c>
    </row>
    <row r="18" spans="1:32" x14ac:dyDescent="0.2">
      <c r="A18" s="40">
        <v>3</v>
      </c>
      <c r="B18" s="40"/>
      <c r="C18" s="33">
        <f>(1/(9+Rules!$B$5))^2</f>
        <v>5.9171597633136102E-3</v>
      </c>
      <c r="D18" s="33">
        <f>1/(9+Rules!$B$5)^2</f>
        <v>5.9171597633136093E-3</v>
      </c>
      <c r="E18" s="33">
        <f>(1/(9+Rules!$B$5))^2</f>
        <v>5.9171597633136102E-3</v>
      </c>
      <c r="F18" s="33">
        <f>(1/(9+Rules!$B$5))^2</f>
        <v>5.9171597633136102E-3</v>
      </c>
      <c r="G18" s="33">
        <f>(1/(9+Rules!$B$5))^2</f>
        <v>5.9171597633136102E-3</v>
      </c>
      <c r="H18" s="33">
        <f>(1/(9+Rules!$B$5))^2</f>
        <v>5.9171597633136102E-3</v>
      </c>
      <c r="I18" s="33">
        <f>(1/(9+Rules!$B$5))^2</f>
        <v>5.9171597633136102E-3</v>
      </c>
      <c r="J18" s="33">
        <f>(1/(9+Rules!$B$5))^2</f>
        <v>5.9171597633136102E-3</v>
      </c>
      <c r="K18" s="33">
        <f>(1/(9+Rules!$B$5))*(Rules!$B$5/(9+Rules!$B$5))</f>
        <v>2.3668639053254441E-2</v>
      </c>
      <c r="L18" s="33">
        <f>(1/(9+Rules!$B$5))^2</f>
        <v>5.9171597633136102E-3</v>
      </c>
      <c r="N18">
        <v>19</v>
      </c>
      <c r="O18">
        <f t="shared" si="1"/>
        <v>4.7337278106508882E-2</v>
      </c>
    </row>
    <row r="19" spans="1:32" x14ac:dyDescent="0.2">
      <c r="A19" s="40">
        <v>4</v>
      </c>
      <c r="B19" s="40"/>
      <c r="C19" s="33">
        <f>(1/(9+Rules!$B$5))^2</f>
        <v>5.9171597633136102E-3</v>
      </c>
      <c r="D19" s="33">
        <f>(1/(9+Rules!$B$5))^2</f>
        <v>5.9171597633136102E-3</v>
      </c>
      <c r="E19" s="33">
        <f>1/(9+Rules!$B$5)^2</f>
        <v>5.9171597633136093E-3</v>
      </c>
      <c r="F19" s="33">
        <f>(1/(9+Rules!$B$5))^2</f>
        <v>5.9171597633136102E-3</v>
      </c>
      <c r="G19" s="33">
        <f>(1/(9+Rules!$B$5))^2</f>
        <v>5.9171597633136102E-3</v>
      </c>
      <c r="H19" s="33">
        <f>(1/(9+Rules!$B$5))^2</f>
        <v>5.9171597633136102E-3</v>
      </c>
      <c r="I19" s="33">
        <f>(1/(9+Rules!$B$5))^2</f>
        <v>5.9171597633136102E-3</v>
      </c>
      <c r="J19" s="33">
        <f>(1/(9+Rules!$B$5))^2</f>
        <v>5.9171597633136102E-3</v>
      </c>
      <c r="K19" s="33">
        <f>(1/(9+Rules!$B$5))*(Rules!$B$5/(9+Rules!$B$5))</f>
        <v>2.3668639053254441E-2</v>
      </c>
      <c r="L19" s="33">
        <f>(1/(9+Rules!$B$5))^2</f>
        <v>5.9171597633136102E-3</v>
      </c>
      <c r="N19" s="33">
        <v>20</v>
      </c>
      <c r="O19">
        <f t="shared" si="1"/>
        <v>9.4674556213017763E-2</v>
      </c>
    </row>
    <row r="20" spans="1:32" x14ac:dyDescent="0.2">
      <c r="A20" s="40">
        <v>5</v>
      </c>
      <c r="B20" s="40"/>
      <c r="C20" s="33">
        <f>(1/(9+Rules!$B$5))^2</f>
        <v>5.9171597633136102E-3</v>
      </c>
      <c r="D20" s="33">
        <f>(1/(9+Rules!$B$5))^2</f>
        <v>5.9171597633136102E-3</v>
      </c>
      <c r="E20" s="33">
        <f>(1/(9+Rules!$B$5))^2</f>
        <v>5.9171597633136102E-3</v>
      </c>
      <c r="F20" s="33">
        <f>1/(9+Rules!$B$5)^2</f>
        <v>5.9171597633136093E-3</v>
      </c>
      <c r="G20" s="33">
        <f>(1/(9+Rules!$B$5))^2</f>
        <v>5.9171597633136102E-3</v>
      </c>
      <c r="H20" s="33">
        <f>(1/(9+Rules!$B$5))^2</f>
        <v>5.9171597633136102E-3</v>
      </c>
      <c r="I20" s="33">
        <f>(1/(9+Rules!$B$5))^2</f>
        <v>5.9171597633136102E-3</v>
      </c>
      <c r="J20" s="33">
        <f>(1/(9+Rules!$B$5))^2</f>
        <v>5.9171597633136102E-3</v>
      </c>
      <c r="K20" s="33">
        <f>(1/(9+Rules!$B$5))*(Rules!$B$5/(9+Rules!$B$5))</f>
        <v>2.3668639053254441E-2</v>
      </c>
      <c r="L20" s="33">
        <f>(1/(9+Rules!$B$5))^2</f>
        <v>5.9171597633136102E-3</v>
      </c>
    </row>
    <row r="21" spans="1:32" x14ac:dyDescent="0.2">
      <c r="A21" s="40">
        <v>6</v>
      </c>
      <c r="B21" s="40"/>
      <c r="C21" s="33">
        <f>(1/(9+Rules!$B$5))^2</f>
        <v>5.9171597633136102E-3</v>
      </c>
      <c r="D21" s="33">
        <f>(1/(9+Rules!$B$5))^2</f>
        <v>5.9171597633136102E-3</v>
      </c>
      <c r="E21" s="33">
        <f>(1/(9+Rules!$B$5))^2</f>
        <v>5.9171597633136102E-3</v>
      </c>
      <c r="F21" s="33">
        <f>(1/(9+Rules!$B$5))^2</f>
        <v>5.9171597633136102E-3</v>
      </c>
      <c r="G21" s="33">
        <f>1/(9+Rules!$B$5)^2</f>
        <v>5.9171597633136093E-3</v>
      </c>
      <c r="H21" s="33">
        <f>(1/(9+Rules!$B$5))^2</f>
        <v>5.9171597633136102E-3</v>
      </c>
      <c r="I21" s="33">
        <f>(1/(9+Rules!$B$5))^2</f>
        <v>5.9171597633136102E-3</v>
      </c>
      <c r="J21" s="33">
        <f>(1/(9+Rules!$B$5))^2</f>
        <v>5.9171597633136102E-3</v>
      </c>
      <c r="K21" s="33">
        <f>(1/(9+Rules!$B$5))*(Rules!$B$5/(9+Rules!$B$5))</f>
        <v>2.3668639053254441E-2</v>
      </c>
      <c r="L21" s="33">
        <f>(1/(9+Rules!$B$5))^2</f>
        <v>5.9171597633136102E-3</v>
      </c>
    </row>
    <row r="22" spans="1:32" x14ac:dyDescent="0.2">
      <c r="A22" s="40">
        <v>7</v>
      </c>
      <c r="B22" s="40"/>
      <c r="C22" s="33">
        <f>(1/(9+Rules!$B$5))^2</f>
        <v>5.9171597633136102E-3</v>
      </c>
      <c r="D22" s="33">
        <f>(1/(9+Rules!$B$5))^2</f>
        <v>5.9171597633136102E-3</v>
      </c>
      <c r="E22" s="33">
        <f>(1/(9+Rules!$B$5))^2</f>
        <v>5.9171597633136102E-3</v>
      </c>
      <c r="F22" s="33">
        <f>(1/(9+Rules!$B$5))^2</f>
        <v>5.9171597633136102E-3</v>
      </c>
      <c r="G22" s="33">
        <f>(1/(9+Rules!$B$5))^2</f>
        <v>5.9171597633136102E-3</v>
      </c>
      <c r="H22" s="33">
        <f>1/(9+Rules!$B$5)^2</f>
        <v>5.9171597633136093E-3</v>
      </c>
      <c r="I22" s="33">
        <f>(1/(9+Rules!$B$5))^2</f>
        <v>5.9171597633136102E-3</v>
      </c>
      <c r="J22" s="33">
        <f>(1/(9+Rules!$B$5))^2</f>
        <v>5.9171597633136102E-3</v>
      </c>
      <c r="K22" s="33">
        <f>(1/(9+Rules!$B$5))*(Rules!$B$5/(9+Rules!$B$5))</f>
        <v>2.3668639053254441E-2</v>
      </c>
      <c r="L22" s="33">
        <f>(1/(9+Rules!$B$5))^2</f>
        <v>5.9171597633136102E-3</v>
      </c>
    </row>
    <row r="23" spans="1:32" x14ac:dyDescent="0.2">
      <c r="A23" s="40">
        <v>8</v>
      </c>
      <c r="B23" s="40"/>
      <c r="C23" s="33">
        <f>(1/(9+Rules!$B$5))^2</f>
        <v>5.9171597633136102E-3</v>
      </c>
      <c r="D23" s="33">
        <f>(1/(9+Rules!$B$5))^2</f>
        <v>5.9171597633136102E-3</v>
      </c>
      <c r="E23" s="33">
        <f>(1/(9+Rules!$B$5))^2</f>
        <v>5.9171597633136102E-3</v>
      </c>
      <c r="F23" s="33">
        <f>(1/(9+Rules!$B$5))^2</f>
        <v>5.9171597633136102E-3</v>
      </c>
      <c r="G23" s="33">
        <f>(1/(9+Rules!$B$5))^2</f>
        <v>5.9171597633136102E-3</v>
      </c>
      <c r="H23" s="33">
        <f>(1/(9+Rules!$B$5))^2</f>
        <v>5.9171597633136102E-3</v>
      </c>
      <c r="I23" s="33">
        <f>1/(9+Rules!$B$5)^2</f>
        <v>5.9171597633136093E-3</v>
      </c>
      <c r="J23" s="33">
        <f>(1/(9+Rules!$B$5))^2</f>
        <v>5.9171597633136102E-3</v>
      </c>
      <c r="K23" s="33">
        <f>(1/(9+Rules!$B$5))*(Rules!$B$5/(9+Rules!$B$5))</f>
        <v>2.3668639053254441E-2</v>
      </c>
      <c r="L23" s="33">
        <f>(1/(9+Rules!$B$5))^2</f>
        <v>5.9171597633136102E-3</v>
      </c>
      <c r="O23">
        <f>SUM(O3:O22)</f>
        <v>0.8520710059171599</v>
      </c>
      <c r="S23" t="s">
        <v>98</v>
      </c>
      <c r="T23">
        <f>SUM(O16:O19,R10:R12)</f>
        <v>0.32544378698224863</v>
      </c>
    </row>
    <row r="24" spans="1:32" x14ac:dyDescent="0.2">
      <c r="A24" s="40">
        <v>9</v>
      </c>
      <c r="B24" s="40"/>
      <c r="C24" s="33">
        <f>(1/(9+Rules!$B$5))^2</f>
        <v>5.9171597633136102E-3</v>
      </c>
      <c r="D24" s="33">
        <f>(1/(9+Rules!$B$5))^2</f>
        <v>5.9171597633136102E-3</v>
      </c>
      <c r="E24" s="33">
        <f>(1/(9+Rules!$B$5))^2</f>
        <v>5.9171597633136102E-3</v>
      </c>
      <c r="F24" s="33">
        <f>(1/(9+Rules!$B$5))^2</f>
        <v>5.9171597633136102E-3</v>
      </c>
      <c r="G24" s="33">
        <f>(1/(9+Rules!$B$5))^2</f>
        <v>5.9171597633136102E-3</v>
      </c>
      <c r="H24" s="33">
        <f>(1/(9+Rules!$B$5))^2</f>
        <v>5.9171597633136102E-3</v>
      </c>
      <c r="I24" s="33">
        <f>(1/(9+Rules!$B$5))^2</f>
        <v>5.9171597633136102E-3</v>
      </c>
      <c r="J24" s="33">
        <f>1/(9+Rules!$B$5)^2</f>
        <v>5.9171597633136093E-3</v>
      </c>
      <c r="K24" s="33">
        <f>(1/(9+Rules!$B$5))*(Rules!$B$5/(9+Rules!$B$5))</f>
        <v>2.3668639053254441E-2</v>
      </c>
      <c r="L24" s="33">
        <f>(1/(9+Rules!$B$5))^2</f>
        <v>5.9171597633136102E-3</v>
      </c>
    </row>
    <row r="25" spans="1:32" x14ac:dyDescent="0.2">
      <c r="A25" s="40">
        <v>10</v>
      </c>
      <c r="B25" s="40"/>
      <c r="C25" s="33">
        <f>(1/(9+Rules!$B$5))*(Rules!$B$5/(9+Rules!$B$5))</f>
        <v>2.3668639053254441E-2</v>
      </c>
      <c r="D25" s="33">
        <f>(1/(9+Rules!$B$5))*(Rules!$B$5/(9+Rules!$B$5))</f>
        <v>2.3668639053254441E-2</v>
      </c>
      <c r="E25" s="33">
        <f>(1/(9+Rules!$B$5))*(Rules!$B$5/(9+Rules!$B$5))</f>
        <v>2.3668639053254441E-2</v>
      </c>
      <c r="F25" s="33">
        <f>(1/(9+Rules!$B$5))*(Rules!$B$5/(9+Rules!$B$5))</f>
        <v>2.3668639053254441E-2</v>
      </c>
      <c r="G25" s="33">
        <f>(1/(9+Rules!$B$5))*(Rules!$B$5/(9+Rules!$B$5))</f>
        <v>2.3668639053254441E-2</v>
      </c>
      <c r="H25" s="33">
        <f>(1/(9+Rules!$B$5))*(Rules!$B$5/(9+Rules!$B$5))</f>
        <v>2.3668639053254441E-2</v>
      </c>
      <c r="I25" s="33">
        <f>(1/(9+Rules!$B$5))*(Rules!$B$5/(9+Rules!$B$5))</f>
        <v>2.3668639053254441E-2</v>
      </c>
      <c r="J25" s="33">
        <f>(1/(9+Rules!$B$5))*(Rules!$B$5/(9+Rules!$B$5))</f>
        <v>2.3668639053254441E-2</v>
      </c>
      <c r="K25" s="33">
        <f>(Rules!$B$5/(9+Rules!$B$5))^2</f>
        <v>9.4674556213017763E-2</v>
      </c>
      <c r="L25" s="33">
        <f>(1/(9+Rules!$B$5))*(Rules!$B$5/(9+Rules!$B$5))</f>
        <v>2.3668639053254441E-2</v>
      </c>
    </row>
    <row r="26" spans="1:32" x14ac:dyDescent="0.2">
      <c r="A26" s="40">
        <v>1</v>
      </c>
      <c r="C26" s="33">
        <f>(1/(9+Rules!$B$5))^2</f>
        <v>5.9171597633136102E-3</v>
      </c>
      <c r="D26" s="33">
        <f>(1/(9+Rules!$B$5))^2</f>
        <v>5.9171597633136102E-3</v>
      </c>
      <c r="E26" s="33">
        <f>(1/(9+Rules!$B$5))^2</f>
        <v>5.9171597633136102E-3</v>
      </c>
      <c r="F26" s="33">
        <f>(1/(9+Rules!$B$5))^2</f>
        <v>5.9171597633136102E-3</v>
      </c>
      <c r="G26" s="33">
        <f>(1/(9+Rules!$B$5))^2</f>
        <v>5.9171597633136102E-3</v>
      </c>
      <c r="H26" s="33">
        <f>(1/(9+Rules!$B$5))^2</f>
        <v>5.9171597633136102E-3</v>
      </c>
      <c r="I26" s="33">
        <f>(1/(9+Rules!$B$5))^2</f>
        <v>5.9171597633136102E-3</v>
      </c>
      <c r="J26" s="33">
        <f>(1/(9+Rules!$B$5))^2</f>
        <v>5.9171597633136102E-3</v>
      </c>
      <c r="K26" s="33">
        <f>(1/(9+Rules!$B$5))*(Rules!$B$5/(9+Rules!$B$5))</f>
        <v>2.3668639053254441E-2</v>
      </c>
      <c r="L26" s="33">
        <f>1/(9+Rules!$B$5)^2</f>
        <v>5.9171597633136093E-3</v>
      </c>
    </row>
    <row r="29" spans="1:32" x14ac:dyDescent="0.2">
      <c r="B29" t="s">
        <v>14</v>
      </c>
      <c r="C29">
        <v>5</v>
      </c>
      <c r="D29">
        <v>6</v>
      </c>
      <c r="E29">
        <v>7</v>
      </c>
      <c r="F29">
        <v>8</v>
      </c>
      <c r="G29">
        <v>9</v>
      </c>
      <c r="H29">
        <v>10</v>
      </c>
      <c r="I29">
        <v>11</v>
      </c>
      <c r="J29">
        <v>12</v>
      </c>
      <c r="K29">
        <v>13</v>
      </c>
      <c r="L29">
        <v>14</v>
      </c>
      <c r="M29">
        <v>15</v>
      </c>
      <c r="N29">
        <v>16</v>
      </c>
      <c r="O29">
        <v>17</v>
      </c>
      <c r="P29">
        <v>18</v>
      </c>
      <c r="Q29">
        <v>19</v>
      </c>
      <c r="R29">
        <v>20</v>
      </c>
      <c r="S29">
        <v>21</v>
      </c>
      <c r="T29">
        <v>22</v>
      </c>
      <c r="U29">
        <v>23</v>
      </c>
      <c r="V29">
        <v>24</v>
      </c>
      <c r="W29">
        <v>25</v>
      </c>
      <c r="X29">
        <v>26</v>
      </c>
      <c r="Y29">
        <v>27</v>
      </c>
      <c r="Z29">
        <v>28</v>
      </c>
      <c r="AA29">
        <v>29</v>
      </c>
      <c r="AB29">
        <v>30</v>
      </c>
      <c r="AC29">
        <v>31</v>
      </c>
      <c r="AD29">
        <v>32</v>
      </c>
      <c r="AE29">
        <v>33</v>
      </c>
      <c r="AF29">
        <v>34</v>
      </c>
    </row>
    <row r="30" spans="1:32" x14ac:dyDescent="0.2">
      <c r="A30">
        <v>4</v>
      </c>
      <c r="B30">
        <f>O3</f>
        <v>5.9171597633136093E-3</v>
      </c>
      <c r="C30">
        <f>$B30*1/(9+Rules!$B$5)</f>
        <v>4.5516613563950843E-4</v>
      </c>
      <c r="D30">
        <f>$B30*1/(9+Rules!$B$5)</f>
        <v>4.5516613563950843E-4</v>
      </c>
      <c r="E30">
        <f>$B30*1/(9+Rules!$B$5)</f>
        <v>4.5516613563950843E-4</v>
      </c>
      <c r="F30">
        <f>$B30*1/(9+Rules!$B$5)</f>
        <v>4.5516613563950843E-4</v>
      </c>
      <c r="G30">
        <f>$B30*1/(9+Rules!$B$5)</f>
        <v>4.5516613563950843E-4</v>
      </c>
      <c r="H30">
        <f>$B30*1/(9+Rules!$B$5)</f>
        <v>4.5516613563950843E-4</v>
      </c>
      <c r="I30">
        <f>$B30*1/(9+Rules!$B$5)</f>
        <v>4.5516613563950843E-4</v>
      </c>
      <c r="J30">
        <f>$B30*1/(9+Rules!$B$5)</f>
        <v>4.5516613563950843E-4</v>
      </c>
      <c r="K30">
        <f>$B30*1/(9+Rules!$B$5)</f>
        <v>4.5516613563950843E-4</v>
      </c>
      <c r="L30">
        <f>$B30*Rules!$B$5/(9+Rules!$B$5)</f>
        <v>1.8206645425580337E-3</v>
      </c>
    </row>
    <row r="31" spans="1:32" x14ac:dyDescent="0.2">
      <c r="A31">
        <v>5</v>
      </c>
      <c r="B31">
        <f t="shared" ref="B31:B42" si="6">O4</f>
        <v>1.183431952662722E-2</v>
      </c>
      <c r="D31">
        <f>$B31*1/(9+Rules!$B$5)</f>
        <v>9.1033227127901696E-4</v>
      </c>
      <c r="E31">
        <f>$B31*1/(9+Rules!$B$5)</f>
        <v>9.1033227127901696E-4</v>
      </c>
      <c r="F31">
        <f>$B31*1/(9+Rules!$B$5)</f>
        <v>9.1033227127901696E-4</v>
      </c>
      <c r="G31">
        <f>$B31*1/(9+Rules!$B$5)</f>
        <v>9.1033227127901696E-4</v>
      </c>
      <c r="H31">
        <f>$B31*1/(9+Rules!$B$5)</f>
        <v>9.1033227127901696E-4</v>
      </c>
      <c r="I31">
        <f>$B31*1/(9+Rules!$B$5)</f>
        <v>9.1033227127901696E-4</v>
      </c>
      <c r="J31">
        <f>$B31*1/(9+Rules!$B$5)</f>
        <v>9.1033227127901696E-4</v>
      </c>
      <c r="K31">
        <f>$B31*1/(9+Rules!$B$5)</f>
        <v>9.1033227127901696E-4</v>
      </c>
      <c r="L31">
        <f>$B31*1/(9+Rules!$B$5)</f>
        <v>9.1033227127901696E-4</v>
      </c>
      <c r="M31">
        <f>$B31*Rules!$B$5/(9+Rules!$B$5)</f>
        <v>3.6413290851160678E-3</v>
      </c>
    </row>
    <row r="32" spans="1:32" x14ac:dyDescent="0.2">
      <c r="A32">
        <v>6</v>
      </c>
      <c r="B32">
        <f t="shared" si="6"/>
        <v>1.7751479289940829E-2</v>
      </c>
      <c r="E32">
        <f>$B32*1/(9+Rules!$B$5)</f>
        <v>1.3654984069185253E-3</v>
      </c>
      <c r="F32">
        <f>$B$32*1/(9+Rules!$B$5)</f>
        <v>1.3654984069185253E-3</v>
      </c>
      <c r="G32">
        <f>$B$32*1/(9+Rules!$B$5)</f>
        <v>1.3654984069185253E-3</v>
      </c>
      <c r="H32">
        <f>$B$32*1/(9+Rules!$B$5)</f>
        <v>1.3654984069185253E-3</v>
      </c>
      <c r="I32">
        <f>$B$32*1/(9+Rules!$B$5)</f>
        <v>1.3654984069185253E-3</v>
      </c>
      <c r="J32">
        <f>$B$32*1/(9+Rules!$B$5)</f>
        <v>1.3654984069185253E-3</v>
      </c>
      <c r="K32">
        <f>$B$32*1/(9+Rules!$B$5)</f>
        <v>1.3654984069185253E-3</v>
      </c>
      <c r="L32">
        <f>$B$32*1/(9+Rules!$B$5)</f>
        <v>1.3654984069185253E-3</v>
      </c>
      <c r="M32">
        <f>$B$32*1/(9+Rules!$B$5)</f>
        <v>1.3654984069185253E-3</v>
      </c>
      <c r="N32">
        <f>$B32*Rules!$B$5/(9+Rules!$B$5)</f>
        <v>5.4619936276741011E-3</v>
      </c>
    </row>
    <row r="33" spans="1:28" x14ac:dyDescent="0.2">
      <c r="A33">
        <v>7</v>
      </c>
      <c r="B33">
        <f t="shared" si="6"/>
        <v>2.3668639053254441E-2</v>
      </c>
      <c r="F33">
        <f>$B33*1/(9+Rules!$B$5)</f>
        <v>1.8206645425580339E-3</v>
      </c>
      <c r="G33">
        <f>$B33*1/(9+Rules!$B$5)</f>
        <v>1.8206645425580339E-3</v>
      </c>
      <c r="H33">
        <f>$B33*1/(9+Rules!$B$5)</f>
        <v>1.8206645425580339E-3</v>
      </c>
      <c r="I33">
        <f>$B33*1/(9+Rules!$B$5)</f>
        <v>1.8206645425580339E-3</v>
      </c>
      <c r="J33">
        <f>$B33*1/(9+Rules!$B$5)</f>
        <v>1.8206645425580339E-3</v>
      </c>
      <c r="K33">
        <f>$B33*1/(9+Rules!$B$5)</f>
        <v>1.8206645425580339E-3</v>
      </c>
      <c r="L33">
        <f>$B33*1/(9+Rules!$B$5)</f>
        <v>1.8206645425580339E-3</v>
      </c>
      <c r="M33">
        <f>$B33*1/(9+Rules!$B$5)</f>
        <v>1.8206645425580339E-3</v>
      </c>
      <c r="N33">
        <f>$B33*1/(9+Rules!$B$5)</f>
        <v>1.8206645425580339E-3</v>
      </c>
      <c r="O33">
        <f>$B33*Rules!$B$5/(9+Rules!$B$5)</f>
        <v>7.2826581702321357E-3</v>
      </c>
    </row>
    <row r="34" spans="1:28" x14ac:dyDescent="0.2">
      <c r="A34">
        <v>8</v>
      </c>
      <c r="B34">
        <f t="shared" si="6"/>
        <v>2.9585798816568053E-2</v>
      </c>
      <c r="G34">
        <f>$B34*1/(9+Rules!$B$5)</f>
        <v>2.2758306781975423E-3</v>
      </c>
      <c r="H34">
        <f>$B34*1/(9+Rules!$B$5)</f>
        <v>2.2758306781975423E-3</v>
      </c>
      <c r="I34">
        <f>$B34*1/(9+Rules!$B$5)</f>
        <v>2.2758306781975423E-3</v>
      </c>
      <c r="J34">
        <f>$B34*1/(9+Rules!$B$5)</f>
        <v>2.2758306781975423E-3</v>
      </c>
      <c r="K34">
        <f>$B34*1/(9+Rules!$B$5)</f>
        <v>2.2758306781975423E-3</v>
      </c>
      <c r="L34">
        <f>$B34*1/(9+Rules!$B$5)</f>
        <v>2.2758306781975423E-3</v>
      </c>
      <c r="M34">
        <f>$B34*1/(9+Rules!$B$5)</f>
        <v>2.2758306781975423E-3</v>
      </c>
      <c r="N34">
        <f>$B34*1/(9+Rules!$B$5)</f>
        <v>2.2758306781975423E-3</v>
      </c>
      <c r="O34">
        <f>$B34*1/(9+Rules!$B$5)</f>
        <v>2.2758306781975423E-3</v>
      </c>
      <c r="P34">
        <f>$B34*Rules!$B$5/(9+Rules!$B$5)</f>
        <v>9.1033227127901694E-3</v>
      </c>
    </row>
    <row r="35" spans="1:28" x14ac:dyDescent="0.2">
      <c r="A35">
        <v>9</v>
      </c>
      <c r="B35">
        <f t="shared" si="6"/>
        <v>3.5502958579881665E-2</v>
      </c>
      <c r="H35">
        <f>$B35*1/(9+Rules!$B$5)</f>
        <v>2.730996813837051E-3</v>
      </c>
      <c r="I35">
        <f>$B35*1/(9+Rules!$B$5)</f>
        <v>2.730996813837051E-3</v>
      </c>
      <c r="J35">
        <f>$B35*1/(9+Rules!$B$5)</f>
        <v>2.730996813837051E-3</v>
      </c>
      <c r="K35">
        <f>$B35*1/(9+Rules!$B$5)</f>
        <v>2.730996813837051E-3</v>
      </c>
      <c r="L35">
        <f>$B35*1/(9+Rules!$B$5)</f>
        <v>2.730996813837051E-3</v>
      </c>
      <c r="M35">
        <f>$B35*1/(9+Rules!$B$5)</f>
        <v>2.730996813837051E-3</v>
      </c>
      <c r="N35">
        <f>$B35*1/(9+Rules!$B$5)</f>
        <v>2.730996813837051E-3</v>
      </c>
      <c r="O35">
        <f>$B35*1/(9+Rules!$B$5)</f>
        <v>2.730996813837051E-3</v>
      </c>
      <c r="P35">
        <f>$B35*1/(9+Rules!$B$5)</f>
        <v>2.730996813837051E-3</v>
      </c>
      <c r="Q35">
        <f>$B35*Rules!$B$5/(9+Rules!$B$5)</f>
        <v>1.0923987255348204E-2</v>
      </c>
    </row>
    <row r="36" spans="1:28" x14ac:dyDescent="0.2">
      <c r="A36">
        <v>10</v>
      </c>
      <c r="B36">
        <f t="shared" si="6"/>
        <v>4.142011834319527E-2</v>
      </c>
      <c r="I36">
        <f>$B36*1/(9+Rules!$B$5)</f>
        <v>3.1861629494765592E-3</v>
      </c>
      <c r="J36">
        <f>$B36*1/(9+Rules!$B$5)</f>
        <v>3.1861629494765592E-3</v>
      </c>
      <c r="K36">
        <f>$B36*1/(9+Rules!$B$5)</f>
        <v>3.1861629494765592E-3</v>
      </c>
      <c r="L36">
        <f>$B36*1/(9+Rules!$B$5)</f>
        <v>3.1861629494765592E-3</v>
      </c>
      <c r="M36">
        <f>$B36*1/(9+Rules!$B$5)</f>
        <v>3.1861629494765592E-3</v>
      </c>
      <c r="N36">
        <f>$B36*1/(9+Rules!$B$5)</f>
        <v>3.1861629494765592E-3</v>
      </c>
      <c r="O36">
        <f>$B36*1/(9+Rules!$B$5)</f>
        <v>3.1861629494765592E-3</v>
      </c>
      <c r="P36">
        <f>$B36*1/(9+Rules!$B$5)</f>
        <v>3.1861629494765592E-3</v>
      </c>
      <c r="Q36">
        <f>$B36*1/(9+Rules!$B$5)</f>
        <v>3.1861629494765592E-3</v>
      </c>
      <c r="R36">
        <f>$B36*Rules!$B$5/(9+Rules!$B$5)</f>
        <v>1.2744651797906237E-2</v>
      </c>
    </row>
    <row r="37" spans="1:28" x14ac:dyDescent="0.2">
      <c r="A37">
        <v>11</v>
      </c>
      <c r="B37">
        <f t="shared" si="6"/>
        <v>4.7337278106508889E-2</v>
      </c>
      <c r="J37">
        <f>$B37*1/(9+Rules!$B$5)</f>
        <v>3.6413290851160683E-3</v>
      </c>
      <c r="K37">
        <f>$B37*1/(9+Rules!$B$5)</f>
        <v>3.6413290851160683E-3</v>
      </c>
      <c r="L37">
        <f>$B37*1/(9+Rules!$B$5)</f>
        <v>3.6413290851160683E-3</v>
      </c>
      <c r="M37">
        <f>$B37*1/(9+Rules!$B$5)</f>
        <v>3.6413290851160683E-3</v>
      </c>
      <c r="N37">
        <f>$B37*1/(9+Rules!$B$5)</f>
        <v>3.6413290851160683E-3</v>
      </c>
      <c r="O37">
        <f>$B37*1/(9+Rules!$B$5)</f>
        <v>3.6413290851160683E-3</v>
      </c>
      <c r="P37">
        <f>$B37*1/(9+Rules!$B$5)</f>
        <v>3.6413290851160683E-3</v>
      </c>
      <c r="Q37">
        <f>$B37*1/(9+Rules!$B$5)</f>
        <v>3.6413290851160683E-3</v>
      </c>
      <c r="R37">
        <f>$B37*1/(9+Rules!$B$5)</f>
        <v>3.6413290851160683E-3</v>
      </c>
      <c r="S37">
        <f>$B37*Rules!$B$5/(9+Rules!$B$5)</f>
        <v>1.4565316340464273E-2</v>
      </c>
    </row>
    <row r="38" spans="1:28" x14ac:dyDescent="0.2">
      <c r="A38">
        <v>12</v>
      </c>
      <c r="B38">
        <f t="shared" si="6"/>
        <v>8.8757396449704151E-2</v>
      </c>
      <c r="K38">
        <f>$B38*1/(9+Rules!$B$5)</f>
        <v>6.8274920345926266E-3</v>
      </c>
      <c r="L38">
        <f>$B38*1/(9+Rules!$B$5)</f>
        <v>6.8274920345926266E-3</v>
      </c>
      <c r="M38">
        <f>$B38*1/(9+Rules!$B$5)</f>
        <v>6.8274920345926266E-3</v>
      </c>
      <c r="N38">
        <f>$B38*1/(9+Rules!$B$5)</f>
        <v>6.8274920345926266E-3</v>
      </c>
      <c r="O38">
        <f>$B38*1/(9+Rules!$B$5)</f>
        <v>6.8274920345926266E-3</v>
      </c>
      <c r="P38">
        <f>$B38*1/(9+Rules!$B$5)</f>
        <v>6.8274920345926266E-3</v>
      </c>
      <c r="Q38">
        <f>$B38*1/(9+Rules!$B$5)</f>
        <v>6.8274920345926266E-3</v>
      </c>
      <c r="R38">
        <f>$B38*1/(9+Rules!$B$5)</f>
        <v>6.8274920345926266E-3</v>
      </c>
      <c r="S38">
        <f>$B38*1/(9+Rules!$B$5)</f>
        <v>6.8274920345926266E-3</v>
      </c>
      <c r="T38">
        <f>$B38*Rules!$B$5/(9+Rules!$B$5)</f>
        <v>2.7309968138370506E-2</v>
      </c>
    </row>
    <row r="39" spans="1:28" x14ac:dyDescent="0.2">
      <c r="A39">
        <v>13</v>
      </c>
      <c r="B39">
        <f t="shared" si="6"/>
        <v>8.2840236686390553E-2</v>
      </c>
      <c r="L39">
        <f>$B39*1/(9+Rules!$B$5)</f>
        <v>6.3723258989531193E-3</v>
      </c>
      <c r="M39">
        <f>$B39*1/(9+Rules!$B$5)</f>
        <v>6.3723258989531193E-3</v>
      </c>
      <c r="N39">
        <f>$B39*1/(9+Rules!$B$5)</f>
        <v>6.3723258989531193E-3</v>
      </c>
      <c r="O39">
        <f>$B39*1/(9+Rules!$B$5)</f>
        <v>6.3723258989531193E-3</v>
      </c>
      <c r="P39">
        <f>$B39*1/(9+Rules!$B$5)</f>
        <v>6.3723258989531193E-3</v>
      </c>
      <c r="Q39">
        <f>$B39*1/(9+Rules!$B$5)</f>
        <v>6.3723258989531193E-3</v>
      </c>
      <c r="R39">
        <f>$B39*1/(9+Rules!$B$5)</f>
        <v>6.3723258989531193E-3</v>
      </c>
      <c r="S39">
        <f>$B39*1/(9+Rules!$B$5)</f>
        <v>6.3723258989531193E-3</v>
      </c>
      <c r="T39">
        <f>$B39*1/(9+Rules!$B$5)</f>
        <v>6.3723258989531193E-3</v>
      </c>
      <c r="U39">
        <f>$B39*Rules!$B$5/(9+Rules!$B$5)</f>
        <v>2.5489303595812477E-2</v>
      </c>
    </row>
    <row r="40" spans="1:28" x14ac:dyDescent="0.2">
      <c r="A40">
        <v>14</v>
      </c>
      <c r="B40">
        <f t="shared" si="6"/>
        <v>7.6923076923076941E-2</v>
      </c>
      <c r="M40">
        <f>$B40*1/(9+Rules!$B$5)</f>
        <v>5.9171597633136111E-3</v>
      </c>
      <c r="N40">
        <f>$B40*1/(9+Rules!$B$5)</f>
        <v>5.9171597633136111E-3</v>
      </c>
      <c r="O40">
        <f>$B40*1/(9+Rules!$B$5)</f>
        <v>5.9171597633136111E-3</v>
      </c>
      <c r="P40">
        <f>$B40*1/(9+Rules!$B$5)</f>
        <v>5.9171597633136111E-3</v>
      </c>
      <c r="Q40">
        <f>$B40*1/(9+Rules!$B$5)</f>
        <v>5.9171597633136111E-3</v>
      </c>
      <c r="R40">
        <f>$B40*1/(9+Rules!$B$5)</f>
        <v>5.9171597633136111E-3</v>
      </c>
      <c r="S40">
        <f>$B40*1/(9+Rules!$B$5)</f>
        <v>5.9171597633136111E-3</v>
      </c>
      <c r="T40">
        <f>$B40*1/(9+Rules!$B$5)</f>
        <v>5.9171597633136111E-3</v>
      </c>
      <c r="U40">
        <f>$B40*1/(9+Rules!$B$5)</f>
        <v>5.9171597633136111E-3</v>
      </c>
      <c r="V40">
        <f>$B40*Rules!$B$5/(9+Rules!$B$5)</f>
        <v>2.3668639053254444E-2</v>
      </c>
    </row>
    <row r="41" spans="1:28" x14ac:dyDescent="0.2">
      <c r="A41">
        <v>15</v>
      </c>
      <c r="B41">
        <f t="shared" si="6"/>
        <v>7.1005917159763329E-2</v>
      </c>
      <c r="N41">
        <f>$B41*1/(9+Rules!$B$5)</f>
        <v>5.461993627674102E-3</v>
      </c>
      <c r="O41">
        <f>$B41*1/(9+Rules!$B$5)</f>
        <v>5.461993627674102E-3</v>
      </c>
      <c r="P41">
        <f>$B41*1/(9+Rules!$B$5)</f>
        <v>5.461993627674102E-3</v>
      </c>
      <c r="Q41">
        <f>$B41*1/(9+Rules!$B$5)</f>
        <v>5.461993627674102E-3</v>
      </c>
      <c r="R41">
        <f>$B41*1/(9+Rules!$B$5)</f>
        <v>5.461993627674102E-3</v>
      </c>
      <c r="S41">
        <f>$B41*1/(9+Rules!$B$5)</f>
        <v>5.461993627674102E-3</v>
      </c>
      <c r="T41">
        <f>$B41*1/(9+Rules!$B$5)</f>
        <v>5.461993627674102E-3</v>
      </c>
      <c r="U41">
        <f>$B41*1/(9+Rules!$B$5)</f>
        <v>5.461993627674102E-3</v>
      </c>
      <c r="V41">
        <f>$B41*1/(9+Rules!$B$5)</f>
        <v>5.461993627674102E-3</v>
      </c>
      <c r="W41">
        <f>$B41*Rules!$B$5/(9+Rules!$B$5)</f>
        <v>2.1847974510696408E-2</v>
      </c>
    </row>
    <row r="42" spans="1:28" x14ac:dyDescent="0.2">
      <c r="A42">
        <v>16</v>
      </c>
      <c r="B42">
        <f t="shared" si="6"/>
        <v>6.5088757396449717E-2</v>
      </c>
      <c r="O42">
        <f>$B42*1/(9+Rules!$B$5)</f>
        <v>5.0068274920345938E-3</v>
      </c>
      <c r="P42">
        <f>$B42*1/(9+Rules!$B$5)</f>
        <v>5.0068274920345938E-3</v>
      </c>
      <c r="Q42">
        <f>$B42*1/(9+Rules!$B$5)</f>
        <v>5.0068274920345938E-3</v>
      </c>
      <c r="R42">
        <f>$B42*1/(9+Rules!$B$5)</f>
        <v>5.0068274920345938E-3</v>
      </c>
      <c r="S42">
        <f>$B42*1/(9+Rules!$B$5)</f>
        <v>5.0068274920345938E-3</v>
      </c>
      <c r="T42">
        <f>$B42*1/(9+Rules!$B$5)</f>
        <v>5.0068274920345938E-3</v>
      </c>
      <c r="U42">
        <f>$B42*1/(9+Rules!$B$5)</f>
        <v>5.0068274920345938E-3</v>
      </c>
      <c r="V42">
        <f>$B42*1/(9+Rules!$B$5)</f>
        <v>5.0068274920345938E-3</v>
      </c>
      <c r="W42">
        <f>$B42*1/(9+Rules!$B$5)</f>
        <v>5.0068274920345938E-3</v>
      </c>
      <c r="X42">
        <f>$B42*Rules!$B$5/(9+Rules!$B$5)</f>
        <v>2.0027309968138375E-2</v>
      </c>
    </row>
    <row r="43" spans="1:28" x14ac:dyDescent="0.2">
      <c r="B43" t="s">
        <v>2</v>
      </c>
      <c r="C43">
        <f t="shared" ref="C43:AB43" si="7">SUM(C30:C42)</f>
        <v>4.5516613563950843E-4</v>
      </c>
      <c r="D43">
        <f t="shared" si="7"/>
        <v>1.3654984069185255E-3</v>
      </c>
      <c r="E43">
        <f t="shared" si="7"/>
        <v>2.730996813837051E-3</v>
      </c>
      <c r="F43">
        <f t="shared" si="7"/>
        <v>4.5516613563950847E-3</v>
      </c>
      <c r="G43">
        <f t="shared" si="7"/>
        <v>6.8274920345926266E-3</v>
      </c>
      <c r="H43">
        <f t="shared" si="7"/>
        <v>9.5584888484296776E-3</v>
      </c>
      <c r="I43">
        <f t="shared" si="7"/>
        <v>1.2744651797906237E-2</v>
      </c>
      <c r="J43">
        <f t="shared" si="7"/>
        <v>1.6385980883022306E-2</v>
      </c>
      <c r="K43">
        <f t="shared" si="7"/>
        <v>2.3213472917614934E-2</v>
      </c>
      <c r="L43">
        <f t="shared" si="7"/>
        <v>3.0951297223486572E-2</v>
      </c>
      <c r="M43">
        <f t="shared" si="7"/>
        <v>3.7778789258079204E-2</v>
      </c>
      <c r="N43">
        <f t="shared" si="7"/>
        <v>4.3695949021392816E-2</v>
      </c>
      <c r="O43">
        <f t="shared" si="7"/>
        <v>4.8702776513427408E-2</v>
      </c>
      <c r="P43">
        <f t="shared" si="7"/>
        <v>4.8247610377787901E-2</v>
      </c>
      <c r="Q43">
        <f t="shared" si="7"/>
        <v>4.7337278106508889E-2</v>
      </c>
      <c r="R43">
        <f t="shared" si="7"/>
        <v>4.5971779699590355E-2</v>
      </c>
      <c r="S43">
        <f t="shared" si="7"/>
        <v>4.4151115157032329E-2</v>
      </c>
      <c r="T43">
        <f t="shared" si="7"/>
        <v>5.0068274920345927E-2</v>
      </c>
      <c r="U43">
        <f t="shared" si="7"/>
        <v>4.1875284478834783E-2</v>
      </c>
      <c r="V43">
        <f t="shared" si="7"/>
        <v>3.4137460172963138E-2</v>
      </c>
      <c r="W43">
        <f t="shared" si="7"/>
        <v>2.6854802002731E-2</v>
      </c>
      <c r="X43">
        <f t="shared" si="7"/>
        <v>2.0027309968138375E-2</v>
      </c>
      <c r="Y43">
        <f t="shared" si="7"/>
        <v>0</v>
      </c>
      <c r="Z43">
        <f t="shared" si="7"/>
        <v>0</v>
      </c>
      <c r="AA43">
        <f t="shared" si="7"/>
        <v>0</v>
      </c>
      <c r="AB43">
        <f t="shared" si="7"/>
        <v>0</v>
      </c>
    </row>
    <row r="45" spans="1:28" x14ac:dyDescent="0.2">
      <c r="A45" t="s">
        <v>97</v>
      </c>
      <c r="C45">
        <v>13</v>
      </c>
      <c r="D45">
        <v>14</v>
      </c>
      <c r="E45">
        <v>15</v>
      </c>
      <c r="F45">
        <v>16</v>
      </c>
      <c r="G45">
        <v>17</v>
      </c>
      <c r="H45">
        <v>18</v>
      </c>
      <c r="I45">
        <v>19</v>
      </c>
      <c r="J45">
        <v>20</v>
      </c>
      <c r="K45">
        <v>21</v>
      </c>
      <c r="L45">
        <v>22</v>
      </c>
      <c r="M45">
        <v>23</v>
      </c>
      <c r="N45">
        <v>24</v>
      </c>
      <c r="O45">
        <v>25</v>
      </c>
      <c r="P45">
        <v>26</v>
      </c>
      <c r="Q45">
        <v>27</v>
      </c>
      <c r="R45">
        <v>28</v>
      </c>
      <c r="S45">
        <v>29</v>
      </c>
      <c r="T45">
        <v>30</v>
      </c>
      <c r="U45">
        <v>31</v>
      </c>
      <c r="V45">
        <v>32</v>
      </c>
    </row>
    <row r="46" spans="1:28" x14ac:dyDescent="0.2">
      <c r="A46">
        <v>12</v>
      </c>
      <c r="B46">
        <f t="shared" ref="B46:B52" si="8">R3</f>
        <v>5.9171597633136093E-3</v>
      </c>
      <c r="C46">
        <f>$B46*1/(9+Rules!$B$5)</f>
        <v>4.5516613563950843E-4</v>
      </c>
      <c r="D46">
        <f>$B46*1/(9+Rules!$B$5)</f>
        <v>4.5516613563950843E-4</v>
      </c>
      <c r="E46">
        <f>$B46*1/(9+Rules!$B$5)</f>
        <v>4.5516613563950843E-4</v>
      </c>
      <c r="F46">
        <f>$B46*1/(9+Rules!$B$5)</f>
        <v>4.5516613563950843E-4</v>
      </c>
      <c r="G46">
        <f>$B46*1/(9+Rules!$B$5)</f>
        <v>4.5516613563950843E-4</v>
      </c>
      <c r="H46">
        <f>$B46*1/(9+Rules!$B$5)</f>
        <v>4.5516613563950843E-4</v>
      </c>
      <c r="I46">
        <f>$B46*1/(9+Rules!$B$5)</f>
        <v>4.5516613563950843E-4</v>
      </c>
      <c r="J46">
        <f>$B46*1/(9+Rules!$B$5)</f>
        <v>4.5516613563950843E-4</v>
      </c>
      <c r="K46">
        <f>$B46*1/(9+Rules!$B$5)</f>
        <v>4.5516613563950843E-4</v>
      </c>
      <c r="L46">
        <f>$B46*Rules!$B$5/(9+Rules!$B$5)</f>
        <v>1.8206645425580337E-3</v>
      </c>
    </row>
    <row r="47" spans="1:28" x14ac:dyDescent="0.2">
      <c r="A47">
        <v>13</v>
      </c>
      <c r="B47">
        <f t="shared" si="8"/>
        <v>1.183431952662722E-2</v>
      </c>
      <c r="D47">
        <f>$B47*1/(9+Rules!$B$5)</f>
        <v>9.1033227127901696E-4</v>
      </c>
      <c r="E47">
        <f>$B47*1/(9+Rules!$B$5)</f>
        <v>9.1033227127901696E-4</v>
      </c>
      <c r="F47">
        <f>$B47*1/(9+Rules!$B$5)</f>
        <v>9.1033227127901696E-4</v>
      </c>
      <c r="G47">
        <f>$B47*1/(9+Rules!$B$5)</f>
        <v>9.1033227127901696E-4</v>
      </c>
      <c r="H47">
        <f>$B47*1/(9+Rules!$B$5)</f>
        <v>9.1033227127901696E-4</v>
      </c>
      <c r="I47">
        <f>$B47*1/(9+Rules!$B$5)</f>
        <v>9.1033227127901696E-4</v>
      </c>
      <c r="J47">
        <f>$B47*1/(9+Rules!$B$5)</f>
        <v>9.1033227127901696E-4</v>
      </c>
      <c r="K47">
        <f>$B47*1/(9+Rules!$B$5)</f>
        <v>9.1033227127901696E-4</v>
      </c>
      <c r="L47">
        <f>$B47*1/(9+Rules!$B$5)</f>
        <v>9.1033227127901696E-4</v>
      </c>
      <c r="M47">
        <f>$B47*Rules!$B$5/(9+Rules!$B$5)</f>
        <v>3.6413290851160678E-3</v>
      </c>
    </row>
    <row r="48" spans="1:28" x14ac:dyDescent="0.2">
      <c r="A48">
        <v>14</v>
      </c>
      <c r="B48">
        <f t="shared" si="8"/>
        <v>1.183431952662722E-2</v>
      </c>
      <c r="E48">
        <f>$B48*1/(9+Rules!$B$5)</f>
        <v>9.1033227127901696E-4</v>
      </c>
      <c r="F48">
        <f>$B48*1/(9+Rules!$B$5)</f>
        <v>9.1033227127901696E-4</v>
      </c>
      <c r="G48">
        <f>$B48*1/(9+Rules!$B$5)</f>
        <v>9.1033227127901696E-4</v>
      </c>
      <c r="H48">
        <f>$B48*1/(9+Rules!$B$5)</f>
        <v>9.1033227127901696E-4</v>
      </c>
      <c r="I48">
        <f>$B48*1/(9+Rules!$B$5)</f>
        <v>9.1033227127901696E-4</v>
      </c>
      <c r="J48">
        <f>$B48*1/(9+Rules!$B$5)</f>
        <v>9.1033227127901696E-4</v>
      </c>
      <c r="K48">
        <f>$B48*1/(9+Rules!$B$5)</f>
        <v>9.1033227127901696E-4</v>
      </c>
      <c r="L48">
        <f>$B48*1/(9+Rules!$B$5)</f>
        <v>9.1033227127901696E-4</v>
      </c>
      <c r="M48">
        <f>$B48*1/(9+Rules!$B$5)</f>
        <v>9.1033227127901696E-4</v>
      </c>
      <c r="N48">
        <f>$B48*Rules!$B$5/(9+Rules!$B$5)</f>
        <v>3.6413290851160678E-3</v>
      </c>
    </row>
    <row r="49" spans="1:30" x14ac:dyDescent="0.2">
      <c r="A49">
        <v>15</v>
      </c>
      <c r="B49">
        <f t="shared" si="8"/>
        <v>1.183431952662722E-2</v>
      </c>
      <c r="F49">
        <f>$B49*1/(9+Rules!$B$5)</f>
        <v>9.1033227127901696E-4</v>
      </c>
      <c r="G49">
        <f>$B49*1/(9+Rules!$B$5)</f>
        <v>9.1033227127901696E-4</v>
      </c>
      <c r="H49">
        <f>$B49*1/(9+Rules!$B$5)</f>
        <v>9.1033227127901696E-4</v>
      </c>
      <c r="I49">
        <f>$B49*1/(9+Rules!$B$5)</f>
        <v>9.1033227127901696E-4</v>
      </c>
      <c r="J49">
        <f>$B49*1/(9+Rules!$B$5)</f>
        <v>9.1033227127901696E-4</v>
      </c>
      <c r="K49">
        <f>$B49*1/(9+Rules!$B$5)</f>
        <v>9.1033227127901696E-4</v>
      </c>
      <c r="L49">
        <f>$B49*1/(9+Rules!$B$5)</f>
        <v>9.1033227127901696E-4</v>
      </c>
      <c r="M49">
        <f>$B49*1/(9+Rules!$B$5)</f>
        <v>9.1033227127901696E-4</v>
      </c>
      <c r="N49">
        <f>$B49*1/(9+Rules!$B$5)</f>
        <v>9.1033227127901696E-4</v>
      </c>
      <c r="O49">
        <f>$B49*Rules!$B$5/(9+Rules!$B$5)</f>
        <v>3.6413290851160678E-3</v>
      </c>
    </row>
    <row r="50" spans="1:30" x14ac:dyDescent="0.2">
      <c r="A50">
        <v>16</v>
      </c>
      <c r="B50">
        <f t="shared" si="8"/>
        <v>1.183431952662722E-2</v>
      </c>
      <c r="G50">
        <f>$B50*1/(9+Rules!$B$5)</f>
        <v>9.1033227127901696E-4</v>
      </c>
      <c r="H50">
        <f>$B50*1/(9+Rules!$B$5)</f>
        <v>9.1033227127901696E-4</v>
      </c>
      <c r="I50">
        <f>$B50*1/(9+Rules!$B$5)</f>
        <v>9.1033227127901696E-4</v>
      </c>
      <c r="J50">
        <f>$B50*1/(9+Rules!$B$5)</f>
        <v>9.1033227127901696E-4</v>
      </c>
      <c r="K50">
        <f>$B50*1/(9+Rules!$B$5)</f>
        <v>9.1033227127901696E-4</v>
      </c>
      <c r="L50">
        <f>$B50*1/(9+Rules!$B$5)</f>
        <v>9.1033227127901696E-4</v>
      </c>
      <c r="M50">
        <f>$B50*1/(9+Rules!$B$5)</f>
        <v>9.1033227127901696E-4</v>
      </c>
      <c r="N50">
        <f>$B50*1/(9+Rules!$B$5)</f>
        <v>9.1033227127901696E-4</v>
      </c>
      <c r="O50">
        <f>$B50*1/(9+Rules!$B$5)</f>
        <v>9.1033227127901696E-4</v>
      </c>
      <c r="P50">
        <f>$B50*Rules!$B$5/(9+Rules!$B$5)</f>
        <v>3.6413290851160678E-3</v>
      </c>
    </row>
    <row r="51" spans="1:30" x14ac:dyDescent="0.2">
      <c r="A51">
        <v>17</v>
      </c>
      <c r="B51">
        <f t="shared" si="8"/>
        <v>1.183431952662722E-2</v>
      </c>
      <c r="H51">
        <f>$B51*1/(9+Rules!$B$5)</f>
        <v>9.1033227127901696E-4</v>
      </c>
      <c r="I51">
        <f>$B51*1/(9+Rules!$B$5)</f>
        <v>9.1033227127901696E-4</v>
      </c>
      <c r="J51">
        <f>$B51*1/(9+Rules!$B$5)</f>
        <v>9.1033227127901696E-4</v>
      </c>
      <c r="K51">
        <f>$B51*1/(9+Rules!$B$5)</f>
        <v>9.1033227127901696E-4</v>
      </c>
      <c r="L51">
        <f>$B51*1/(9+Rules!$B$5)</f>
        <v>9.1033227127901696E-4</v>
      </c>
      <c r="M51">
        <f>$B51*1/(9+Rules!$B$5)</f>
        <v>9.1033227127901696E-4</v>
      </c>
      <c r="N51">
        <f>$B51*1/(9+Rules!$B$5)</f>
        <v>9.1033227127901696E-4</v>
      </c>
      <c r="O51">
        <f>$B51*1/(9+Rules!$B$5)</f>
        <v>9.1033227127901696E-4</v>
      </c>
      <c r="P51">
        <f>$B51*1/(9+Rules!$B$5)</f>
        <v>9.1033227127901696E-4</v>
      </c>
      <c r="Q51">
        <f>$B51*Rules!$B$5/(9+Rules!$B$5)</f>
        <v>3.6413290851160678E-3</v>
      </c>
    </row>
    <row r="52" spans="1:30" x14ac:dyDescent="0.2">
      <c r="A52">
        <v>18</v>
      </c>
      <c r="B52">
        <f t="shared" si="8"/>
        <v>1.183431952662722E-2</v>
      </c>
      <c r="I52">
        <f>$B52*1/(9+Rules!$B$5)</f>
        <v>9.1033227127901696E-4</v>
      </c>
      <c r="J52">
        <f>$B52*1/(9+Rules!$B$5)</f>
        <v>9.1033227127901696E-4</v>
      </c>
      <c r="K52">
        <f>$B52*1/(9+Rules!$B$5)</f>
        <v>9.1033227127901696E-4</v>
      </c>
      <c r="L52">
        <f>$B52*1/(9+Rules!$B$5)</f>
        <v>9.1033227127901696E-4</v>
      </c>
      <c r="M52">
        <f>$B52*1/(9+Rules!$B$5)</f>
        <v>9.1033227127901696E-4</v>
      </c>
      <c r="N52">
        <f>$B52*1/(9+Rules!$B$5)</f>
        <v>9.1033227127901696E-4</v>
      </c>
      <c r="O52">
        <f>$B52*1/(9+Rules!$B$5)</f>
        <v>9.1033227127901696E-4</v>
      </c>
      <c r="P52">
        <f>$B52*1/(9+Rules!$B$5)</f>
        <v>9.1033227127901696E-4</v>
      </c>
      <c r="Q52">
        <f>$B52*1/(9+Rules!$B$5)</f>
        <v>9.1033227127901696E-4</v>
      </c>
      <c r="R52">
        <f>$B52*Rules!$B$5/(9+Rules!$B$5)</f>
        <v>3.6413290851160678E-3</v>
      </c>
    </row>
    <row r="53" spans="1:30" x14ac:dyDescent="0.2">
      <c r="B53" t="s">
        <v>2</v>
      </c>
      <c r="C53">
        <f t="shared" ref="C53:U53" si="9">SUM(C46:C52)</f>
        <v>4.5516613563950843E-4</v>
      </c>
      <c r="D53">
        <f t="shared" si="9"/>
        <v>1.3654984069185255E-3</v>
      </c>
      <c r="E53">
        <f t="shared" si="9"/>
        <v>2.2758306781975423E-3</v>
      </c>
      <c r="F53">
        <f t="shared" si="9"/>
        <v>3.1861629494765592E-3</v>
      </c>
      <c r="G53">
        <f t="shared" si="9"/>
        <v>4.0964952207555765E-3</v>
      </c>
      <c r="H53">
        <f t="shared" si="9"/>
        <v>5.0068274920345938E-3</v>
      </c>
      <c r="I53">
        <f t="shared" si="9"/>
        <v>5.9171597633136111E-3</v>
      </c>
      <c r="J53">
        <f t="shared" si="9"/>
        <v>5.9171597633136111E-3</v>
      </c>
      <c r="K53">
        <f t="shared" si="9"/>
        <v>5.9171597633136111E-3</v>
      </c>
      <c r="L53">
        <f t="shared" si="9"/>
        <v>7.2826581702321366E-3</v>
      </c>
      <c r="M53">
        <f t="shared" si="9"/>
        <v>8.192990441511153E-3</v>
      </c>
      <c r="N53">
        <f t="shared" si="9"/>
        <v>7.2826581702321366E-3</v>
      </c>
      <c r="O53">
        <f t="shared" si="9"/>
        <v>6.3723258989531193E-3</v>
      </c>
      <c r="P53">
        <f t="shared" si="9"/>
        <v>5.461993627674102E-3</v>
      </c>
      <c r="Q53">
        <f t="shared" si="9"/>
        <v>4.5516613563950847E-3</v>
      </c>
      <c r="R53">
        <f t="shared" si="9"/>
        <v>3.6413290851160678E-3</v>
      </c>
      <c r="S53">
        <f t="shared" si="9"/>
        <v>0</v>
      </c>
      <c r="T53">
        <f t="shared" si="9"/>
        <v>0</v>
      </c>
      <c r="U53">
        <f t="shared" si="9"/>
        <v>0</v>
      </c>
    </row>
    <row r="55" spans="1:30" x14ac:dyDescent="0.2">
      <c r="B55" t="s">
        <v>93</v>
      </c>
      <c r="C55">
        <v>5</v>
      </c>
      <c r="D55">
        <v>6</v>
      </c>
      <c r="E55">
        <v>7</v>
      </c>
      <c r="F55">
        <v>8</v>
      </c>
      <c r="G55">
        <v>9</v>
      </c>
      <c r="H55">
        <v>10</v>
      </c>
      <c r="I55">
        <v>11</v>
      </c>
      <c r="J55">
        <v>12</v>
      </c>
      <c r="K55">
        <v>13</v>
      </c>
      <c r="L55">
        <v>14</v>
      </c>
      <c r="M55">
        <v>15</v>
      </c>
      <c r="N55">
        <v>16</v>
      </c>
      <c r="O55">
        <v>17</v>
      </c>
      <c r="P55">
        <v>18</v>
      </c>
      <c r="Q55">
        <v>19</v>
      </c>
      <c r="R55">
        <v>20</v>
      </c>
      <c r="S55">
        <v>21</v>
      </c>
      <c r="T55" t="s">
        <v>89</v>
      </c>
      <c r="U55" t="s">
        <v>2</v>
      </c>
      <c r="V55" t="s">
        <v>98</v>
      </c>
      <c r="W55" t="s">
        <v>111</v>
      </c>
    </row>
    <row r="56" spans="1:30" x14ac:dyDescent="0.2">
      <c r="B56" t="s">
        <v>99</v>
      </c>
      <c r="C56">
        <f t="shared" ref="C56:S56" ca="1" si="10">SUMIF($C$29:$AF$29,C55,$C$43:$AB$43)+SUMIF($L$45:$V$45,C55+10,$L$53:$V$53)</f>
        <v>4.5516613563950843E-4</v>
      </c>
      <c r="D56">
        <f t="shared" ca="1" si="10"/>
        <v>1.3654984069185255E-3</v>
      </c>
      <c r="E56">
        <f t="shared" ca="1" si="10"/>
        <v>2.730996813837051E-3</v>
      </c>
      <c r="F56">
        <f t="shared" ca="1" si="10"/>
        <v>4.5516613563950847E-3</v>
      </c>
      <c r="G56">
        <f t="shared" ca="1" si="10"/>
        <v>6.8274920345926266E-3</v>
      </c>
      <c r="H56">
        <f t="shared" ca="1" si="10"/>
        <v>9.5584888484296776E-3</v>
      </c>
      <c r="I56">
        <f t="shared" ca="1" si="10"/>
        <v>1.2744651797906237E-2</v>
      </c>
      <c r="J56">
        <f t="shared" ca="1" si="10"/>
        <v>2.3668639053254441E-2</v>
      </c>
      <c r="K56">
        <f t="shared" ca="1" si="10"/>
        <v>3.1406463359126086E-2</v>
      </c>
      <c r="L56">
        <f t="shared" ca="1" si="10"/>
        <v>3.823395539371871E-2</v>
      </c>
      <c r="M56">
        <f t="shared" ca="1" si="10"/>
        <v>4.4151115157032322E-2</v>
      </c>
      <c r="N56">
        <f t="shared" ca="1" si="10"/>
        <v>4.9157942649066921E-2</v>
      </c>
      <c r="O56">
        <f t="shared" ca="1" si="10"/>
        <v>5.3254437869822494E-2</v>
      </c>
      <c r="P56">
        <f t="shared" ca="1" si="10"/>
        <v>5.1888939462903967E-2</v>
      </c>
      <c r="Q56">
        <f t="shared" ca="1" si="10"/>
        <v>4.7337278106508889E-2</v>
      </c>
      <c r="R56">
        <f t="shared" ca="1" si="10"/>
        <v>4.5971779699590355E-2</v>
      </c>
      <c r="S56">
        <f t="shared" ca="1" si="10"/>
        <v>4.4151115157032329E-2</v>
      </c>
      <c r="T56">
        <f ca="1">SUMIF($C$29:$AF$29,"&gt;21",$C$43:$AB$43)</f>
        <v>0.17296313154301321</v>
      </c>
      <c r="U56">
        <f ca="1">SUM(C56:T56)</f>
        <v>0.64041875284478844</v>
      </c>
      <c r="V56">
        <f ca="1">T56+SUM(O56:S56,Q57:S57)</f>
        <v>0.43331816112881205</v>
      </c>
      <c r="W56">
        <f>T23</f>
        <v>0.32544378698224863</v>
      </c>
    </row>
    <row r="57" spans="1:30" x14ac:dyDescent="0.2">
      <c r="B57" t="s">
        <v>100</v>
      </c>
      <c r="C57">
        <f t="shared" ref="C57:S57" si="11">SUMIF($C$45:$K$45,C55,$C$53:$K$53)</f>
        <v>0</v>
      </c>
      <c r="D57">
        <f t="shared" si="11"/>
        <v>0</v>
      </c>
      <c r="E57">
        <f t="shared" si="11"/>
        <v>0</v>
      </c>
      <c r="F57">
        <f t="shared" si="11"/>
        <v>0</v>
      </c>
      <c r="G57">
        <f t="shared" si="11"/>
        <v>0</v>
      </c>
      <c r="H57">
        <f t="shared" si="11"/>
        <v>0</v>
      </c>
      <c r="I57">
        <f t="shared" si="11"/>
        <v>0</v>
      </c>
      <c r="J57">
        <f t="shared" si="11"/>
        <v>0</v>
      </c>
      <c r="K57">
        <f t="shared" si="11"/>
        <v>4.5516613563950843E-4</v>
      </c>
      <c r="L57">
        <f t="shared" si="11"/>
        <v>1.3654984069185255E-3</v>
      </c>
      <c r="M57">
        <f t="shared" si="11"/>
        <v>2.2758306781975423E-3</v>
      </c>
      <c r="N57">
        <f t="shared" si="11"/>
        <v>3.1861629494765592E-3</v>
      </c>
      <c r="O57">
        <f t="shared" si="11"/>
        <v>4.0964952207555765E-3</v>
      </c>
      <c r="P57">
        <f t="shared" si="11"/>
        <v>5.0068274920345938E-3</v>
      </c>
      <c r="Q57">
        <f t="shared" si="11"/>
        <v>5.9171597633136111E-3</v>
      </c>
      <c r="R57">
        <f t="shared" si="11"/>
        <v>5.9171597633136111E-3</v>
      </c>
      <c r="S57">
        <f t="shared" si="11"/>
        <v>5.9171597633136111E-3</v>
      </c>
      <c r="U57">
        <f>SUM(C57:S57)</f>
        <v>3.4137460172963138E-2</v>
      </c>
    </row>
    <row r="58" spans="1:30" x14ac:dyDescent="0.2">
      <c r="U58">
        <f ca="1">SUM(U56:U57)+W56</f>
        <v>1.0000000000000002</v>
      </c>
    </row>
    <row r="60" spans="1:30" x14ac:dyDescent="0.2">
      <c r="B60" t="s">
        <v>14</v>
      </c>
      <c r="C60">
        <v>6</v>
      </c>
      <c r="D60">
        <v>7</v>
      </c>
      <c r="E60">
        <v>8</v>
      </c>
      <c r="F60">
        <v>9</v>
      </c>
      <c r="G60">
        <v>10</v>
      </c>
      <c r="H60">
        <v>11</v>
      </c>
      <c r="I60">
        <v>12</v>
      </c>
      <c r="J60">
        <v>13</v>
      </c>
      <c r="K60">
        <v>14</v>
      </c>
      <c r="L60">
        <v>15</v>
      </c>
      <c r="M60">
        <v>16</v>
      </c>
      <c r="N60">
        <v>17</v>
      </c>
      <c r="O60">
        <v>18</v>
      </c>
      <c r="P60">
        <v>19</v>
      </c>
      <c r="Q60">
        <v>20</v>
      </c>
      <c r="R60">
        <v>21</v>
      </c>
      <c r="S60">
        <v>22</v>
      </c>
      <c r="T60">
        <v>23</v>
      </c>
      <c r="U60">
        <v>24</v>
      </c>
      <c r="V60">
        <v>25</v>
      </c>
      <c r="W60">
        <v>26</v>
      </c>
      <c r="X60">
        <v>27</v>
      </c>
      <c r="Y60">
        <v>28</v>
      </c>
      <c r="Z60">
        <v>29</v>
      </c>
      <c r="AA60">
        <v>30</v>
      </c>
      <c r="AB60">
        <v>31</v>
      </c>
      <c r="AC60">
        <v>32</v>
      </c>
      <c r="AD60">
        <v>33</v>
      </c>
    </row>
    <row r="61" spans="1:30" x14ac:dyDescent="0.2">
      <c r="A61">
        <v>5</v>
      </c>
      <c r="B61">
        <f ca="1">C56</f>
        <v>4.5516613563950843E-4</v>
      </c>
      <c r="C61">
        <f ca="1">$B61*1/(9+Rules!$B$5)</f>
        <v>3.5012779664577572E-5</v>
      </c>
      <c r="D61">
        <f ca="1">$B61*1/(9+Rules!$B$5)</f>
        <v>3.5012779664577572E-5</v>
      </c>
      <c r="E61">
        <f ca="1">$B61*1/(9+Rules!$B$5)</f>
        <v>3.5012779664577572E-5</v>
      </c>
      <c r="F61">
        <f ca="1">$B61*1/(9+Rules!$B$5)</f>
        <v>3.5012779664577572E-5</v>
      </c>
      <c r="G61">
        <f ca="1">$B61*1/(9+Rules!$B$5)</f>
        <v>3.5012779664577572E-5</v>
      </c>
      <c r="H61">
        <f ca="1">$B61*1/(9+Rules!$B$5)</f>
        <v>3.5012779664577572E-5</v>
      </c>
      <c r="I61">
        <f ca="1">$B61*1/(9+Rules!$B$5)</f>
        <v>3.5012779664577572E-5</v>
      </c>
      <c r="J61">
        <f ca="1">$B61*1/(9+Rules!$B$5)</f>
        <v>3.5012779664577572E-5</v>
      </c>
      <c r="K61">
        <f ca="1">$B61*1/(9+Rules!$B$5)</f>
        <v>3.5012779664577572E-5</v>
      </c>
      <c r="L61">
        <f ca="1">$B61*Rules!$B$5/(9+Rules!$B$5)</f>
        <v>1.4005111865831029E-4</v>
      </c>
    </row>
    <row r="62" spans="1:30" x14ac:dyDescent="0.2">
      <c r="A62">
        <v>6</v>
      </c>
      <c r="B62">
        <f ca="1">D56</f>
        <v>1.3654984069185255E-3</v>
      </c>
      <c r="D62">
        <f ca="1">$B62*1/(9+Rules!$B$5)</f>
        <v>1.0503833899373274E-4</v>
      </c>
      <c r="E62">
        <f ca="1">$B62*1/(9+Rules!$B$5)</f>
        <v>1.0503833899373274E-4</v>
      </c>
      <c r="F62">
        <f ca="1">$B62*1/(9+Rules!$B$5)</f>
        <v>1.0503833899373274E-4</v>
      </c>
      <c r="G62">
        <f ca="1">$B62*1/(9+Rules!$B$5)</f>
        <v>1.0503833899373274E-4</v>
      </c>
      <c r="H62">
        <f ca="1">$B62*1/(9+Rules!$B$5)</f>
        <v>1.0503833899373274E-4</v>
      </c>
      <c r="I62">
        <f ca="1">$B62*1/(9+Rules!$B$5)</f>
        <v>1.0503833899373274E-4</v>
      </c>
      <c r="J62">
        <f ca="1">$B62*1/(9+Rules!$B$5)</f>
        <v>1.0503833899373274E-4</v>
      </c>
      <c r="K62">
        <f ca="1">$B62*1/(9+Rules!$B$5)</f>
        <v>1.0503833899373274E-4</v>
      </c>
      <c r="L62">
        <f ca="1">$B62*1/(9+Rules!$B$5)</f>
        <v>1.0503833899373274E-4</v>
      </c>
      <c r="M62">
        <f ca="1">$B62*Rules!$B$5/(9+Rules!$B$5)</f>
        <v>4.2015335597493094E-4</v>
      </c>
    </row>
    <row r="63" spans="1:30" x14ac:dyDescent="0.2">
      <c r="A63">
        <v>7</v>
      </c>
      <c r="B63">
        <f ca="1">E56</f>
        <v>2.730996813837051E-3</v>
      </c>
      <c r="E63">
        <f ca="1">$B63*1/(9+Rules!$B$5)</f>
        <v>2.1007667798746547E-4</v>
      </c>
      <c r="F63">
        <f ca="1">$B63*1/(9+Rules!$B$5)</f>
        <v>2.1007667798746547E-4</v>
      </c>
      <c r="G63">
        <f ca="1">$B63*1/(9+Rules!$B$5)</f>
        <v>2.1007667798746547E-4</v>
      </c>
      <c r="H63">
        <f ca="1">$B63*1/(9+Rules!$B$5)</f>
        <v>2.1007667798746547E-4</v>
      </c>
      <c r="I63">
        <f ca="1">$B63*1/(9+Rules!$B$5)</f>
        <v>2.1007667798746547E-4</v>
      </c>
      <c r="J63">
        <f ca="1">$B63*1/(9+Rules!$B$5)</f>
        <v>2.1007667798746547E-4</v>
      </c>
      <c r="K63">
        <f ca="1">$B63*1/(9+Rules!$B$5)</f>
        <v>2.1007667798746547E-4</v>
      </c>
      <c r="L63">
        <f ca="1">$B63*1/(9+Rules!$B$5)</f>
        <v>2.1007667798746547E-4</v>
      </c>
      <c r="M63">
        <f ca="1">$B63*1/(9+Rules!$B$5)</f>
        <v>2.1007667798746547E-4</v>
      </c>
      <c r="N63">
        <f ca="1">$B63*Rules!$B$5/(9+Rules!$B$5)</f>
        <v>8.4030671194986189E-4</v>
      </c>
    </row>
    <row r="64" spans="1:30" x14ac:dyDescent="0.2">
      <c r="A64">
        <v>8</v>
      </c>
      <c r="B64">
        <f ca="1">F56</f>
        <v>4.5516613563950847E-3</v>
      </c>
      <c r="F64">
        <f ca="1">$B64*1/(9+Rules!$B$5)</f>
        <v>3.5012779664577576E-4</v>
      </c>
      <c r="G64">
        <f ca="1">$B64*1/(9+Rules!$B$5)</f>
        <v>3.5012779664577576E-4</v>
      </c>
      <c r="H64">
        <f ca="1">$B64*1/(9+Rules!$B$5)</f>
        <v>3.5012779664577576E-4</v>
      </c>
      <c r="I64">
        <f ca="1">$B64*1/(9+Rules!$B$5)</f>
        <v>3.5012779664577576E-4</v>
      </c>
      <c r="J64">
        <f ca="1">$B64*1/(9+Rules!$B$5)</f>
        <v>3.5012779664577576E-4</v>
      </c>
      <c r="K64">
        <f ca="1">$B64*1/(9+Rules!$B$5)</f>
        <v>3.5012779664577576E-4</v>
      </c>
      <c r="L64">
        <f ca="1">$B64*1/(9+Rules!$B$5)</f>
        <v>3.5012779664577576E-4</v>
      </c>
      <c r="M64">
        <f ca="1">$B64*1/(9+Rules!$B$5)</f>
        <v>3.5012779664577576E-4</v>
      </c>
      <c r="N64">
        <f ca="1">$B64*1/(9+Rules!$B$5)</f>
        <v>3.5012779664577576E-4</v>
      </c>
      <c r="O64">
        <f ca="1">$B64*Rules!$B$5/(9+Rules!$B$5)</f>
        <v>1.400511186583103E-3</v>
      </c>
    </row>
    <row r="65" spans="1:28" x14ac:dyDescent="0.2">
      <c r="A65">
        <v>9</v>
      </c>
      <c r="B65">
        <f ca="1">G56</f>
        <v>6.8274920345926266E-3</v>
      </c>
      <c r="G65">
        <f ca="1">$B65*1/(9+Rules!$B$5)</f>
        <v>5.2519169496866361E-4</v>
      </c>
      <c r="H65">
        <f ca="1">$B65*1/(9+Rules!$B$5)</f>
        <v>5.2519169496866361E-4</v>
      </c>
      <c r="I65">
        <f ca="1">$B65*1/(9+Rules!$B$5)</f>
        <v>5.2519169496866361E-4</v>
      </c>
      <c r="J65">
        <f ca="1">$B65*1/(9+Rules!$B$5)</f>
        <v>5.2519169496866361E-4</v>
      </c>
      <c r="K65">
        <f ca="1">$B65*1/(9+Rules!$B$5)</f>
        <v>5.2519169496866361E-4</v>
      </c>
      <c r="L65">
        <f ca="1">$B65*1/(9+Rules!$B$5)</f>
        <v>5.2519169496866361E-4</v>
      </c>
      <c r="M65">
        <f ca="1">$B65*1/(9+Rules!$B$5)</f>
        <v>5.2519169496866361E-4</v>
      </c>
      <c r="N65">
        <f ca="1">$B65*1/(9+Rules!$B$5)</f>
        <v>5.2519169496866361E-4</v>
      </c>
      <c r="O65">
        <f ca="1">$B65*1/(9+Rules!$B$5)</f>
        <v>5.2519169496866361E-4</v>
      </c>
      <c r="P65">
        <f ca="1">$B65*Rules!$B$5/(9+Rules!$B$5)</f>
        <v>2.1007667798746544E-3</v>
      </c>
    </row>
    <row r="66" spans="1:28" x14ac:dyDescent="0.2">
      <c r="A66">
        <v>10</v>
      </c>
      <c r="B66">
        <f ca="1">H56</f>
        <v>9.5584888484296776E-3</v>
      </c>
      <c r="H66">
        <f ca="1">$B66*1/(9+Rules!$B$5)</f>
        <v>7.3526837295612906E-4</v>
      </c>
      <c r="I66">
        <f ca="1">$B66*1/(9+Rules!$B$5)</f>
        <v>7.3526837295612906E-4</v>
      </c>
      <c r="J66">
        <f ca="1">$B66*1/(9+Rules!$B$5)</f>
        <v>7.3526837295612906E-4</v>
      </c>
      <c r="K66">
        <f ca="1">$B66*1/(9+Rules!$B$5)</f>
        <v>7.3526837295612906E-4</v>
      </c>
      <c r="L66">
        <f ca="1">$B66*1/(9+Rules!$B$5)</f>
        <v>7.3526837295612906E-4</v>
      </c>
      <c r="M66">
        <f ca="1">$B66*1/(9+Rules!$B$5)</f>
        <v>7.3526837295612906E-4</v>
      </c>
      <c r="N66">
        <f ca="1">$B66*1/(9+Rules!$B$5)</f>
        <v>7.3526837295612906E-4</v>
      </c>
      <c r="O66">
        <f ca="1">$B66*1/(9+Rules!$B$5)</f>
        <v>7.3526837295612906E-4</v>
      </c>
      <c r="P66">
        <f ca="1">$B66*1/(9+Rules!$B$5)</f>
        <v>7.3526837295612906E-4</v>
      </c>
      <c r="Q66">
        <f ca="1">$B66*Rules!$B$5/(9+Rules!$B$5)</f>
        <v>2.9410734918245162E-3</v>
      </c>
    </row>
    <row r="67" spans="1:28" x14ac:dyDescent="0.2">
      <c r="A67">
        <v>11</v>
      </c>
      <c r="B67">
        <f ca="1">I56</f>
        <v>1.2744651797906237E-2</v>
      </c>
      <c r="I67">
        <f ca="1">$B67*1/(9+Rules!$B$5)</f>
        <v>9.8035783060817215E-4</v>
      </c>
      <c r="J67">
        <f ca="1">$B67*1/(9+Rules!$B$5)</f>
        <v>9.8035783060817215E-4</v>
      </c>
      <c r="K67">
        <f ca="1">$B67*1/(9+Rules!$B$5)</f>
        <v>9.8035783060817215E-4</v>
      </c>
      <c r="L67">
        <f ca="1">$B67*1/(9+Rules!$B$5)</f>
        <v>9.8035783060817215E-4</v>
      </c>
      <c r="M67">
        <f ca="1">$B67*1/(9+Rules!$B$5)</f>
        <v>9.8035783060817215E-4</v>
      </c>
      <c r="N67">
        <f ca="1">$B67*1/(9+Rules!$B$5)</f>
        <v>9.8035783060817215E-4</v>
      </c>
      <c r="O67">
        <f ca="1">$B67*1/(9+Rules!$B$5)</f>
        <v>9.8035783060817215E-4</v>
      </c>
      <c r="P67">
        <f ca="1">$B67*1/(9+Rules!$B$5)</f>
        <v>9.8035783060817215E-4</v>
      </c>
      <c r="Q67">
        <f ca="1">$B67*1/(9+Rules!$B$5)</f>
        <v>9.8035783060817215E-4</v>
      </c>
      <c r="R67">
        <f ca="1">$B67*Rules!$B$5/(9+Rules!$B$5)</f>
        <v>3.9214313224326886E-3</v>
      </c>
    </row>
    <row r="68" spans="1:28" x14ac:dyDescent="0.2">
      <c r="A68">
        <v>12</v>
      </c>
      <c r="B68">
        <f ca="1">J56</f>
        <v>2.3668639053254441E-2</v>
      </c>
      <c r="J68">
        <f ca="1">$B68*1/(9+Rules!$B$5)</f>
        <v>1.8206645425580339E-3</v>
      </c>
      <c r="K68">
        <f ca="1">$B68*1/(9+Rules!$B$5)</f>
        <v>1.8206645425580339E-3</v>
      </c>
      <c r="L68">
        <f ca="1">$B68*1/(9+Rules!$B$5)</f>
        <v>1.8206645425580339E-3</v>
      </c>
      <c r="M68">
        <f ca="1">$B68*1/(9+Rules!$B$5)</f>
        <v>1.8206645425580339E-3</v>
      </c>
      <c r="N68">
        <f ca="1">$B68*1/(9+Rules!$B$5)</f>
        <v>1.8206645425580339E-3</v>
      </c>
      <c r="O68">
        <f ca="1">$B68*1/(9+Rules!$B$5)</f>
        <v>1.8206645425580339E-3</v>
      </c>
      <c r="P68">
        <f ca="1">$B68*1/(9+Rules!$B$5)</f>
        <v>1.8206645425580339E-3</v>
      </c>
      <c r="Q68">
        <f ca="1">$B68*1/(9+Rules!$B$5)</f>
        <v>1.8206645425580339E-3</v>
      </c>
      <c r="R68">
        <f ca="1">$B68*1/(9+Rules!$B$5)</f>
        <v>1.8206645425580339E-3</v>
      </c>
      <c r="S68">
        <f ca="1">$B68*Rules!$B$5/(9+Rules!$B$5)</f>
        <v>7.2826581702321357E-3</v>
      </c>
    </row>
    <row r="69" spans="1:28" x14ac:dyDescent="0.2">
      <c r="A69">
        <v>13</v>
      </c>
      <c r="B69">
        <f ca="1">K56</f>
        <v>3.1406463359126086E-2</v>
      </c>
      <c r="K69">
        <f ca="1">$B69*1/(9+Rules!$B$5)</f>
        <v>2.4158817968558529E-3</v>
      </c>
      <c r="L69">
        <f ca="1">$B69*1/(9+Rules!$B$5)</f>
        <v>2.4158817968558529E-3</v>
      </c>
      <c r="M69">
        <f ca="1">$B69*1/(9+Rules!$B$5)</f>
        <v>2.4158817968558529E-3</v>
      </c>
      <c r="N69">
        <f ca="1">$B69*1/(9+Rules!$B$5)</f>
        <v>2.4158817968558529E-3</v>
      </c>
      <c r="O69">
        <f ca="1">$B69*1/(9+Rules!$B$5)</f>
        <v>2.4158817968558529E-3</v>
      </c>
      <c r="P69">
        <f ca="1">$B69*1/(9+Rules!$B$5)</f>
        <v>2.4158817968558529E-3</v>
      </c>
      <c r="Q69">
        <f ca="1">$B69*1/(9+Rules!$B$5)</f>
        <v>2.4158817968558529E-3</v>
      </c>
      <c r="R69">
        <f ca="1">$B69*1/(9+Rules!$B$5)</f>
        <v>2.4158817968558529E-3</v>
      </c>
      <c r="S69">
        <f ca="1">$B69*1/(9+Rules!$B$5)</f>
        <v>2.4158817968558529E-3</v>
      </c>
      <c r="T69">
        <f ca="1">$B69*Rules!$B$5/(9+Rules!$B$5)</f>
        <v>9.6635271874234117E-3</v>
      </c>
    </row>
    <row r="70" spans="1:28" x14ac:dyDescent="0.2">
      <c r="A70">
        <v>14</v>
      </c>
      <c r="B70">
        <f ca="1">L56</f>
        <v>3.823395539371871E-2</v>
      </c>
      <c r="L70">
        <f ca="1">$B70*1/(9+Rules!$B$5)</f>
        <v>2.9410734918245162E-3</v>
      </c>
      <c r="M70">
        <f ca="1">$B70*1/(9+Rules!$B$5)</f>
        <v>2.9410734918245162E-3</v>
      </c>
      <c r="N70">
        <f ca="1">$B70*1/(9+Rules!$B$5)</f>
        <v>2.9410734918245162E-3</v>
      </c>
      <c r="O70">
        <f ca="1">$B70*1/(9+Rules!$B$5)</f>
        <v>2.9410734918245162E-3</v>
      </c>
      <c r="P70">
        <f ca="1">$B70*1/(9+Rules!$B$5)</f>
        <v>2.9410734918245162E-3</v>
      </c>
      <c r="Q70">
        <f ca="1">$B70*1/(9+Rules!$B$5)</f>
        <v>2.9410734918245162E-3</v>
      </c>
      <c r="R70">
        <f ca="1">$B70*1/(9+Rules!$B$5)</f>
        <v>2.9410734918245162E-3</v>
      </c>
      <c r="S70">
        <f ca="1">$B70*1/(9+Rules!$B$5)</f>
        <v>2.9410734918245162E-3</v>
      </c>
      <c r="T70">
        <f ca="1">$B70*1/(9+Rules!$B$5)</f>
        <v>2.9410734918245162E-3</v>
      </c>
      <c r="U70">
        <f ca="1">$B70*Rules!$B$5/(9+Rules!$B$5)</f>
        <v>1.1764293967298065E-2</v>
      </c>
    </row>
    <row r="71" spans="1:28" x14ac:dyDescent="0.2">
      <c r="A71">
        <v>15</v>
      </c>
      <c r="B71">
        <f ca="1">M56</f>
        <v>4.4151115157032322E-2</v>
      </c>
      <c r="M71">
        <f ca="1">$B71*1/(9+Rules!$B$5)</f>
        <v>3.3962396274640249E-3</v>
      </c>
      <c r="N71">
        <f ca="1">$B71*1/(9+Rules!$B$5)</f>
        <v>3.3962396274640249E-3</v>
      </c>
      <c r="O71">
        <f ca="1">$B71*1/(9+Rules!$B$5)</f>
        <v>3.3962396274640249E-3</v>
      </c>
      <c r="P71">
        <f ca="1">$B71*1/(9+Rules!$B$5)</f>
        <v>3.3962396274640249E-3</v>
      </c>
      <c r="Q71">
        <f ca="1">$B71*1/(9+Rules!$B$5)</f>
        <v>3.3962396274640249E-3</v>
      </c>
      <c r="R71">
        <f ca="1">$B71*1/(9+Rules!$B$5)</f>
        <v>3.3962396274640249E-3</v>
      </c>
      <c r="S71">
        <f ca="1">$B71*1/(9+Rules!$B$5)</f>
        <v>3.3962396274640249E-3</v>
      </c>
      <c r="T71">
        <f ca="1">$B71*1/(9+Rules!$B$5)</f>
        <v>3.3962396274640249E-3</v>
      </c>
      <c r="U71">
        <f ca="1">$B71*1/(9+Rules!$B$5)</f>
        <v>3.3962396274640249E-3</v>
      </c>
      <c r="V71">
        <f ca="1">$B71*Rules!$B$5/(9+Rules!$B$5)</f>
        <v>1.3584958509856099E-2</v>
      </c>
    </row>
    <row r="72" spans="1:28" x14ac:dyDescent="0.2">
      <c r="A72">
        <v>16</v>
      </c>
      <c r="B72">
        <f ca="1">N56</f>
        <v>4.9157942649066921E-2</v>
      </c>
      <c r="N72">
        <f ca="1">$B72*1/(9+Rules!$B$5)</f>
        <v>3.7813802037743784E-3</v>
      </c>
      <c r="O72">
        <f ca="1">$B72*1/(9+Rules!$B$5)</f>
        <v>3.7813802037743784E-3</v>
      </c>
      <c r="P72">
        <f ca="1">$B72*1/(9+Rules!$B$5)</f>
        <v>3.7813802037743784E-3</v>
      </c>
      <c r="Q72">
        <f ca="1">$B72*1/(9+Rules!$B$5)</f>
        <v>3.7813802037743784E-3</v>
      </c>
      <c r="R72">
        <f ca="1">$B72*1/(9+Rules!$B$5)</f>
        <v>3.7813802037743784E-3</v>
      </c>
      <c r="S72">
        <f ca="1">$B72*1/(9+Rules!$B$5)</f>
        <v>3.7813802037743784E-3</v>
      </c>
      <c r="T72">
        <f ca="1">$B72*1/(9+Rules!$B$5)</f>
        <v>3.7813802037743784E-3</v>
      </c>
      <c r="U72">
        <f ca="1">$B72*1/(9+Rules!$B$5)</f>
        <v>3.7813802037743784E-3</v>
      </c>
      <c r="V72">
        <f ca="1">$B72*1/(9+Rules!$B$5)</f>
        <v>3.7813802037743784E-3</v>
      </c>
      <c r="W72">
        <f ca="1">$B72*Rules!$B$5/(9+Rules!$B$5)</f>
        <v>1.5125520815097514E-2</v>
      </c>
    </row>
    <row r="73" spans="1:28" x14ac:dyDescent="0.2">
      <c r="B73" t="s">
        <v>2</v>
      </c>
      <c r="C73">
        <f t="shared" ref="C73:AB73" ca="1" si="12">SUM(C61:C72)</f>
        <v>3.5012779664577572E-5</v>
      </c>
      <c r="D73">
        <f t="shared" ca="1" si="12"/>
        <v>1.4005111865831031E-4</v>
      </c>
      <c r="E73">
        <f t="shared" ca="1" si="12"/>
        <v>3.5012779664577581E-4</v>
      </c>
      <c r="F73">
        <f t="shared" ca="1" si="12"/>
        <v>7.0025559329155163E-4</v>
      </c>
      <c r="G73">
        <f t="shared" ca="1" si="12"/>
        <v>1.2254472882602153E-3</v>
      </c>
      <c r="H73">
        <f t="shared" ca="1" si="12"/>
        <v>1.9607156612163443E-3</v>
      </c>
      <c r="I73">
        <f t="shared" ca="1" si="12"/>
        <v>2.9410734918245167E-3</v>
      </c>
      <c r="J73">
        <f t="shared" ca="1" si="12"/>
        <v>4.7617380343825504E-3</v>
      </c>
      <c r="K73">
        <f t="shared" ca="1" si="12"/>
        <v>7.1776198312384033E-3</v>
      </c>
      <c r="L73">
        <f t="shared" ca="1" si="12"/>
        <v>1.0223731662056652E-2</v>
      </c>
      <c r="M73">
        <f t="shared" ca="1" si="12"/>
        <v>1.3795035187843564E-2</v>
      </c>
      <c r="N73">
        <f t="shared" ca="1" si="12"/>
        <v>1.7786492069605406E-2</v>
      </c>
      <c r="O73">
        <f t="shared" ca="1" si="12"/>
        <v>1.7996568747592874E-2</v>
      </c>
      <c r="P73">
        <f t="shared" ca="1" si="12"/>
        <v>1.8171632645915758E-2</v>
      </c>
      <c r="Q73">
        <f t="shared" ca="1" si="12"/>
        <v>1.8276670984909496E-2</v>
      </c>
      <c r="R73">
        <f t="shared" ca="1" si="12"/>
        <v>1.8276670984909496E-2</v>
      </c>
      <c r="S73">
        <f t="shared" ca="1" si="12"/>
        <v>1.9817233290150907E-2</v>
      </c>
      <c r="T73">
        <f t="shared" ca="1" si="12"/>
        <v>1.978222051048633E-2</v>
      </c>
      <c r="U73">
        <f t="shared" ca="1" si="12"/>
        <v>1.8941913798536471E-2</v>
      </c>
      <c r="V73">
        <f t="shared" ca="1" si="12"/>
        <v>1.7366338713630476E-2</v>
      </c>
      <c r="W73">
        <f t="shared" ca="1" si="12"/>
        <v>1.5125520815097514E-2</v>
      </c>
      <c r="X73">
        <f t="shared" si="12"/>
        <v>0</v>
      </c>
      <c r="Y73">
        <f t="shared" si="12"/>
        <v>0</v>
      </c>
      <c r="Z73">
        <f t="shared" si="12"/>
        <v>0</v>
      </c>
      <c r="AA73">
        <f t="shared" si="12"/>
        <v>0</v>
      </c>
      <c r="AB73">
        <f t="shared" si="12"/>
        <v>0</v>
      </c>
    </row>
    <row r="75" spans="1:28" x14ac:dyDescent="0.2">
      <c r="A75" t="s">
        <v>96</v>
      </c>
      <c r="C75">
        <v>14</v>
      </c>
      <c r="D75">
        <v>15</v>
      </c>
      <c r="E75">
        <v>16</v>
      </c>
      <c r="F75">
        <v>17</v>
      </c>
      <c r="G75">
        <v>18</v>
      </c>
      <c r="H75">
        <v>19</v>
      </c>
      <c r="I75">
        <v>20</v>
      </c>
      <c r="J75">
        <v>21</v>
      </c>
      <c r="K75">
        <v>22</v>
      </c>
      <c r="L75">
        <v>23</v>
      </c>
      <c r="M75">
        <v>24</v>
      </c>
      <c r="N75">
        <v>25</v>
      </c>
      <c r="O75">
        <v>26</v>
      </c>
      <c r="P75">
        <v>27</v>
      </c>
      <c r="Q75">
        <v>28</v>
      </c>
      <c r="R75">
        <v>29</v>
      </c>
      <c r="S75">
        <v>30</v>
      </c>
      <c r="T75">
        <v>31</v>
      </c>
      <c r="U75">
        <v>32</v>
      </c>
    </row>
    <row r="76" spans="1:28" x14ac:dyDescent="0.2">
      <c r="A76">
        <v>13</v>
      </c>
      <c r="B76">
        <f>K57</f>
        <v>4.5516613563950843E-4</v>
      </c>
      <c r="C76">
        <f>$B76*1/(9+Rules!$B$5)</f>
        <v>3.5012779664577572E-5</v>
      </c>
      <c r="D76">
        <f>$B76*1/(9+Rules!$B$5)</f>
        <v>3.5012779664577572E-5</v>
      </c>
      <c r="E76">
        <f>$B76*1/(9+Rules!$B$5)</f>
        <v>3.5012779664577572E-5</v>
      </c>
      <c r="F76">
        <f>$B76*1/(9+Rules!$B$5)</f>
        <v>3.5012779664577572E-5</v>
      </c>
      <c r="G76">
        <f>$B76*1/(9+Rules!$B$5)</f>
        <v>3.5012779664577572E-5</v>
      </c>
      <c r="H76">
        <f>$B76*1/(9+Rules!$B$5)</f>
        <v>3.5012779664577572E-5</v>
      </c>
      <c r="I76">
        <f>$B76*1/(9+Rules!$B$5)</f>
        <v>3.5012779664577572E-5</v>
      </c>
      <c r="J76">
        <f>$B76*1/(9+Rules!$B$5)</f>
        <v>3.5012779664577572E-5</v>
      </c>
      <c r="K76">
        <f>$B76*1/(9+Rules!$B$5)</f>
        <v>3.5012779664577572E-5</v>
      </c>
      <c r="L76">
        <f>$B76*Rules!$B$5/(9+Rules!$B$5)</f>
        <v>1.4005111865831029E-4</v>
      </c>
    </row>
    <row r="77" spans="1:28" x14ac:dyDescent="0.2">
      <c r="A77">
        <v>14</v>
      </c>
      <c r="B77">
        <f>L57</f>
        <v>1.3654984069185255E-3</v>
      </c>
      <c r="D77">
        <f>$B77*1/(9+Rules!$B$5)</f>
        <v>1.0503833899373274E-4</v>
      </c>
      <c r="E77">
        <f>$B77*1/(9+Rules!$B$5)</f>
        <v>1.0503833899373274E-4</v>
      </c>
      <c r="F77">
        <f>$B77*1/(9+Rules!$B$5)</f>
        <v>1.0503833899373274E-4</v>
      </c>
      <c r="G77">
        <f>$B77*1/(9+Rules!$B$5)</f>
        <v>1.0503833899373274E-4</v>
      </c>
      <c r="H77">
        <f>$B77*1/(9+Rules!$B$5)</f>
        <v>1.0503833899373274E-4</v>
      </c>
      <c r="I77">
        <f>$B77*1/(9+Rules!$B$5)</f>
        <v>1.0503833899373274E-4</v>
      </c>
      <c r="J77">
        <f>$B77*1/(9+Rules!$B$5)</f>
        <v>1.0503833899373274E-4</v>
      </c>
      <c r="K77">
        <f>$B77*1/(9+Rules!$B$5)</f>
        <v>1.0503833899373274E-4</v>
      </c>
      <c r="L77">
        <f>$B77*1/(9+Rules!$B$5)</f>
        <v>1.0503833899373274E-4</v>
      </c>
      <c r="M77">
        <f>$B77*Rules!$B$5/(9+Rules!$B$5)</f>
        <v>4.2015335597493094E-4</v>
      </c>
    </row>
    <row r="78" spans="1:28" x14ac:dyDescent="0.2">
      <c r="A78">
        <v>15</v>
      </c>
      <c r="B78">
        <f>M57</f>
        <v>2.2758306781975423E-3</v>
      </c>
      <c r="E78">
        <f>$B78*1/(9+Rules!$B$5)</f>
        <v>1.7506389832288788E-4</v>
      </c>
      <c r="F78">
        <f>$B78*1/(9+Rules!$B$5)</f>
        <v>1.7506389832288788E-4</v>
      </c>
      <c r="G78">
        <f>$B78*1/(9+Rules!$B$5)</f>
        <v>1.7506389832288788E-4</v>
      </c>
      <c r="H78">
        <f>$B78*1/(9+Rules!$B$5)</f>
        <v>1.7506389832288788E-4</v>
      </c>
      <c r="I78">
        <f>$B78*1/(9+Rules!$B$5)</f>
        <v>1.7506389832288788E-4</v>
      </c>
      <c r="J78">
        <f>$B78*1/(9+Rules!$B$5)</f>
        <v>1.7506389832288788E-4</v>
      </c>
      <c r="K78">
        <f>$B78*1/(9+Rules!$B$5)</f>
        <v>1.7506389832288788E-4</v>
      </c>
      <c r="L78">
        <f>$B78*1/(9+Rules!$B$5)</f>
        <v>1.7506389832288788E-4</v>
      </c>
      <c r="M78">
        <f>$B78*1/(9+Rules!$B$5)</f>
        <v>1.7506389832288788E-4</v>
      </c>
      <c r="N78">
        <f>$B78*Rules!$B$5/(9+Rules!$B$5)</f>
        <v>7.0025559329155152E-4</v>
      </c>
    </row>
    <row r="79" spans="1:28" x14ac:dyDescent="0.2">
      <c r="A79">
        <v>16</v>
      </c>
      <c r="B79">
        <f>N57</f>
        <v>3.1861629494765592E-3</v>
      </c>
      <c r="F79">
        <f>$B79*1/(9+Rules!$B$5)</f>
        <v>2.4508945765204304E-4</v>
      </c>
      <c r="G79">
        <f>$B79*1/(9+Rules!$B$5)</f>
        <v>2.4508945765204304E-4</v>
      </c>
      <c r="H79">
        <f>$B79*1/(9+Rules!$B$5)</f>
        <v>2.4508945765204304E-4</v>
      </c>
      <c r="I79">
        <f>$B79*1/(9+Rules!$B$5)</f>
        <v>2.4508945765204304E-4</v>
      </c>
      <c r="J79">
        <f>$B79*1/(9+Rules!$B$5)</f>
        <v>2.4508945765204304E-4</v>
      </c>
      <c r="K79">
        <f>$B79*1/(9+Rules!$B$5)</f>
        <v>2.4508945765204304E-4</v>
      </c>
      <c r="L79">
        <f>$B79*1/(9+Rules!$B$5)</f>
        <v>2.4508945765204304E-4</v>
      </c>
      <c r="M79">
        <f>$B79*1/(9+Rules!$B$5)</f>
        <v>2.4508945765204304E-4</v>
      </c>
      <c r="N79">
        <f>$B79*1/(9+Rules!$B$5)</f>
        <v>2.4508945765204304E-4</v>
      </c>
      <c r="O79">
        <f>$B79*Rules!$B$5/(9+Rules!$B$5)</f>
        <v>9.8035783060817215E-4</v>
      </c>
    </row>
    <row r="80" spans="1:28" x14ac:dyDescent="0.2">
      <c r="A80">
        <v>17</v>
      </c>
      <c r="B80">
        <f>O57</f>
        <v>4.0964952207555765E-3</v>
      </c>
      <c r="G80">
        <f>$B80*1/(9+Rules!$B$5)</f>
        <v>3.1511501698119817E-4</v>
      </c>
      <c r="H80">
        <f>$B80*1/(9+Rules!$B$5)</f>
        <v>3.1511501698119817E-4</v>
      </c>
      <c r="I80">
        <f>$B80*1/(9+Rules!$B$5)</f>
        <v>3.1511501698119817E-4</v>
      </c>
      <c r="J80">
        <f>$B80*1/(9+Rules!$B$5)</f>
        <v>3.1511501698119817E-4</v>
      </c>
      <c r="K80">
        <f>$B80*1/(9+Rules!$B$5)</f>
        <v>3.1511501698119817E-4</v>
      </c>
      <c r="L80">
        <f>$B80*1/(9+Rules!$B$5)</f>
        <v>3.1511501698119817E-4</v>
      </c>
      <c r="M80">
        <f>$B80*1/(9+Rules!$B$5)</f>
        <v>3.1511501698119817E-4</v>
      </c>
      <c r="N80">
        <f>$B80*1/(9+Rules!$B$5)</f>
        <v>3.1511501698119817E-4</v>
      </c>
      <c r="O80">
        <f>$B80*1/(9+Rules!$B$5)</f>
        <v>3.1511501698119817E-4</v>
      </c>
      <c r="P80">
        <f>$B80*Rules!$B$5/(9+Rules!$B$5)</f>
        <v>1.2604600679247927E-3</v>
      </c>
    </row>
    <row r="81" spans="1:30" x14ac:dyDescent="0.2">
      <c r="A81">
        <v>18</v>
      </c>
      <c r="B81">
        <f>P57</f>
        <v>5.0068274920345938E-3</v>
      </c>
      <c r="H81">
        <f>$B81*1/(9+Rules!$B$5)</f>
        <v>3.8514057631035335E-4</v>
      </c>
      <c r="I81">
        <f>$B81*1/(9+Rules!$B$5)</f>
        <v>3.8514057631035335E-4</v>
      </c>
      <c r="J81">
        <f>$B81*1/(9+Rules!$B$5)</f>
        <v>3.8514057631035335E-4</v>
      </c>
      <c r="K81">
        <f>$B81*1/(9+Rules!$B$5)</f>
        <v>3.8514057631035335E-4</v>
      </c>
      <c r="L81">
        <f>$B81*1/(9+Rules!$B$5)</f>
        <v>3.8514057631035335E-4</v>
      </c>
      <c r="M81">
        <f>$B81*1/(9+Rules!$B$5)</f>
        <v>3.8514057631035335E-4</v>
      </c>
      <c r="N81">
        <f>$B81*1/(9+Rules!$B$5)</f>
        <v>3.8514057631035335E-4</v>
      </c>
      <c r="O81">
        <f>$B81*1/(9+Rules!$B$5)</f>
        <v>3.8514057631035335E-4</v>
      </c>
      <c r="P81">
        <f>$B81*1/(9+Rules!$B$5)</f>
        <v>3.8514057631035335E-4</v>
      </c>
      <c r="Q81">
        <f>$B81*Rules!$B$5/(9+Rules!$B$5)</f>
        <v>1.5405623052414134E-3</v>
      </c>
    </row>
    <row r="82" spans="1:30" x14ac:dyDescent="0.2">
      <c r="B82" t="s">
        <v>2</v>
      </c>
      <c r="C82">
        <f t="shared" ref="C82:T82" si="13">SUM(C76:C81)</f>
        <v>3.5012779664577572E-5</v>
      </c>
      <c r="D82">
        <f t="shared" si="13"/>
        <v>1.4005111865831031E-4</v>
      </c>
      <c r="E82">
        <f t="shared" si="13"/>
        <v>3.1511501698119817E-4</v>
      </c>
      <c r="F82">
        <f t="shared" si="13"/>
        <v>5.6020447463324126E-4</v>
      </c>
      <c r="G82">
        <f t="shared" si="13"/>
        <v>8.7531949161443942E-4</v>
      </c>
      <c r="H82">
        <f t="shared" si="13"/>
        <v>1.2604600679247927E-3</v>
      </c>
      <c r="I82">
        <f t="shared" si="13"/>
        <v>1.2604600679247927E-3</v>
      </c>
      <c r="J82">
        <f t="shared" si="13"/>
        <v>1.2604600679247927E-3</v>
      </c>
      <c r="K82">
        <f t="shared" si="13"/>
        <v>1.2604600679247927E-3</v>
      </c>
      <c r="L82">
        <f t="shared" si="13"/>
        <v>1.3654984069185253E-3</v>
      </c>
      <c r="M82">
        <f t="shared" si="13"/>
        <v>1.5405623052414132E-3</v>
      </c>
      <c r="N82">
        <f t="shared" si="13"/>
        <v>1.645600644235146E-3</v>
      </c>
      <c r="O82">
        <f t="shared" si="13"/>
        <v>1.6806134238997238E-3</v>
      </c>
      <c r="P82">
        <f t="shared" si="13"/>
        <v>1.645600644235146E-3</v>
      </c>
      <c r="Q82">
        <f t="shared" si="13"/>
        <v>1.5405623052414134E-3</v>
      </c>
      <c r="R82">
        <f t="shared" si="13"/>
        <v>0</v>
      </c>
      <c r="S82">
        <f t="shared" si="13"/>
        <v>0</v>
      </c>
      <c r="T82">
        <f t="shared" si="13"/>
        <v>0</v>
      </c>
    </row>
    <row r="84" spans="1:30" x14ac:dyDescent="0.2">
      <c r="B84" t="s">
        <v>94</v>
      </c>
      <c r="C84">
        <v>6</v>
      </c>
      <c r="D84">
        <v>7</v>
      </c>
      <c r="E84">
        <v>8</v>
      </c>
      <c r="F84">
        <v>9</v>
      </c>
      <c r="G84">
        <v>10</v>
      </c>
      <c r="H84">
        <v>11</v>
      </c>
      <c r="I84">
        <v>12</v>
      </c>
      <c r="J84">
        <v>13</v>
      </c>
      <c r="K84">
        <v>14</v>
      </c>
      <c r="L84">
        <v>15</v>
      </c>
      <c r="M84">
        <v>16</v>
      </c>
      <c r="N84">
        <v>17</v>
      </c>
      <c r="O84">
        <v>18</v>
      </c>
      <c r="P84">
        <v>19</v>
      </c>
      <c r="Q84">
        <v>20</v>
      </c>
      <c r="R84">
        <v>21</v>
      </c>
      <c r="S84" t="s">
        <v>89</v>
      </c>
      <c r="T84" t="s">
        <v>2</v>
      </c>
      <c r="U84" t="s">
        <v>98</v>
      </c>
      <c r="V84" t="s">
        <v>111</v>
      </c>
      <c r="W84" t="s">
        <v>101</v>
      </c>
    </row>
    <row r="85" spans="1:30" x14ac:dyDescent="0.2">
      <c r="B85" t="s">
        <v>99</v>
      </c>
      <c r="C85">
        <f t="shared" ref="C85:R85" ca="1" si="14">SUMIF($C$60:$AD$60,C84,$C$73:$AD$73)+SUMIF($K$75:$U$75,C84+10,$K$82:$U$82)</f>
        <v>3.5012779664577572E-5</v>
      </c>
      <c r="D85">
        <f t="shared" ca="1" si="14"/>
        <v>1.4005111865831031E-4</v>
      </c>
      <c r="E85">
        <f t="shared" ca="1" si="14"/>
        <v>3.5012779664577581E-4</v>
      </c>
      <c r="F85">
        <f t="shared" ca="1" si="14"/>
        <v>7.0025559329155163E-4</v>
      </c>
      <c r="G85">
        <f t="shared" ca="1" si="14"/>
        <v>1.2254472882602153E-3</v>
      </c>
      <c r="H85">
        <f t="shared" ca="1" si="14"/>
        <v>1.9607156612163443E-3</v>
      </c>
      <c r="I85">
        <f t="shared" ca="1" si="14"/>
        <v>4.2015335597493098E-3</v>
      </c>
      <c r="J85">
        <f t="shared" ca="1" si="14"/>
        <v>6.1272364413010759E-3</v>
      </c>
      <c r="K85">
        <f t="shared" ca="1" si="14"/>
        <v>8.7181821364798167E-3</v>
      </c>
      <c r="L85">
        <f t="shared" ca="1" si="14"/>
        <v>1.1869332306291799E-2</v>
      </c>
      <c r="M85">
        <f t="shared" ca="1" si="14"/>
        <v>1.5475648611743288E-2</v>
      </c>
      <c r="N85">
        <f t="shared" ca="1" si="14"/>
        <v>1.9432092713840551E-2</v>
      </c>
      <c r="O85">
        <f t="shared" ca="1" si="14"/>
        <v>1.9537131052834288E-2</v>
      </c>
      <c r="P85">
        <f t="shared" ca="1" si="14"/>
        <v>1.8171632645915758E-2</v>
      </c>
      <c r="Q85">
        <f t="shared" ca="1" si="14"/>
        <v>1.8276670984909496E-2</v>
      </c>
      <c r="R85">
        <f t="shared" ca="1" si="14"/>
        <v>1.8276670984909496E-2</v>
      </c>
      <c r="S85">
        <f ca="1">SUMIF($C$60:$AD$60,"&gt;21",$C$73:$AD$73)</f>
        <v>9.1033227127901711E-2</v>
      </c>
      <c r="T85">
        <f ca="1">SUM(C85:S85)</f>
        <v>0.23553096880361338</v>
      </c>
      <c r="U85">
        <f ca="1">S85+SUM(N85:R85,P86:R86)</f>
        <v>0.18850880571408568</v>
      </c>
      <c r="V85">
        <f>W56</f>
        <v>0.32544378698224863</v>
      </c>
      <c r="W85">
        <f ca="1">V56</f>
        <v>0.43331816112881205</v>
      </c>
    </row>
    <row r="86" spans="1:30" x14ac:dyDescent="0.2">
      <c r="B86" t="s">
        <v>100</v>
      </c>
      <c r="C86">
        <f t="shared" ref="C86:R86" si="15">SUMIF($C$75:$J$75,C84,$C$82:$J$82)</f>
        <v>0</v>
      </c>
      <c r="D86">
        <f t="shared" si="15"/>
        <v>0</v>
      </c>
      <c r="E86">
        <f t="shared" si="15"/>
        <v>0</v>
      </c>
      <c r="F86">
        <f t="shared" si="15"/>
        <v>0</v>
      </c>
      <c r="G86">
        <f t="shared" si="15"/>
        <v>0</v>
      </c>
      <c r="H86">
        <f t="shared" si="15"/>
        <v>0</v>
      </c>
      <c r="I86">
        <f t="shared" si="15"/>
        <v>0</v>
      </c>
      <c r="J86">
        <f t="shared" si="15"/>
        <v>0</v>
      </c>
      <c r="K86">
        <f t="shared" si="15"/>
        <v>3.5012779664577572E-5</v>
      </c>
      <c r="L86">
        <f t="shared" si="15"/>
        <v>1.4005111865831031E-4</v>
      </c>
      <c r="M86">
        <f t="shared" si="15"/>
        <v>3.1511501698119817E-4</v>
      </c>
      <c r="N86">
        <f t="shared" si="15"/>
        <v>5.6020447463324126E-4</v>
      </c>
      <c r="O86">
        <f t="shared" si="15"/>
        <v>8.7531949161443942E-4</v>
      </c>
      <c r="P86">
        <f t="shared" si="15"/>
        <v>1.2604600679247927E-3</v>
      </c>
      <c r="Q86">
        <f t="shared" si="15"/>
        <v>1.2604600679247927E-3</v>
      </c>
      <c r="R86">
        <f t="shared" si="15"/>
        <v>1.2604600679247927E-3</v>
      </c>
      <c r="S86">
        <f>SUMIF($C$60:$AD$60,S84,$C$73:$AD$73)+SUMIF($C$75:$J$75,S84,$C$82:$J$82)+SUMIF($K$75:$U$75,S84+10,$K$82:$U$82)</f>
        <v>0</v>
      </c>
      <c r="T86">
        <f>SUM(C86:S86)</f>
        <v>5.7070830853261454E-3</v>
      </c>
      <c r="W86" t="s">
        <v>95</v>
      </c>
    </row>
    <row r="87" spans="1:30" x14ac:dyDescent="0.2">
      <c r="S87" t="s">
        <v>2</v>
      </c>
      <c r="T87">
        <f ca="1">SUM(T85:T86)</f>
        <v>0.24123805188893951</v>
      </c>
      <c r="W87">
        <f ca="1">T87+W85+V85</f>
        <v>1.0000000000000002</v>
      </c>
    </row>
    <row r="90" spans="1:30" x14ac:dyDescent="0.2">
      <c r="B90" t="s">
        <v>14</v>
      </c>
      <c r="C90">
        <v>7</v>
      </c>
      <c r="D90">
        <v>8</v>
      </c>
      <c r="E90">
        <v>9</v>
      </c>
      <c r="F90">
        <v>10</v>
      </c>
      <c r="G90">
        <v>11</v>
      </c>
      <c r="H90">
        <v>12</v>
      </c>
      <c r="I90">
        <v>13</v>
      </c>
      <c r="J90">
        <v>14</v>
      </c>
      <c r="K90">
        <v>15</v>
      </c>
      <c r="L90">
        <v>16</v>
      </c>
      <c r="M90">
        <v>17</v>
      </c>
      <c r="N90">
        <v>18</v>
      </c>
      <c r="O90">
        <v>19</v>
      </c>
      <c r="P90">
        <v>20</v>
      </c>
      <c r="Q90">
        <v>21</v>
      </c>
      <c r="R90">
        <v>22</v>
      </c>
      <c r="S90">
        <v>23</v>
      </c>
      <c r="T90">
        <v>24</v>
      </c>
      <c r="U90">
        <v>25</v>
      </c>
      <c r="V90">
        <v>26</v>
      </c>
      <c r="W90">
        <v>27</v>
      </c>
      <c r="X90">
        <v>28</v>
      </c>
      <c r="Y90">
        <v>29</v>
      </c>
      <c r="Z90">
        <v>30</v>
      </c>
      <c r="AA90">
        <v>31</v>
      </c>
      <c r="AB90">
        <v>32</v>
      </c>
      <c r="AC90">
        <v>33</v>
      </c>
      <c r="AD90">
        <v>34</v>
      </c>
    </row>
    <row r="91" spans="1:30" x14ac:dyDescent="0.2">
      <c r="A91">
        <v>6</v>
      </c>
      <c r="B91">
        <f ca="1">C85</f>
        <v>3.5012779664577572E-5</v>
      </c>
      <c r="C91">
        <f ca="1">$B91*1/(9+Rules!$B$5)</f>
        <v>2.6932907434290439E-6</v>
      </c>
      <c r="D91">
        <f ca="1">$B91*1/(9+Rules!$B$5)</f>
        <v>2.6932907434290439E-6</v>
      </c>
      <c r="E91">
        <f ca="1">$B91*1/(9+Rules!$B$5)</f>
        <v>2.6932907434290439E-6</v>
      </c>
      <c r="F91">
        <f ca="1">$B91*1/(9+Rules!$B$5)</f>
        <v>2.6932907434290439E-6</v>
      </c>
      <c r="G91">
        <f ca="1">$B91*1/(9+Rules!$B$5)</f>
        <v>2.6932907434290439E-6</v>
      </c>
      <c r="H91">
        <f ca="1">$B91*1/(9+Rules!$B$5)</f>
        <v>2.6932907434290439E-6</v>
      </c>
      <c r="I91">
        <f ca="1">$B91*1/(9+Rules!$B$5)</f>
        <v>2.6932907434290439E-6</v>
      </c>
      <c r="J91">
        <f ca="1">$B91*1/(9+Rules!$B$5)</f>
        <v>2.6932907434290439E-6</v>
      </c>
      <c r="K91">
        <f ca="1">$B91*1/(9+Rules!$B$5)</f>
        <v>2.6932907434290439E-6</v>
      </c>
      <c r="L91">
        <f ca="1">$B91*Rules!$B$5/(9+Rules!$B$5)</f>
        <v>1.0773162973716176E-5</v>
      </c>
    </row>
    <row r="92" spans="1:30" x14ac:dyDescent="0.2">
      <c r="A92">
        <v>7</v>
      </c>
      <c r="B92">
        <f ca="1">D85</f>
        <v>1.4005111865831031E-4</v>
      </c>
      <c r="D92">
        <f ca="1">$B92*1/(9+Rules!$B$5)</f>
        <v>1.0773162973716177E-5</v>
      </c>
      <c r="E92">
        <f ca="1">$B92*1/(9+Rules!$B$5)</f>
        <v>1.0773162973716177E-5</v>
      </c>
      <c r="F92">
        <f ca="1">$B92*1/(9+Rules!$B$5)</f>
        <v>1.0773162973716177E-5</v>
      </c>
      <c r="G92">
        <f ca="1">$B92*1/(9+Rules!$B$5)</f>
        <v>1.0773162973716177E-5</v>
      </c>
      <c r="H92">
        <f ca="1">$B92*1/(9+Rules!$B$5)</f>
        <v>1.0773162973716177E-5</v>
      </c>
      <c r="I92">
        <f ca="1">$B92*1/(9+Rules!$B$5)</f>
        <v>1.0773162973716177E-5</v>
      </c>
      <c r="J92">
        <f ca="1">$B92*1/(9+Rules!$B$5)</f>
        <v>1.0773162973716177E-5</v>
      </c>
      <c r="K92">
        <f ca="1">$B92*1/(9+Rules!$B$5)</f>
        <v>1.0773162973716177E-5</v>
      </c>
      <c r="L92">
        <f ca="1">$B92*1/(9+Rules!$B$5)</f>
        <v>1.0773162973716177E-5</v>
      </c>
      <c r="M92">
        <f ca="1">$B92*Rules!$B$5/(9+Rules!$B$5)</f>
        <v>4.3092651894864709E-5</v>
      </c>
    </row>
    <row r="93" spans="1:30" x14ac:dyDescent="0.2">
      <c r="A93">
        <v>8</v>
      </c>
      <c r="B93">
        <f ca="1">E85</f>
        <v>3.5012779664577581E-4</v>
      </c>
      <c r="E93">
        <f ca="1">$B93*1/(9+Rules!$B$5)</f>
        <v>2.6932907434290448E-5</v>
      </c>
      <c r="F93">
        <f ca="1">$B93*1/(9+Rules!$B$5)</f>
        <v>2.6932907434290448E-5</v>
      </c>
      <c r="G93">
        <f ca="1">$B93*1/(9+Rules!$B$5)</f>
        <v>2.6932907434290448E-5</v>
      </c>
      <c r="H93">
        <f ca="1">$B93*1/(9+Rules!$B$5)</f>
        <v>2.6932907434290448E-5</v>
      </c>
      <c r="I93">
        <f ca="1">$B93*1/(9+Rules!$B$5)</f>
        <v>2.6932907434290448E-5</v>
      </c>
      <c r="J93">
        <f ca="1">$B93*1/(9+Rules!$B$5)</f>
        <v>2.6932907434290448E-5</v>
      </c>
      <c r="K93">
        <f ca="1">$B93*1/(9+Rules!$B$5)</f>
        <v>2.6932907434290448E-5</v>
      </c>
      <c r="L93">
        <f ca="1">$B93*1/(9+Rules!$B$5)</f>
        <v>2.6932907434290448E-5</v>
      </c>
      <c r="M93">
        <f ca="1">$B93*1/(9+Rules!$B$5)</f>
        <v>2.6932907434290448E-5</v>
      </c>
      <c r="N93">
        <f ca="1">$B93*Rules!$B$5/(9+Rules!$B$5)</f>
        <v>1.0773162973716179E-4</v>
      </c>
    </row>
    <row r="94" spans="1:30" x14ac:dyDescent="0.2">
      <c r="A94">
        <v>9</v>
      </c>
      <c r="B94">
        <f ca="1">F$85</f>
        <v>7.0025559329155163E-4</v>
      </c>
      <c r="F94">
        <f ca="1">$B94*1/(9+Rules!$B$5)</f>
        <v>5.3865814868580896E-5</v>
      </c>
      <c r="G94">
        <f ca="1">$B94*1/(9+Rules!$B$5)</f>
        <v>5.3865814868580896E-5</v>
      </c>
      <c r="H94">
        <f ca="1">$B94*1/(9+Rules!$B$5)</f>
        <v>5.3865814868580896E-5</v>
      </c>
      <c r="I94">
        <f ca="1">$B94*1/(9+Rules!$B$5)</f>
        <v>5.3865814868580896E-5</v>
      </c>
      <c r="J94">
        <f ca="1">$B94*1/(9+Rules!$B$5)</f>
        <v>5.3865814868580896E-5</v>
      </c>
      <c r="K94">
        <f ca="1">$B94*1/(9+Rules!$B$5)</f>
        <v>5.3865814868580896E-5</v>
      </c>
      <c r="L94">
        <f ca="1">$B94*1/(9+Rules!$B$5)</f>
        <v>5.3865814868580896E-5</v>
      </c>
      <c r="M94">
        <f ca="1">$B94*1/(9+Rules!$B$5)</f>
        <v>5.3865814868580896E-5</v>
      </c>
      <c r="N94">
        <f ca="1">$B94*1/(9+Rules!$B$5)</f>
        <v>5.3865814868580896E-5</v>
      </c>
      <c r="O94">
        <f ca="1">$B94*Rules!$B$5/(9+Rules!$B$5)</f>
        <v>2.1546325947432359E-4</v>
      </c>
    </row>
    <row r="95" spans="1:30" x14ac:dyDescent="0.2">
      <c r="A95">
        <v>10</v>
      </c>
      <c r="B95">
        <f ca="1">G$85</f>
        <v>1.2254472882602153E-3</v>
      </c>
      <c r="G95">
        <f ca="1">$B95*1/(9+Rules!$B$5)</f>
        <v>9.4265176020016562E-5</v>
      </c>
      <c r="H95">
        <f ca="1">$B95*1/(9+Rules!$B$5)</f>
        <v>9.4265176020016562E-5</v>
      </c>
      <c r="I95">
        <f ca="1">$B95*1/(9+Rules!$B$5)</f>
        <v>9.4265176020016562E-5</v>
      </c>
      <c r="J95">
        <f ca="1">$B95*1/(9+Rules!$B$5)</f>
        <v>9.4265176020016562E-5</v>
      </c>
      <c r="K95">
        <f ca="1">$B95*1/(9+Rules!$B$5)</f>
        <v>9.4265176020016562E-5</v>
      </c>
      <c r="L95">
        <f ca="1">$B95*1/(9+Rules!$B$5)</f>
        <v>9.4265176020016562E-5</v>
      </c>
      <c r="M95">
        <f ca="1">$B95*1/(9+Rules!$B$5)</f>
        <v>9.4265176020016562E-5</v>
      </c>
      <c r="N95">
        <f ca="1">$B95*1/(9+Rules!$B$5)</f>
        <v>9.4265176020016562E-5</v>
      </c>
      <c r="O95">
        <f ca="1">$B95*1/(9+Rules!$B$5)</f>
        <v>9.4265176020016562E-5</v>
      </c>
      <c r="P95">
        <f ca="1">$B95*Rules!$B$5/(9+Rules!$B$5)</f>
        <v>3.7706070408006625E-4</v>
      </c>
    </row>
    <row r="96" spans="1:30" x14ac:dyDescent="0.2">
      <c r="A96">
        <v>11</v>
      </c>
      <c r="B96">
        <f ca="1">H$85</f>
        <v>1.9607156612163443E-3</v>
      </c>
      <c r="H96">
        <f ca="1">$B96*1/(9+Rules!$B$5)</f>
        <v>1.5082428163202649E-4</v>
      </c>
      <c r="I96">
        <f ca="1">$B96*1/(9+Rules!$B$5)</f>
        <v>1.5082428163202649E-4</v>
      </c>
      <c r="J96">
        <f ca="1">$B96*1/(9+Rules!$B$5)</f>
        <v>1.5082428163202649E-4</v>
      </c>
      <c r="K96">
        <f ca="1">$B96*1/(9+Rules!$B$5)</f>
        <v>1.5082428163202649E-4</v>
      </c>
      <c r="L96">
        <f ca="1">$B96*1/(9+Rules!$B$5)</f>
        <v>1.5082428163202649E-4</v>
      </c>
      <c r="M96">
        <f ca="1">$B96*1/(9+Rules!$B$5)</f>
        <v>1.5082428163202649E-4</v>
      </c>
      <c r="N96">
        <f ca="1">$B96*1/(9+Rules!$B$5)</f>
        <v>1.5082428163202649E-4</v>
      </c>
      <c r="O96">
        <f ca="1">$B96*1/(9+Rules!$B$5)</f>
        <v>1.5082428163202649E-4</v>
      </c>
      <c r="P96">
        <f ca="1">$B96*1/(9+Rules!$B$5)</f>
        <v>1.5082428163202649E-4</v>
      </c>
      <c r="Q96">
        <f ca="1">$B96*Rules!$B$5/(9+Rules!$B$5)</f>
        <v>6.0329712652810595E-4</v>
      </c>
    </row>
    <row r="97" spans="1:28" x14ac:dyDescent="0.2">
      <c r="A97">
        <v>12</v>
      </c>
      <c r="B97">
        <f ca="1">I$85</f>
        <v>4.2015335597493098E-3</v>
      </c>
      <c r="I97">
        <f ca="1">$B97*1/(9+Rules!$B$5)</f>
        <v>3.2319488921148538E-4</v>
      </c>
      <c r="J97">
        <f ca="1">$B97*1/(9+Rules!$B$5)</f>
        <v>3.2319488921148538E-4</v>
      </c>
      <c r="K97">
        <f ca="1">$B97*1/(9+Rules!$B$5)</f>
        <v>3.2319488921148538E-4</v>
      </c>
      <c r="L97">
        <f ca="1">$B97*1/(9+Rules!$B$5)</f>
        <v>3.2319488921148538E-4</v>
      </c>
      <c r="M97">
        <f ca="1">$B97*1/(9+Rules!$B$5)</f>
        <v>3.2319488921148538E-4</v>
      </c>
      <c r="N97">
        <f ca="1">$B97*1/(9+Rules!$B$5)</f>
        <v>3.2319488921148538E-4</v>
      </c>
      <c r="O97">
        <f ca="1">$B97*1/(9+Rules!$B$5)</f>
        <v>3.2319488921148538E-4</v>
      </c>
      <c r="P97">
        <f ca="1">$B97*1/(9+Rules!$B$5)</f>
        <v>3.2319488921148538E-4</v>
      </c>
      <c r="Q97">
        <f ca="1">$B97*1/(9+Rules!$B$5)</f>
        <v>3.2319488921148538E-4</v>
      </c>
      <c r="R97">
        <f ca="1">$B97*Rules!$B$5/(9+Rules!$B$5)</f>
        <v>1.2927795568459415E-3</v>
      </c>
    </row>
    <row r="98" spans="1:28" x14ac:dyDescent="0.2">
      <c r="A98">
        <v>13</v>
      </c>
      <c r="B98">
        <f ca="1">J$85</f>
        <v>6.1272364413010759E-3</v>
      </c>
      <c r="J98">
        <f ca="1">$B98*1/(9+Rules!$B$5)</f>
        <v>4.7132588010008274E-4</v>
      </c>
      <c r="K98">
        <f ca="1">$B98*1/(9+Rules!$B$5)</f>
        <v>4.7132588010008274E-4</v>
      </c>
      <c r="L98">
        <f ca="1">$B98*1/(9+Rules!$B$5)</f>
        <v>4.7132588010008274E-4</v>
      </c>
      <c r="M98">
        <f ca="1">$B98*1/(9+Rules!$B$5)</f>
        <v>4.7132588010008274E-4</v>
      </c>
      <c r="N98">
        <f ca="1">$B98*1/(9+Rules!$B$5)</f>
        <v>4.7132588010008274E-4</v>
      </c>
      <c r="O98">
        <f ca="1">$B98*1/(9+Rules!$B$5)</f>
        <v>4.7132588010008274E-4</v>
      </c>
      <c r="P98">
        <f ca="1">$B98*1/(9+Rules!$B$5)</f>
        <v>4.7132588010008274E-4</v>
      </c>
      <c r="Q98">
        <f ca="1">$B98*1/(9+Rules!$B$5)</f>
        <v>4.7132588010008274E-4</v>
      </c>
      <c r="R98">
        <f ca="1">$B98*1/(9+Rules!$B$5)</f>
        <v>4.7132588010008274E-4</v>
      </c>
      <c r="S98">
        <f ca="1">$B98*Rules!$B$5/(9+Rules!$B$5)</f>
        <v>1.885303520400331E-3</v>
      </c>
    </row>
    <row r="99" spans="1:28" x14ac:dyDescent="0.2">
      <c r="A99">
        <v>14</v>
      </c>
      <c r="B99">
        <f ca="1">K$85</f>
        <v>8.7181821364798167E-3</v>
      </c>
      <c r="K99">
        <f ca="1">$B99*1/(9+Rules!$B$5)</f>
        <v>6.7062939511383201E-4</v>
      </c>
      <c r="L99">
        <f ca="1">$B99*1/(9+Rules!$B$5)</f>
        <v>6.7062939511383201E-4</v>
      </c>
      <c r="M99">
        <f ca="1">$B99*1/(9+Rules!$B$5)</f>
        <v>6.7062939511383201E-4</v>
      </c>
      <c r="N99">
        <f ca="1">$B99*1/(9+Rules!$B$5)</f>
        <v>6.7062939511383201E-4</v>
      </c>
      <c r="O99">
        <f ca="1">$B99*1/(9+Rules!$B$5)</f>
        <v>6.7062939511383201E-4</v>
      </c>
      <c r="P99">
        <f ca="1">$B99*1/(9+Rules!$B$5)</f>
        <v>6.7062939511383201E-4</v>
      </c>
      <c r="Q99">
        <f ca="1">$B99*1/(9+Rules!$B$5)</f>
        <v>6.7062939511383201E-4</v>
      </c>
      <c r="R99">
        <f ca="1">$B99*1/(9+Rules!$B$5)</f>
        <v>6.7062939511383201E-4</v>
      </c>
      <c r="S99">
        <f ca="1">$B99*1/(9+Rules!$B$5)</f>
        <v>6.7062939511383201E-4</v>
      </c>
      <c r="T99">
        <f ca="1">$B99*Rules!$B$5/(9+Rules!$B$5)</f>
        <v>2.682517580455328E-3</v>
      </c>
    </row>
    <row r="100" spans="1:28" x14ac:dyDescent="0.2">
      <c r="A100">
        <v>15</v>
      </c>
      <c r="B100">
        <f ca="1">L$85</f>
        <v>1.1869332306291799E-2</v>
      </c>
      <c r="L100">
        <f ca="1">$B100*1/(9+Rules!$B$5)</f>
        <v>9.1302556202244609E-4</v>
      </c>
      <c r="M100">
        <f ca="1">$B100*1/(9+Rules!$B$5)</f>
        <v>9.1302556202244609E-4</v>
      </c>
      <c r="N100">
        <f ca="1">$B100*1/(9+Rules!$B$5)</f>
        <v>9.1302556202244609E-4</v>
      </c>
      <c r="O100">
        <f ca="1">$B100*1/(9+Rules!$B$5)</f>
        <v>9.1302556202244609E-4</v>
      </c>
      <c r="P100">
        <f ca="1">$B100*1/(9+Rules!$B$5)</f>
        <v>9.1302556202244609E-4</v>
      </c>
      <c r="Q100">
        <f ca="1">$B100*1/(9+Rules!$B$5)</f>
        <v>9.1302556202244609E-4</v>
      </c>
      <c r="R100">
        <f ca="1">$B100*1/(9+Rules!$B$5)</f>
        <v>9.1302556202244609E-4</v>
      </c>
      <c r="S100">
        <f ca="1">$B100*1/(9+Rules!$B$5)</f>
        <v>9.1302556202244609E-4</v>
      </c>
      <c r="T100">
        <f ca="1">$B100*1/(9+Rules!$B$5)</f>
        <v>9.1302556202244609E-4</v>
      </c>
      <c r="U100">
        <f ca="1">$B100*Rules!$B$5/(9+Rules!$B$5)</f>
        <v>3.6521022480897843E-3</v>
      </c>
    </row>
    <row r="101" spans="1:28" x14ac:dyDescent="0.2">
      <c r="A101">
        <v>16</v>
      </c>
      <c r="B101">
        <f ca="1">M$85</f>
        <v>1.5475648611743288E-2</v>
      </c>
      <c r="M101">
        <f ca="1">$B101*1/(9+Rules!$B$5)</f>
        <v>1.1904345085956376E-3</v>
      </c>
      <c r="N101">
        <f ca="1">$B101*1/(9+Rules!$B$5)</f>
        <v>1.1904345085956376E-3</v>
      </c>
      <c r="O101">
        <f ca="1">$B101*1/(9+Rules!$B$5)</f>
        <v>1.1904345085956376E-3</v>
      </c>
      <c r="P101">
        <f ca="1">$B101*1/(9+Rules!$B$5)</f>
        <v>1.1904345085956376E-3</v>
      </c>
      <c r="Q101">
        <f ca="1">$B101*1/(9+Rules!$B$5)</f>
        <v>1.1904345085956376E-3</v>
      </c>
      <c r="R101">
        <f ca="1">$B101*1/(9+Rules!$B$5)</f>
        <v>1.1904345085956376E-3</v>
      </c>
      <c r="S101">
        <f ca="1">$B101*1/(9+Rules!$B$5)</f>
        <v>1.1904345085956376E-3</v>
      </c>
      <c r="T101">
        <f ca="1">$B101*1/(9+Rules!$B$5)</f>
        <v>1.1904345085956376E-3</v>
      </c>
      <c r="U101">
        <f ca="1">$B101*1/(9+Rules!$B$5)</f>
        <v>1.1904345085956376E-3</v>
      </c>
      <c r="V101">
        <f ca="1">$B101*Rules!$B$5/(9+Rules!$B$5)</f>
        <v>4.7617380343825504E-3</v>
      </c>
    </row>
    <row r="102" spans="1:28" x14ac:dyDescent="0.2">
      <c r="B102" t="s">
        <v>2</v>
      </c>
      <c r="C102">
        <f t="shared" ref="C102:AB102" ca="1" si="16">SUM(C91:C101)</f>
        <v>2.6932907434290439E-6</v>
      </c>
      <c r="D102">
        <f t="shared" ca="1" si="16"/>
        <v>1.3466453717145221E-5</v>
      </c>
      <c r="E102">
        <f t="shared" ca="1" si="16"/>
        <v>4.0399361151435666E-5</v>
      </c>
      <c r="F102">
        <f t="shared" ca="1" si="16"/>
        <v>9.4265176020016562E-5</v>
      </c>
      <c r="G102">
        <f t="shared" ca="1" si="16"/>
        <v>1.8853035204003312E-4</v>
      </c>
      <c r="H102">
        <f t="shared" ca="1" si="16"/>
        <v>3.3935463367205964E-4</v>
      </c>
      <c r="I102">
        <f t="shared" ca="1" si="16"/>
        <v>6.6254952288354496E-4</v>
      </c>
      <c r="J102">
        <f t="shared" ca="1" si="16"/>
        <v>1.1338754029836277E-3</v>
      </c>
      <c r="K102">
        <f t="shared" ca="1" si="16"/>
        <v>1.8045047980974598E-3</v>
      </c>
      <c r="L102">
        <f t="shared" ca="1" si="16"/>
        <v>2.7256102323501927E-3</v>
      </c>
      <c r="M102">
        <f t="shared" ca="1" si="16"/>
        <v>3.9375910668932625E-3</v>
      </c>
      <c r="N102">
        <f t="shared" ca="1" si="16"/>
        <v>3.9752971373012693E-3</v>
      </c>
      <c r="O102">
        <f t="shared" ca="1" si="16"/>
        <v>4.029162952169851E-3</v>
      </c>
      <c r="P102">
        <f t="shared" ca="1" si="16"/>
        <v>4.0964952207555765E-3</v>
      </c>
      <c r="Q102">
        <f t="shared" ca="1" si="16"/>
        <v>4.1719073615715894E-3</v>
      </c>
      <c r="R102">
        <f t="shared" ca="1" si="16"/>
        <v>4.5381949026779399E-3</v>
      </c>
      <c r="S102">
        <f t="shared" ca="1" si="16"/>
        <v>4.6593929861322471E-3</v>
      </c>
      <c r="T102">
        <f t="shared" ca="1" si="16"/>
        <v>4.7859776510734116E-3</v>
      </c>
      <c r="U102">
        <f t="shared" ca="1" si="16"/>
        <v>4.8425367566854224E-3</v>
      </c>
      <c r="V102">
        <f t="shared" ca="1" si="16"/>
        <v>4.7617380343825504E-3</v>
      </c>
      <c r="W102">
        <f t="shared" si="16"/>
        <v>0</v>
      </c>
      <c r="X102">
        <f t="shared" si="16"/>
        <v>0</v>
      </c>
      <c r="Y102">
        <f t="shared" si="16"/>
        <v>0</v>
      </c>
      <c r="Z102">
        <f t="shared" si="16"/>
        <v>0</v>
      </c>
      <c r="AA102">
        <f t="shared" si="16"/>
        <v>0</v>
      </c>
      <c r="AB102">
        <f t="shared" si="16"/>
        <v>0</v>
      </c>
    </row>
    <row r="104" spans="1:28" x14ac:dyDescent="0.2">
      <c r="A104" t="s">
        <v>96</v>
      </c>
      <c r="C104">
        <v>15</v>
      </c>
      <c r="D104">
        <v>16</v>
      </c>
      <c r="E104">
        <v>17</v>
      </c>
      <c r="F104">
        <v>18</v>
      </c>
      <c r="G104">
        <v>19</v>
      </c>
      <c r="H104">
        <v>20</v>
      </c>
      <c r="I104">
        <v>21</v>
      </c>
      <c r="J104">
        <v>22</v>
      </c>
      <c r="K104">
        <v>23</v>
      </c>
      <c r="L104">
        <v>24</v>
      </c>
      <c r="M104">
        <v>25</v>
      </c>
      <c r="N104">
        <v>26</v>
      </c>
      <c r="O104">
        <v>27</v>
      </c>
      <c r="P104">
        <v>28</v>
      </c>
      <c r="Q104">
        <v>29</v>
      </c>
      <c r="R104">
        <v>30</v>
      </c>
      <c r="S104">
        <v>31</v>
      </c>
      <c r="T104">
        <v>32</v>
      </c>
      <c r="U104">
        <v>33</v>
      </c>
    </row>
    <row r="105" spans="1:28" x14ac:dyDescent="0.2">
      <c r="A105">
        <v>14</v>
      </c>
      <c r="B105">
        <f>K$86</f>
        <v>3.5012779664577572E-5</v>
      </c>
      <c r="C105">
        <f>$B105*1/(9+Rules!$B$5)</f>
        <v>2.6932907434290439E-6</v>
      </c>
      <c r="D105">
        <f>$B105*1/(9+Rules!$B$5)</f>
        <v>2.6932907434290439E-6</v>
      </c>
      <c r="E105">
        <f>$B105*1/(9+Rules!$B$5)</f>
        <v>2.6932907434290439E-6</v>
      </c>
      <c r="F105">
        <f>$B105*1/(9+Rules!$B$5)</f>
        <v>2.6932907434290439E-6</v>
      </c>
      <c r="G105">
        <f>$B105*1/(9+Rules!$B$5)</f>
        <v>2.6932907434290439E-6</v>
      </c>
      <c r="H105">
        <f>$B105*1/(9+Rules!$B$5)</f>
        <v>2.6932907434290439E-6</v>
      </c>
      <c r="I105">
        <f>$B105*1/(9+Rules!$B$5)</f>
        <v>2.6932907434290439E-6</v>
      </c>
      <c r="J105">
        <f>$B105*1/(9+Rules!$B$5)</f>
        <v>2.6932907434290439E-6</v>
      </c>
      <c r="K105">
        <f>$B105*1/(9+Rules!$B$5)</f>
        <v>2.6932907434290439E-6</v>
      </c>
      <c r="L105">
        <f>$B105*Rules!$B$5/(9+Rules!$B$5)</f>
        <v>1.0773162973716176E-5</v>
      </c>
    </row>
    <row r="106" spans="1:28" x14ac:dyDescent="0.2">
      <c r="A106">
        <v>15</v>
      </c>
      <c r="B106">
        <f>L$86</f>
        <v>1.4005111865831031E-4</v>
      </c>
      <c r="D106">
        <f>$B106*1/(9+Rules!$B$5)</f>
        <v>1.0773162973716177E-5</v>
      </c>
      <c r="E106">
        <f>$B106*1/(9+Rules!$B$5)</f>
        <v>1.0773162973716177E-5</v>
      </c>
      <c r="F106">
        <f>$B106*1/(9+Rules!$B$5)</f>
        <v>1.0773162973716177E-5</v>
      </c>
      <c r="G106">
        <f>$B106*1/(9+Rules!$B$5)</f>
        <v>1.0773162973716177E-5</v>
      </c>
      <c r="H106">
        <f>$B106*1/(9+Rules!$B$5)</f>
        <v>1.0773162973716177E-5</v>
      </c>
      <c r="I106">
        <f>$B106*1/(9+Rules!$B$5)</f>
        <v>1.0773162973716177E-5</v>
      </c>
      <c r="J106">
        <f>$B106*1/(9+Rules!$B$5)</f>
        <v>1.0773162973716177E-5</v>
      </c>
      <c r="K106">
        <f>$B106*1/(9+Rules!$B$5)</f>
        <v>1.0773162973716177E-5</v>
      </c>
      <c r="L106">
        <f>$B106*1/(9+Rules!$B$5)</f>
        <v>1.0773162973716177E-5</v>
      </c>
      <c r="M106">
        <f>$B106*Rules!$B$5/(9+Rules!$B$5)</f>
        <v>4.3092651894864709E-5</v>
      </c>
    </row>
    <row r="107" spans="1:28" x14ac:dyDescent="0.2">
      <c r="A107">
        <v>16</v>
      </c>
      <c r="B107">
        <f>M$86</f>
        <v>3.1511501698119817E-4</v>
      </c>
      <c r="E107">
        <f>$B107*1/(9+Rules!$B$5)</f>
        <v>2.4239616690861398E-5</v>
      </c>
      <c r="F107">
        <f>$B107*1/(9+Rules!$B$5)</f>
        <v>2.4239616690861398E-5</v>
      </c>
      <c r="G107">
        <f>$B107*1/(9+Rules!$B$5)</f>
        <v>2.4239616690861398E-5</v>
      </c>
      <c r="H107">
        <f>$B107*1/(9+Rules!$B$5)</f>
        <v>2.4239616690861398E-5</v>
      </c>
      <c r="I107">
        <f>$B107*1/(9+Rules!$B$5)</f>
        <v>2.4239616690861398E-5</v>
      </c>
      <c r="J107">
        <f>$B107*1/(9+Rules!$B$5)</f>
        <v>2.4239616690861398E-5</v>
      </c>
      <c r="K107">
        <f>$B107*1/(9+Rules!$B$5)</f>
        <v>2.4239616690861398E-5</v>
      </c>
      <c r="L107">
        <f>$B107*1/(9+Rules!$B$5)</f>
        <v>2.4239616690861398E-5</v>
      </c>
      <c r="M107">
        <f>$B107*1/(9+Rules!$B$5)</f>
        <v>2.4239616690861398E-5</v>
      </c>
      <c r="N107">
        <f>$B107*Rules!$B$5/(9+Rules!$B$5)</f>
        <v>9.6958466763445592E-5</v>
      </c>
    </row>
    <row r="108" spans="1:28" x14ac:dyDescent="0.2">
      <c r="A108">
        <v>17</v>
      </c>
      <c r="B108">
        <f>N$86</f>
        <v>5.6020447463324126E-4</v>
      </c>
      <c r="F108">
        <f>$B108*1/(9+Rules!$B$5)</f>
        <v>4.3092651894864709E-5</v>
      </c>
      <c r="G108">
        <f>$B108*1/(9+Rules!$B$5)</f>
        <v>4.3092651894864709E-5</v>
      </c>
      <c r="H108">
        <f>$B108*1/(9+Rules!$B$5)</f>
        <v>4.3092651894864709E-5</v>
      </c>
      <c r="I108">
        <f>$B108*1/(9+Rules!$B$5)</f>
        <v>4.3092651894864709E-5</v>
      </c>
      <c r="J108">
        <f>$B108*1/(9+Rules!$B$5)</f>
        <v>4.3092651894864709E-5</v>
      </c>
      <c r="K108">
        <f>$B108*1/(9+Rules!$B$5)</f>
        <v>4.3092651894864709E-5</v>
      </c>
      <c r="L108">
        <f>$B108*1/(9+Rules!$B$5)</f>
        <v>4.3092651894864709E-5</v>
      </c>
      <c r="M108">
        <f>$B108*1/(9+Rules!$B$5)</f>
        <v>4.3092651894864709E-5</v>
      </c>
      <c r="N108">
        <f>$B108*1/(9+Rules!$B$5)</f>
        <v>4.3092651894864709E-5</v>
      </c>
      <c r="O108">
        <f>$B108*Rules!$B$5/(9+Rules!$B$5)</f>
        <v>1.7237060757945884E-4</v>
      </c>
    </row>
    <row r="109" spans="1:28" x14ac:dyDescent="0.2">
      <c r="A109">
        <v>18</v>
      </c>
      <c r="B109">
        <f>O$86</f>
        <v>8.7531949161443942E-4</v>
      </c>
      <c r="G109">
        <f>$B109*1/(9+Rules!$B$5)</f>
        <v>6.7332268585726114E-5</v>
      </c>
      <c r="H109">
        <f>$B109*1/(9+Rules!$B$5)</f>
        <v>6.7332268585726114E-5</v>
      </c>
      <c r="I109">
        <f>$B109*1/(9+Rules!$B$5)</f>
        <v>6.7332268585726114E-5</v>
      </c>
      <c r="J109">
        <f>$B109*1/(9+Rules!$B$5)</f>
        <v>6.7332268585726114E-5</v>
      </c>
      <c r="K109">
        <f>$B109*1/(9+Rules!$B$5)</f>
        <v>6.7332268585726114E-5</v>
      </c>
      <c r="L109">
        <f>$B109*1/(9+Rules!$B$5)</f>
        <v>6.7332268585726114E-5</v>
      </c>
      <c r="M109">
        <f>$B109*1/(9+Rules!$B$5)</f>
        <v>6.7332268585726114E-5</v>
      </c>
      <c r="N109">
        <f>$B109*1/(9+Rules!$B$5)</f>
        <v>6.7332268585726114E-5</v>
      </c>
      <c r="O109">
        <f>$B109*1/(9+Rules!$B$5)</f>
        <v>6.7332268585726114E-5</v>
      </c>
      <c r="P109">
        <f>$B109*Rules!$B$5/(9+Rules!$B$5)</f>
        <v>2.6932907434290445E-4</v>
      </c>
    </row>
    <row r="110" spans="1:28" x14ac:dyDescent="0.2">
      <c r="B110" t="s">
        <v>2</v>
      </c>
      <c r="C110">
        <f t="shared" ref="C110:T110" si="17">SUM(C105:C109)</f>
        <v>2.6932907434290439E-6</v>
      </c>
      <c r="D110">
        <f t="shared" si="17"/>
        <v>1.3466453717145221E-5</v>
      </c>
      <c r="E110">
        <f t="shared" si="17"/>
        <v>3.7706070408006622E-5</v>
      </c>
      <c r="F110">
        <f t="shared" si="17"/>
        <v>8.0798722302871331E-5</v>
      </c>
      <c r="G110">
        <f t="shared" si="17"/>
        <v>1.4813099088859744E-4</v>
      </c>
      <c r="H110">
        <f t="shared" si="17"/>
        <v>1.4813099088859744E-4</v>
      </c>
      <c r="I110">
        <f t="shared" si="17"/>
        <v>1.4813099088859744E-4</v>
      </c>
      <c r="J110">
        <f t="shared" si="17"/>
        <v>1.4813099088859744E-4</v>
      </c>
      <c r="K110">
        <f t="shared" si="17"/>
        <v>1.4813099088859744E-4</v>
      </c>
      <c r="L110">
        <f t="shared" si="17"/>
        <v>1.5621086311888458E-4</v>
      </c>
      <c r="M110">
        <f t="shared" si="17"/>
        <v>1.7775718906631692E-4</v>
      </c>
      <c r="N110">
        <f t="shared" si="17"/>
        <v>2.0738338724403643E-4</v>
      </c>
      <c r="O110">
        <f t="shared" si="17"/>
        <v>2.3970287616518495E-4</v>
      </c>
      <c r="P110">
        <f t="shared" si="17"/>
        <v>2.6932907434290445E-4</v>
      </c>
      <c r="Q110">
        <f t="shared" si="17"/>
        <v>0</v>
      </c>
      <c r="R110">
        <f t="shared" si="17"/>
        <v>0</v>
      </c>
      <c r="S110">
        <f t="shared" si="17"/>
        <v>0</v>
      </c>
      <c r="T110">
        <f t="shared" si="17"/>
        <v>0</v>
      </c>
    </row>
    <row r="112" spans="1:28" x14ac:dyDescent="0.2">
      <c r="B112" t="s">
        <v>103</v>
      </c>
      <c r="C112">
        <v>7</v>
      </c>
      <c r="D112">
        <v>8</v>
      </c>
      <c r="E112">
        <v>9</v>
      </c>
      <c r="F112">
        <v>10</v>
      </c>
      <c r="G112">
        <v>11</v>
      </c>
      <c r="H112">
        <v>12</v>
      </c>
      <c r="I112">
        <v>13</v>
      </c>
      <c r="J112">
        <v>14</v>
      </c>
      <c r="K112">
        <v>15</v>
      </c>
      <c r="L112">
        <v>16</v>
      </c>
      <c r="M112">
        <v>17</v>
      </c>
      <c r="N112">
        <v>18</v>
      </c>
      <c r="O112">
        <v>19</v>
      </c>
      <c r="P112">
        <v>20</v>
      </c>
      <c r="Q112">
        <v>21</v>
      </c>
      <c r="R112" t="s">
        <v>89</v>
      </c>
      <c r="S112" t="s">
        <v>2</v>
      </c>
      <c r="T112" t="s">
        <v>98</v>
      </c>
      <c r="U112" t="s">
        <v>111</v>
      </c>
      <c r="V112" t="s">
        <v>101</v>
      </c>
      <c r="W112" t="s">
        <v>102</v>
      </c>
    </row>
    <row r="113" spans="2:24" x14ac:dyDescent="0.2">
      <c r="B113" t="s">
        <v>99</v>
      </c>
      <c r="C113">
        <f t="shared" ref="C113:Q113" ca="1" si="18">SUMIF($C$90:$AD$90,C112,$C$102:$AD$102)+SUMIF($J$104:$U$104,C112+10,$J$110:$U$110)</f>
        <v>2.6932907434290439E-6</v>
      </c>
      <c r="D113">
        <f t="shared" ca="1" si="18"/>
        <v>1.3466453717145221E-5</v>
      </c>
      <c r="E113">
        <f t="shared" ca="1" si="18"/>
        <v>4.0399361151435666E-5</v>
      </c>
      <c r="F113">
        <f t="shared" ca="1" si="18"/>
        <v>9.4265176020016562E-5</v>
      </c>
      <c r="G113">
        <f t="shared" ca="1" si="18"/>
        <v>1.8853035204003312E-4</v>
      </c>
      <c r="H113">
        <f t="shared" ca="1" si="18"/>
        <v>4.8748562456065706E-4</v>
      </c>
      <c r="I113">
        <f t="shared" ca="1" si="18"/>
        <v>8.1068051377214238E-4</v>
      </c>
      <c r="J113">
        <f t="shared" ca="1" si="18"/>
        <v>1.2900862661025122E-3</v>
      </c>
      <c r="K113">
        <f t="shared" ca="1" si="18"/>
        <v>1.9822619871637769E-3</v>
      </c>
      <c r="L113">
        <f t="shared" ca="1" si="18"/>
        <v>2.9329936195942293E-3</v>
      </c>
      <c r="M113">
        <f t="shared" ca="1" si="18"/>
        <v>4.1772939430584476E-3</v>
      </c>
      <c r="N113">
        <f t="shared" ca="1" si="18"/>
        <v>4.244626211644174E-3</v>
      </c>
      <c r="O113">
        <f t="shared" ca="1" si="18"/>
        <v>4.029162952169851E-3</v>
      </c>
      <c r="P113">
        <f t="shared" ca="1" si="18"/>
        <v>4.0964952207555765E-3</v>
      </c>
      <c r="Q113">
        <f t="shared" ca="1" si="18"/>
        <v>4.1719073615715894E-3</v>
      </c>
      <c r="R113">
        <f ca="1">SUMIF($C$90:$AD$90,"&gt;21",$C$102:$AD$102)</f>
        <v>2.3587840330951574E-2</v>
      </c>
      <c r="S113">
        <f ca="1">SUM(C113:R113)</f>
        <v>5.2150188665016597E-2</v>
      </c>
      <c r="T113">
        <f ca="1">R113</f>
        <v>2.3587840330951574E-2</v>
      </c>
      <c r="U113">
        <f>V85</f>
        <v>0.32544378698224863</v>
      </c>
      <c r="V113">
        <f ca="1">W85</f>
        <v>0.43331816112881205</v>
      </c>
      <c r="W113">
        <f ca="1">U85</f>
        <v>0.18850880571408568</v>
      </c>
    </row>
    <row r="114" spans="2:24" x14ac:dyDescent="0.2">
      <c r="B114" t="s">
        <v>100</v>
      </c>
      <c r="C114">
        <f t="shared" ref="C114:Q114" si="19">SUMIF($C$104:$I$104,C112,$C$110:$I$110)</f>
        <v>0</v>
      </c>
      <c r="D114">
        <f t="shared" si="19"/>
        <v>0</v>
      </c>
      <c r="E114">
        <f t="shared" si="19"/>
        <v>0</v>
      </c>
      <c r="F114">
        <f t="shared" si="19"/>
        <v>0</v>
      </c>
      <c r="G114">
        <f t="shared" si="19"/>
        <v>0</v>
      </c>
      <c r="H114">
        <f t="shared" si="19"/>
        <v>0</v>
      </c>
      <c r="I114">
        <f t="shared" si="19"/>
        <v>0</v>
      </c>
      <c r="J114">
        <f t="shared" si="19"/>
        <v>0</v>
      </c>
      <c r="K114">
        <f t="shared" si="19"/>
        <v>2.6932907434290439E-6</v>
      </c>
      <c r="L114">
        <f t="shared" si="19"/>
        <v>1.3466453717145221E-5</v>
      </c>
      <c r="M114">
        <f t="shared" si="19"/>
        <v>3.7706070408006622E-5</v>
      </c>
      <c r="N114">
        <f t="shared" si="19"/>
        <v>8.0798722302871331E-5</v>
      </c>
      <c r="O114">
        <f t="shared" si="19"/>
        <v>1.4813099088859744E-4</v>
      </c>
      <c r="P114">
        <f t="shared" si="19"/>
        <v>1.4813099088859744E-4</v>
      </c>
      <c r="Q114">
        <f t="shared" si="19"/>
        <v>1.4813099088859744E-4</v>
      </c>
      <c r="R114">
        <f>SUMIF($C$60:$AD$60,R112,$C$73:$AD$73)+SUMIF($C$75:$J$75,R112,$C$82:$J$82)+SUMIF($K$75:$U$75,R112+10,$K$82:$U$82)</f>
        <v>0</v>
      </c>
      <c r="S114">
        <f>SUM(C114:R114)</f>
        <v>5.7905750983724448E-4</v>
      </c>
      <c r="X114" t="s">
        <v>95</v>
      </c>
    </row>
    <row r="115" spans="2:24" x14ac:dyDescent="0.2">
      <c r="R115" t="s">
        <v>2</v>
      </c>
      <c r="S115">
        <f ca="1">SUM(S113:S114)</f>
        <v>5.272924617485384E-2</v>
      </c>
      <c r="X115">
        <f ca="1">S115+W113+V113+U113</f>
        <v>1.0000000000000002</v>
      </c>
    </row>
    <row r="116" spans="2:24" ht="17" thickBot="1" x14ac:dyDescent="0.25"/>
    <row r="117" spans="2:24" ht="17" thickBot="1" x14ac:dyDescent="0.25">
      <c r="D117" s="104"/>
      <c r="E117" s="21" t="s">
        <v>109</v>
      </c>
      <c r="F117" s="19" t="s">
        <v>108</v>
      </c>
      <c r="G117" s="19" t="s">
        <v>110</v>
      </c>
      <c r="H117" s="20" t="s">
        <v>95</v>
      </c>
    </row>
    <row r="118" spans="2:24" x14ac:dyDescent="0.2">
      <c r="D118" s="96" t="s">
        <v>104</v>
      </c>
      <c r="E118" s="22">
        <f>U113</f>
        <v>0.32544378698224863</v>
      </c>
      <c r="F118" s="2">
        <v>0</v>
      </c>
      <c r="G118" s="2">
        <f>1-E118-F118</f>
        <v>0.67455621301775137</v>
      </c>
      <c r="H118" s="8">
        <f>SUM(E118:G118)</f>
        <v>1</v>
      </c>
    </row>
    <row r="119" spans="2:24" x14ac:dyDescent="0.2">
      <c r="D119" s="97" t="s">
        <v>105</v>
      </c>
      <c r="E119" s="144">
        <f ca="1">V56-T56</f>
        <v>0.26035502958579881</v>
      </c>
      <c r="F119" s="1">
        <f ca="1">T56</f>
        <v>0.17296313154301321</v>
      </c>
      <c r="G119" s="1">
        <f ca="1">G118-F119-E119</f>
        <v>0.24123805188893932</v>
      </c>
      <c r="H119" s="9">
        <f ca="1">SUM(E119:G119)</f>
        <v>0.67455621301775137</v>
      </c>
    </row>
    <row r="120" spans="2:24" x14ac:dyDescent="0.2">
      <c r="D120" s="97" t="s">
        <v>106</v>
      </c>
      <c r="E120" s="144">
        <f ca="1">U85-S85</f>
        <v>9.747557858618397E-2</v>
      </c>
      <c r="F120" s="1">
        <f ca="1">S85</f>
        <v>9.1033227127901711E-2</v>
      </c>
      <c r="G120" s="1">
        <f ca="1">G119-F120-E120</f>
        <v>5.2729246174853639E-2</v>
      </c>
      <c r="H120" s="9">
        <f ca="1">SUM(E120:G120)</f>
        <v>0.24123805188893932</v>
      </c>
    </row>
    <row r="121" spans="2:24" x14ac:dyDescent="0.2">
      <c r="D121" s="97" t="s">
        <v>107</v>
      </c>
      <c r="E121" s="144"/>
      <c r="F121" s="1">
        <f ca="1">R113</f>
        <v>2.3587840330951574E-2</v>
      </c>
      <c r="G121" s="1">
        <f ca="1">G120-F121</f>
        <v>2.9141405843902065E-2</v>
      </c>
      <c r="H121" s="9">
        <f ca="1">SUM(E121:G121)</f>
        <v>5.2729246174853639E-2</v>
      </c>
    </row>
    <row r="122" spans="2:24" ht="17" thickBot="1" x14ac:dyDescent="0.25">
      <c r="D122" s="145" t="s">
        <v>2</v>
      </c>
      <c r="E122" s="146">
        <f ca="1">SUM(E118:E121)</f>
        <v>0.68327439515423138</v>
      </c>
      <c r="F122" s="111">
        <f ca="1">SUM(F118:F121)</f>
        <v>0.28758419900186649</v>
      </c>
      <c r="G122" s="111">
        <f ca="1">G121</f>
        <v>2.9141405843902065E-2</v>
      </c>
      <c r="H122" s="10">
        <f ca="1">SUM(E122:G122)</f>
        <v>0.99999999999999989</v>
      </c>
    </row>
  </sheetData>
  <sheetProtection sheet="1" objects="1" scenarios="1"/>
  <conditionalFormatting sqref="C2">
    <cfRule type="containsText" dxfId="783" priority="7" operator="containsText" text="R">
      <formula>NOT(ISERROR(SEARCH("R",C2)))</formula>
    </cfRule>
    <cfRule type="containsText" dxfId="782" priority="8" operator="containsText" text="D">
      <formula>NOT(ISERROR(SEARCH("D",C2)))</formula>
    </cfRule>
    <cfRule type="containsText" dxfId="781" priority="9" operator="containsText" text="S">
      <formula>NOT(ISERROR(SEARCH("S",C2)))</formula>
    </cfRule>
    <cfRule type="containsText" dxfId="780" priority="10" operator="containsText" text="H">
      <formula>NOT(ISERROR(SEARCH("H",C2)))</formula>
    </cfRule>
  </conditionalFormatting>
  <conditionalFormatting sqref="C2">
    <cfRule type="containsText" dxfId="779" priority="6" operator="containsText" text="P">
      <formula>NOT(ISERROR(SEARCH("P",C2)))</formula>
    </cfRule>
  </conditionalFormatting>
  <conditionalFormatting sqref="C15">
    <cfRule type="containsText" dxfId="778" priority="2" operator="containsText" text="R">
      <formula>NOT(ISERROR(SEARCH("R",C15)))</formula>
    </cfRule>
    <cfRule type="containsText" dxfId="777" priority="3" operator="containsText" text="D">
      <formula>NOT(ISERROR(SEARCH("D",C15)))</formula>
    </cfRule>
    <cfRule type="containsText" dxfId="776" priority="4" operator="containsText" text="S">
      <formula>NOT(ISERROR(SEARCH("S",C15)))</formula>
    </cfRule>
    <cfRule type="containsText" dxfId="775" priority="5" operator="containsText" text="H">
      <formula>NOT(ISERROR(SEARCH("H",C15)))</formula>
    </cfRule>
  </conditionalFormatting>
  <conditionalFormatting sqref="C15">
    <cfRule type="containsText" dxfId="774" priority="1" operator="containsText" text="P">
      <formula>NOT(ISERROR(SEARCH("P",C15)))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D2"/>
  <sheetViews>
    <sheetView workbookViewId="0">
      <selection activeCell="D2" sqref="D2"/>
    </sheetView>
  </sheetViews>
  <sheetFormatPr baseColWidth="10" defaultColWidth="11" defaultRowHeight="16" x14ac:dyDescent="0.2"/>
  <cols>
    <col min="1" max="1" width="9.1640625" customWidth="1"/>
  </cols>
  <sheetData>
    <row r="1" spans="1:4" x14ac:dyDescent="0.2">
      <c r="B1" t="s">
        <v>119</v>
      </c>
      <c r="C1" t="s">
        <v>116</v>
      </c>
      <c r="D1" t="s">
        <v>117</v>
      </c>
    </row>
    <row r="2" spans="1:4" x14ac:dyDescent="0.2">
      <c r="A2" t="s">
        <v>118</v>
      </c>
      <c r="B2">
        <f>1/13</f>
        <v>7.6923076923076927E-2</v>
      </c>
      <c r="C2">
        <f>2*B2^2</f>
        <v>1.183431952662722E-2</v>
      </c>
      <c r="D2">
        <f>3*B2^3</f>
        <v>1.3654984069185255E-3</v>
      </c>
    </row>
  </sheetData>
  <sheetProtection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pageSetUpPr fitToPage="1"/>
  </sheetPr>
  <dimension ref="A1:Q40"/>
  <sheetViews>
    <sheetView workbookViewId="0">
      <selection activeCell="N4" sqref="N4"/>
    </sheetView>
  </sheetViews>
  <sheetFormatPr baseColWidth="10" defaultColWidth="8.83203125" defaultRowHeight="15" x14ac:dyDescent="0.2"/>
  <cols>
    <col min="1" max="2" width="8.83203125" style="33"/>
    <col min="3" max="3" width="8" style="33" customWidth="1"/>
    <col min="4" max="16" width="8.83203125" style="33"/>
    <col min="17" max="17" width="10.5" style="33" bestFit="1" customWidth="1"/>
    <col min="18" max="16384" width="8.83203125" style="33"/>
  </cols>
  <sheetData>
    <row r="1" spans="1:17" ht="25" thickBot="1" x14ac:dyDescent="0.35">
      <c r="A1" s="322" t="s">
        <v>133</v>
      </c>
      <c r="B1" s="323"/>
      <c r="C1" s="323"/>
      <c r="D1" s="323"/>
      <c r="E1" s="323"/>
      <c r="F1" s="323"/>
      <c r="G1" s="323"/>
      <c r="H1" s="323"/>
      <c r="I1" s="323"/>
      <c r="J1" s="323"/>
      <c r="K1" s="324"/>
    </row>
    <row r="2" spans="1:17" ht="16" thickBot="1" x14ac:dyDescent="0.25">
      <c r="A2" s="163" t="s">
        <v>9</v>
      </c>
      <c r="B2" s="163" t="s">
        <v>1</v>
      </c>
      <c r="C2" s="163">
        <v>2</v>
      </c>
      <c r="D2" s="163">
        <v>3</v>
      </c>
      <c r="E2" s="163">
        <v>4</v>
      </c>
      <c r="F2" s="163">
        <v>5</v>
      </c>
      <c r="G2" s="163">
        <v>6</v>
      </c>
      <c r="H2" s="163">
        <v>7</v>
      </c>
      <c r="I2" s="163">
        <v>8</v>
      </c>
      <c r="J2" s="163">
        <v>9</v>
      </c>
      <c r="K2" s="163">
        <v>10</v>
      </c>
      <c r="M2" s="221"/>
      <c r="N2" s="230" t="s">
        <v>193</v>
      </c>
      <c r="O2" s="204" t="s">
        <v>38</v>
      </c>
      <c r="P2" s="204" t="s">
        <v>192</v>
      </c>
      <c r="Q2" s="217" t="s">
        <v>37</v>
      </c>
    </row>
    <row r="3" spans="1:17" x14ac:dyDescent="0.2">
      <c r="A3" s="32">
        <v>5</v>
      </c>
      <c r="B3" s="34">
        <f>HSDR!B5</f>
        <v>-0.27857459755181968</v>
      </c>
      <c r="C3" s="34">
        <f>HSDR!C5</f>
        <v>-0.12821556706374745</v>
      </c>
      <c r="D3" s="34">
        <f>HSDR!D5</f>
        <v>-9.5310227261489883E-2</v>
      </c>
      <c r="E3" s="34">
        <f>HSDR!E5</f>
        <v>-6.1479464199694238E-2</v>
      </c>
      <c r="F3" s="34">
        <f>HSDR!F5</f>
        <v>-2.397897039185962E-2</v>
      </c>
      <c r="G3" s="34">
        <f>HSDR!G5</f>
        <v>-1.1863378384401623E-3</v>
      </c>
      <c r="H3" s="34">
        <f>HSDR!H5</f>
        <v>-0.11944744188414852</v>
      </c>
      <c r="I3" s="34">
        <f>HSDR!I5</f>
        <v>-0.18809330390318524</v>
      </c>
      <c r="J3" s="34">
        <f>HSDR!J5</f>
        <v>-0.26661505335795899</v>
      </c>
      <c r="K3" s="34">
        <f>HSDR!K5</f>
        <v>-0.31341164336497107</v>
      </c>
      <c r="M3" s="229" t="s">
        <v>47</v>
      </c>
      <c r="N3" s="219">
        <f>SUM(SUMIF($B$3:$K$17,"&gt;0",B3:K17),SUMIF($B$19:$K$27,"&gt;0",B19:K27),SUMIF($B$29:$K$38,"&gt;0",B29:K38))</f>
        <v>63.641121882087162</v>
      </c>
      <c r="O3" s="201">
        <f>COUNTIF($B$3:$K$17,"&gt;0")+COUNTIF($B$19:$K$27,"&gt;0")+COUNTIF($B$29:$K$38,"&gt;0")</f>
        <v>175</v>
      </c>
      <c r="P3" s="201">
        <f>AVERAGE(AVERAGEIF($B$3:$K$17,"&gt;0"),AVERAGEIF($B$19:$K$27,"&gt;0"),AVERAGEIF($B$29:$K$38,"&gt;0"))</f>
        <v>0.35654362402971257</v>
      </c>
      <c r="Q3" s="202">
        <f>N3/N5</f>
        <v>0.6383935059245297</v>
      </c>
    </row>
    <row r="4" spans="1:17" ht="16" thickBot="1" x14ac:dyDescent="0.25">
      <c r="A4" s="32">
        <v>6</v>
      </c>
      <c r="B4" s="34">
        <f>HSDR!B6</f>
        <v>-0.30414663097569933</v>
      </c>
      <c r="C4" s="34">
        <f>HSDR!C6</f>
        <v>-0.14075911746001987</v>
      </c>
      <c r="D4" s="34">
        <f>HSDR!D6</f>
        <v>-0.10729107800860836</v>
      </c>
      <c r="E4" s="34">
        <f>HSDR!E6</f>
        <v>-7.2917141926387305E-2</v>
      </c>
      <c r="F4" s="34">
        <f>HSDR!F6</f>
        <v>-3.4915973330102178E-2</v>
      </c>
      <c r="G4" s="34">
        <f>HSDR!G6</f>
        <v>-1.3005835529874294E-2</v>
      </c>
      <c r="H4" s="34">
        <f>HSDR!H6</f>
        <v>-0.15193270723669944</v>
      </c>
      <c r="I4" s="34">
        <f>HSDR!I6</f>
        <v>-0.21724188132078476</v>
      </c>
      <c r="J4" s="34">
        <f>HSDR!J6</f>
        <v>-0.29264070019772598</v>
      </c>
      <c r="K4" s="34">
        <f>HSDR!K6</f>
        <v>-0.33774944037840804</v>
      </c>
      <c r="M4" s="228" t="s">
        <v>156</v>
      </c>
      <c r="N4" s="223">
        <f>SUM(SUMIF($B$3:$K$17,"&lt;0"),SUMIF($B$19:$K$27,"&lt;0"),SUMIF($B$29:$K$38,"&lt;0"),C40)</f>
        <v>-36.048366327729866</v>
      </c>
      <c r="O4" s="224">
        <f>COUNTIF($B$3:$K$17,"&lt;0")+COUNTIF($B$19:$K$27,"&lt;0")+COUNTIF($B$29:$K$38,"&lt;0")</f>
        <v>165</v>
      </c>
      <c r="P4" s="224">
        <f>AVERAGE(AVERAGEIF($B$3:$K$17,"&lt;0"),AVERAGEIF($B$19:$K$27,"&lt;0"),AVERAGEIF($B$29:$K$38,"&lt;0"))</f>
        <v>-0.18564771624419754</v>
      </c>
      <c r="Q4" s="72">
        <f>1-Q3</f>
        <v>0.3616064940754703</v>
      </c>
    </row>
    <row r="5" spans="1:17" x14ac:dyDescent="0.2">
      <c r="A5" s="32">
        <v>7</v>
      </c>
      <c r="B5" s="34">
        <f>HSDR!B7</f>
        <v>-0.31007165033163697</v>
      </c>
      <c r="C5" s="34">
        <f>HSDR!C7</f>
        <v>-0.10918342786661633</v>
      </c>
      <c r="D5" s="34">
        <f>HSDR!D7</f>
        <v>-7.658298190446361E-2</v>
      </c>
      <c r="E5" s="34">
        <f>HSDR!E7</f>
        <v>-4.3021794004341876E-2</v>
      </c>
      <c r="F5" s="34">
        <f>HSDR!F7</f>
        <v>-7.2713609029408845E-3</v>
      </c>
      <c r="G5" s="34">
        <f>HSDR!G7</f>
        <v>2.9185342353860864E-2</v>
      </c>
      <c r="H5" s="34">
        <f>HSDR!H7</f>
        <v>-6.8807799580427764E-2</v>
      </c>
      <c r="I5" s="34">
        <f>HSDR!I7</f>
        <v>-0.21060476872434969</v>
      </c>
      <c r="J5" s="34">
        <f>HSDR!J7</f>
        <v>-0.28536544048687656</v>
      </c>
      <c r="K5" s="34">
        <f>HSDR!K7</f>
        <v>-0.31905479139833842</v>
      </c>
      <c r="M5" s="210" t="s">
        <v>46</v>
      </c>
      <c r="N5" s="225">
        <f>N3-N4</f>
        <v>99.689488209817029</v>
      </c>
      <c r="O5" s="215">
        <f>COUNT($B$3:$K$17,$B$19:$K$27,$B$29:$K$38)</f>
        <v>340</v>
      </c>
      <c r="P5" s="215">
        <f>AVERAGE($B$3:$K$17,$B$19:$K$27,$B$29:$K$38)</f>
        <v>8.4096339865756806E-2</v>
      </c>
      <c r="Q5" s="71">
        <f>Q3+Q4</f>
        <v>1</v>
      </c>
    </row>
    <row r="6" spans="1:17" ht="16" thickBot="1" x14ac:dyDescent="0.25">
      <c r="A6" s="32">
        <v>8</v>
      </c>
      <c r="B6" s="34">
        <f>HSDR!B8</f>
        <v>-0.1970288105741636</v>
      </c>
      <c r="C6" s="34">
        <f>HSDR!C8</f>
        <v>-2.1798188008805668E-2</v>
      </c>
      <c r="D6" s="34">
        <f>HSDR!D8</f>
        <v>8.0052625306546825E-3</v>
      </c>
      <c r="E6" s="34">
        <f>HSDR!E8</f>
        <v>3.8784473277208811E-2</v>
      </c>
      <c r="F6" s="34">
        <f>HSDR!F8</f>
        <v>7.0804635983033826E-2</v>
      </c>
      <c r="G6" s="34">
        <f>HSDR!G8</f>
        <v>0.11496015009622321</v>
      </c>
      <c r="H6" s="34">
        <f>HSDR!H8</f>
        <v>8.2207439363742862E-2</v>
      </c>
      <c r="I6" s="34">
        <f>HSDR!I8</f>
        <v>-5.9898275658656304E-2</v>
      </c>
      <c r="J6" s="34">
        <f>HSDR!J8</f>
        <v>-0.21018633199821757</v>
      </c>
      <c r="K6" s="34">
        <f>HSDR!K8</f>
        <v>-0.24937508055334259</v>
      </c>
      <c r="M6" s="222"/>
      <c r="N6" s="220"/>
      <c r="O6" s="200"/>
      <c r="P6" s="200"/>
      <c r="Q6" s="216"/>
    </row>
    <row r="7" spans="1:17" ht="16" thickBot="1" x14ac:dyDescent="0.25">
      <c r="A7" s="32">
        <v>9</v>
      </c>
      <c r="B7" s="34">
        <f>HSDR!B9</f>
        <v>-6.5680778778066204E-2</v>
      </c>
      <c r="C7" s="34">
        <f>HSDR!C9</f>
        <v>7.4446037576340524E-2</v>
      </c>
      <c r="D7" s="34">
        <f>HSDR!D9</f>
        <v>0.12081635332999649</v>
      </c>
      <c r="E7" s="34">
        <f>HSDR!E9</f>
        <v>0.18194893405242166</v>
      </c>
      <c r="F7" s="34">
        <f>HSDR!F9</f>
        <v>0.24305722487303633</v>
      </c>
      <c r="G7" s="34">
        <f>HSDR!G9</f>
        <v>0.31705474570166692</v>
      </c>
      <c r="H7" s="34">
        <f>HSDR!H9</f>
        <v>0.17186785993695267</v>
      </c>
      <c r="I7" s="34">
        <f>HSDR!I9</f>
        <v>9.8376217435392516E-2</v>
      </c>
      <c r="J7" s="34">
        <f>HSDR!J9</f>
        <v>-5.2178053462651669E-2</v>
      </c>
      <c r="K7" s="34">
        <f>HSDR!K9</f>
        <v>-0.15295298487455075</v>
      </c>
    </row>
    <row r="8" spans="1:17" ht="16" thickBot="1" x14ac:dyDescent="0.25">
      <c r="A8" s="32">
        <v>10</v>
      </c>
      <c r="B8" s="34">
        <f>HSDR!B10</f>
        <v>8.1449707945275923E-2</v>
      </c>
      <c r="C8" s="34">
        <f>HSDR!C10</f>
        <v>0.3589394124422991</v>
      </c>
      <c r="D8" s="34">
        <f>HSDR!D10</f>
        <v>0.40932067017593915</v>
      </c>
      <c r="E8" s="34">
        <f>HSDR!E10</f>
        <v>0.460940243794354</v>
      </c>
      <c r="F8" s="34">
        <f>HSDR!F10</f>
        <v>0.51251710900326775</v>
      </c>
      <c r="G8" s="34">
        <f>HSDR!G10</f>
        <v>0.57559016859776857</v>
      </c>
      <c r="H8" s="34">
        <f>HSDR!H10</f>
        <v>0.39241245528243773</v>
      </c>
      <c r="I8" s="34">
        <f>HSDR!I10</f>
        <v>0.28663571688628381</v>
      </c>
      <c r="J8" s="34">
        <f>HSDR!J10</f>
        <v>0.1443283683807712</v>
      </c>
      <c r="K8" s="34">
        <f>HSDR!K10</f>
        <v>2.5308523040868145E-2</v>
      </c>
      <c r="M8" s="221"/>
      <c r="N8" s="230" t="s">
        <v>156</v>
      </c>
      <c r="O8" s="231" t="s">
        <v>47</v>
      </c>
      <c r="P8" s="214" t="s">
        <v>2</v>
      </c>
    </row>
    <row r="9" spans="1:17" x14ac:dyDescent="0.2">
      <c r="A9" s="32">
        <v>11</v>
      </c>
      <c r="B9" s="34">
        <f>HSDR!B11</f>
        <v>0.14300128216153027</v>
      </c>
      <c r="C9" s="34">
        <f>HSDR!C11</f>
        <v>0.47064092333946889</v>
      </c>
      <c r="D9" s="34">
        <f>HSDR!D11</f>
        <v>0.51779525312221675</v>
      </c>
      <c r="E9" s="34">
        <f>HSDR!E11</f>
        <v>0.56604055041797607</v>
      </c>
      <c r="F9" s="34">
        <f>HSDR!F11</f>
        <v>0.61469901790902803</v>
      </c>
      <c r="G9" s="34">
        <f>HSDR!G11</f>
        <v>0.66738009490756944</v>
      </c>
      <c r="H9" s="34">
        <f>HSDR!H11</f>
        <v>0.46288894886429077</v>
      </c>
      <c r="I9" s="34">
        <f>HSDR!I11</f>
        <v>0.35069259087031501</v>
      </c>
      <c r="J9" s="34">
        <f>HSDR!J11</f>
        <v>0.22778342315245487</v>
      </c>
      <c r="K9" s="34">
        <f>HSDR!K11</f>
        <v>0.1796887274111463</v>
      </c>
      <c r="M9" s="229" t="s">
        <v>9</v>
      </c>
      <c r="N9" s="219">
        <f>SUMIF(B3:K17,"&lt;0",B3:K17)</f>
        <v>-23.581832629903506</v>
      </c>
      <c r="O9" s="206">
        <f>SUMIF(B3:K17,"&gt;0",B3:K17)</f>
        <v>14.433230600733523</v>
      </c>
      <c r="P9" s="213">
        <f>SUM(N9:O9)</f>
        <v>-9.1486020291699823</v>
      </c>
    </row>
    <row r="10" spans="1:17" x14ac:dyDescent="0.2">
      <c r="A10" s="32">
        <v>12</v>
      </c>
      <c r="B10" s="34">
        <f>HSDR!B12</f>
        <v>-0.35054034044008009</v>
      </c>
      <c r="C10" s="34">
        <f>HSDR!C12</f>
        <v>-0.25338998596663809</v>
      </c>
      <c r="D10" s="34">
        <f>HSDR!D12</f>
        <v>-0.2336908997980866</v>
      </c>
      <c r="E10" s="34">
        <f>HSDR!E12</f>
        <v>-0.21106310899491437</v>
      </c>
      <c r="F10" s="34">
        <f>HSDR!F12</f>
        <v>-0.16719266083547524</v>
      </c>
      <c r="G10" s="34">
        <f>HSDR!G12</f>
        <v>-0.1536990158300045</v>
      </c>
      <c r="H10" s="34">
        <f>HSDR!H12</f>
        <v>-0.21284771451731424</v>
      </c>
      <c r="I10" s="34">
        <f>HSDR!I12</f>
        <v>-0.27157480502428616</v>
      </c>
      <c r="J10" s="34">
        <f>HSDR!J12</f>
        <v>-0.3400132806089356</v>
      </c>
      <c r="K10" s="34">
        <f>HSDR!K12</f>
        <v>-0.38104299284808768</v>
      </c>
      <c r="M10" s="211" t="s">
        <v>4</v>
      </c>
      <c r="N10" s="39">
        <f>SUMIF(B19:K27,"&lt;0",B19:K27)</f>
        <v>-2.5030029481493119</v>
      </c>
      <c r="O10" s="207">
        <f>SUMIF(B19:K27,"&gt;0",B19:K27)</f>
        <v>30.300146516164546</v>
      </c>
      <c r="P10" s="209">
        <f>SUM(N10:O10)</f>
        <v>27.797143568015233</v>
      </c>
    </row>
    <row r="11" spans="1:17" ht="16" thickBot="1" x14ac:dyDescent="0.25">
      <c r="A11" s="32">
        <v>13</v>
      </c>
      <c r="B11" s="34">
        <f>HSDR!B13</f>
        <v>-0.3969303161229315</v>
      </c>
      <c r="C11" s="34">
        <f>HSDR!C13</f>
        <v>-0.29278372720927726</v>
      </c>
      <c r="D11" s="34">
        <f>HSDR!D13</f>
        <v>-0.2522502292357135</v>
      </c>
      <c r="E11" s="34">
        <f>HSDR!E13</f>
        <v>-0.21106310899491437</v>
      </c>
      <c r="F11" s="34">
        <f>HSDR!F13</f>
        <v>-0.16719266083547524</v>
      </c>
      <c r="G11" s="34">
        <f>HSDR!G13</f>
        <v>-0.1536990158300045</v>
      </c>
      <c r="H11" s="34">
        <f>HSDR!H13</f>
        <v>-0.26907287776607752</v>
      </c>
      <c r="I11" s="34">
        <f>HSDR!I13</f>
        <v>-0.32360517609397998</v>
      </c>
      <c r="J11" s="34">
        <f>HSDR!J13</f>
        <v>-0.38715518913686875</v>
      </c>
      <c r="K11" s="34">
        <f>HSDR!K13</f>
        <v>-0.42525420764465277</v>
      </c>
      <c r="M11" s="228" t="s">
        <v>10</v>
      </c>
      <c r="N11" s="223">
        <f>SUMIF(B29:K38,"&lt;0",B29:K38)</f>
        <v>-8.9635307496770498</v>
      </c>
      <c r="O11" s="232">
        <f>SUMIF(B29:K38,"&gt;0",B29:K38)</f>
        <v>18.90774476518909</v>
      </c>
      <c r="P11" s="212">
        <f>SUM(N11:O11)</f>
        <v>9.9442140155120402</v>
      </c>
    </row>
    <row r="12" spans="1:17" ht="16" thickBot="1" x14ac:dyDescent="0.25">
      <c r="A12" s="32">
        <v>14</v>
      </c>
      <c r="B12" s="34">
        <f>HSDR!B14</f>
        <v>-0.44000672211415065</v>
      </c>
      <c r="C12" s="34">
        <f>HSDR!C14</f>
        <v>-0.29278372720927726</v>
      </c>
      <c r="D12" s="34">
        <f>HSDR!D14</f>
        <v>-0.2522502292357135</v>
      </c>
      <c r="E12" s="34">
        <f>HSDR!E14</f>
        <v>-0.21106310899491437</v>
      </c>
      <c r="F12" s="34">
        <f>HSDR!F14</f>
        <v>-0.16719266083547524</v>
      </c>
      <c r="G12" s="34">
        <f>HSDR!G14</f>
        <v>-0.1536990158300045</v>
      </c>
      <c r="H12" s="34">
        <f>HSDR!H14</f>
        <v>-0.3212819579256434</v>
      </c>
      <c r="I12" s="34">
        <f>HSDR!I14</f>
        <v>-0.37191909208726714</v>
      </c>
      <c r="J12" s="34">
        <f>HSDR!J14</f>
        <v>-0.43092981848423528</v>
      </c>
      <c r="K12" s="34">
        <f>HSDR!K14</f>
        <v>-0.46630747852717758</v>
      </c>
      <c r="M12" s="214" t="s">
        <v>2</v>
      </c>
      <c r="N12" s="218">
        <f>SUM(N9:N11)+C40</f>
        <v>-36.048366327729866</v>
      </c>
      <c r="O12" s="205">
        <f>SUM(O9:O11)</f>
        <v>63.641121882087162</v>
      </c>
      <c r="P12" s="221">
        <f>SUM(P9:P11)</f>
        <v>28.592755554357289</v>
      </c>
    </row>
    <row r="13" spans="1:17" x14ac:dyDescent="0.2">
      <c r="A13" s="32">
        <v>15</v>
      </c>
      <c r="B13" s="34">
        <f>HSDR!B15</f>
        <v>-0.4800062419631399</v>
      </c>
      <c r="C13" s="34">
        <f>HSDR!C15</f>
        <v>-0.29278372720927726</v>
      </c>
      <c r="D13" s="34">
        <f>HSDR!D15</f>
        <v>-0.2522502292357135</v>
      </c>
      <c r="E13" s="34">
        <f>HSDR!E15</f>
        <v>-0.21106310899491437</v>
      </c>
      <c r="F13" s="34">
        <f>HSDR!F15</f>
        <v>-0.16719266083547524</v>
      </c>
      <c r="G13" s="34">
        <f>HSDR!G15</f>
        <v>-0.1536990158300045</v>
      </c>
      <c r="H13" s="34">
        <f>HSDR!H15</f>
        <v>-0.36976181807381175</v>
      </c>
      <c r="I13" s="34">
        <f>HSDR!I15</f>
        <v>-0.41678201408103371</v>
      </c>
      <c r="J13" s="34">
        <f>HSDR!J15</f>
        <v>-0.47157768859250415</v>
      </c>
      <c r="K13" s="34">
        <f>HSDR!K15</f>
        <v>-0.5</v>
      </c>
    </row>
    <row r="14" spans="1:17" x14ac:dyDescent="0.2">
      <c r="A14" s="32">
        <v>16</v>
      </c>
      <c r="B14" s="34">
        <f>HSDR!B16</f>
        <v>-0.5</v>
      </c>
      <c r="C14" s="34">
        <f>HSDR!C16</f>
        <v>-0.29278372720927726</v>
      </c>
      <c r="D14" s="34">
        <f>HSDR!D16</f>
        <v>-0.2522502292357135</v>
      </c>
      <c r="E14" s="34">
        <f>HSDR!E16</f>
        <v>-0.21106310899491437</v>
      </c>
      <c r="F14" s="34">
        <f>HSDR!F16</f>
        <v>-0.16719266083547524</v>
      </c>
      <c r="G14" s="34">
        <f>HSDR!G16</f>
        <v>-0.1536990158300045</v>
      </c>
      <c r="H14" s="34">
        <f>HSDR!H16</f>
        <v>-0.41477883106853947</v>
      </c>
      <c r="I14" s="34">
        <f>HSDR!I16</f>
        <v>-0.45844044164667419</v>
      </c>
      <c r="J14" s="34">
        <f>HSDR!J16</f>
        <v>-0.5</v>
      </c>
      <c r="K14" s="34">
        <f>HSDR!K16</f>
        <v>-0.5</v>
      </c>
    </row>
    <row r="15" spans="1:17" x14ac:dyDescent="0.2">
      <c r="A15" s="32">
        <v>17</v>
      </c>
      <c r="B15" s="34">
        <f>HSDR!B17</f>
        <v>-0.47803347499473703</v>
      </c>
      <c r="C15" s="34">
        <f>HSDR!C17</f>
        <v>-0.15297458768154204</v>
      </c>
      <c r="D15" s="34">
        <f>HSDR!D17</f>
        <v>-0.11721624142457365</v>
      </c>
      <c r="E15" s="34">
        <f>HSDR!E17</f>
        <v>-8.0573373145316152E-2</v>
      </c>
      <c r="F15" s="34">
        <f>HSDR!F17</f>
        <v>-4.4941375564924446E-2</v>
      </c>
      <c r="G15" s="34">
        <f>HSDR!G17</f>
        <v>1.1739160673341853E-2</v>
      </c>
      <c r="H15" s="34">
        <f>HSDR!H17</f>
        <v>-0.10680898948269468</v>
      </c>
      <c r="I15" s="34">
        <f>HSDR!I17</f>
        <v>-0.38195097104844711</v>
      </c>
      <c r="J15" s="34">
        <f>HSDR!J17</f>
        <v>-0.42315423964521737</v>
      </c>
      <c r="K15" s="34">
        <f>HSDR!K17</f>
        <v>-0.41972063392881986</v>
      </c>
    </row>
    <row r="16" spans="1:17" x14ac:dyDescent="0.2">
      <c r="A16" s="32">
        <v>18</v>
      </c>
      <c r="B16" s="34">
        <f>HSDR!B18</f>
        <v>-0.10019887561319057</v>
      </c>
      <c r="C16" s="34">
        <f>HSDR!C18</f>
        <v>0.12174190222088771</v>
      </c>
      <c r="D16" s="34">
        <f>HSDR!D18</f>
        <v>0.14830007284131119</v>
      </c>
      <c r="E16" s="34">
        <f>HSDR!E18</f>
        <v>0.17585443719748528</v>
      </c>
      <c r="F16" s="34">
        <f>HSDR!F18</f>
        <v>0.19956119497617719</v>
      </c>
      <c r="G16" s="34">
        <f>HSDR!G18</f>
        <v>0.28344391604689856</v>
      </c>
      <c r="H16" s="34">
        <f>HSDR!H18</f>
        <v>0.3995541673365518</v>
      </c>
      <c r="I16" s="34">
        <f>HSDR!I18</f>
        <v>0.10595134861912359</v>
      </c>
      <c r="J16" s="34">
        <f>HSDR!J18</f>
        <v>-0.18316335667343331</v>
      </c>
      <c r="K16" s="34">
        <f>HSDR!K18</f>
        <v>-0.17830123379648949</v>
      </c>
    </row>
    <row r="17" spans="1:11" x14ac:dyDescent="0.2">
      <c r="A17" s="32">
        <v>19</v>
      </c>
      <c r="B17" s="34">
        <f>HSDR!B19</f>
        <v>0.27763572376835594</v>
      </c>
      <c r="C17" s="34">
        <f>HSDR!C19</f>
        <v>0.38630468602058993</v>
      </c>
      <c r="D17" s="34">
        <f>HSDR!D19</f>
        <v>0.4043629365977599</v>
      </c>
      <c r="E17" s="34">
        <f>HSDR!E19</f>
        <v>0.42317892482749653</v>
      </c>
      <c r="F17" s="34">
        <f>HSDR!F19</f>
        <v>0.43951210416088371</v>
      </c>
      <c r="G17" s="34">
        <f>HSDR!G19</f>
        <v>0.49597707378731914</v>
      </c>
      <c r="H17" s="34">
        <f>HSDR!H19</f>
        <v>0.6159764957534315</v>
      </c>
      <c r="I17" s="34">
        <f>HSDR!I19</f>
        <v>0.59385366828669439</v>
      </c>
      <c r="J17" s="34">
        <f>HSDR!J19</f>
        <v>0.28759675706758148</v>
      </c>
      <c r="K17" s="34">
        <f>HSDR!K19</f>
        <v>6.3118166335840831E-2</v>
      </c>
    </row>
    <row r="18" spans="1:11" x14ac:dyDescent="0.2">
      <c r="A18" s="32" t="s">
        <v>4</v>
      </c>
      <c r="B18" s="32" t="s">
        <v>1</v>
      </c>
      <c r="C18" s="35">
        <v>2</v>
      </c>
      <c r="D18" s="35">
        <v>3</v>
      </c>
      <c r="E18" s="35">
        <v>4</v>
      </c>
      <c r="F18" s="35">
        <v>5</v>
      </c>
      <c r="G18" s="35">
        <v>6</v>
      </c>
      <c r="H18" s="35">
        <v>7</v>
      </c>
      <c r="I18" s="35">
        <v>8</v>
      </c>
      <c r="J18" s="35">
        <v>9</v>
      </c>
      <c r="K18" s="35">
        <v>10</v>
      </c>
    </row>
    <row r="19" spans="1:11" x14ac:dyDescent="0.2">
      <c r="A19" s="32">
        <v>13</v>
      </c>
      <c r="B19" s="34">
        <f>HSDR!B36</f>
        <v>-5.7308046666810254E-2</v>
      </c>
      <c r="C19" s="34">
        <f>HSDR!C36</f>
        <v>4.6636132695309578E-2</v>
      </c>
      <c r="D19" s="34">
        <f>HSDR!D36</f>
        <v>7.4118813392744051E-2</v>
      </c>
      <c r="E19" s="34">
        <f>HSDR!E36</f>
        <v>0.10247714687203523</v>
      </c>
      <c r="F19" s="34">
        <f>HSDR!F36</f>
        <v>0.13336273848321728</v>
      </c>
      <c r="G19" s="34">
        <f>HSDR!G36</f>
        <v>0.17974820582791512</v>
      </c>
      <c r="H19" s="34">
        <f>HSDR!H36</f>
        <v>0.12238569517899196</v>
      </c>
      <c r="I19" s="34">
        <f>HSDR!I36</f>
        <v>5.4057070196311299E-2</v>
      </c>
      <c r="J19" s="34">
        <f>HSDR!J36</f>
        <v>-3.7694688127479885E-2</v>
      </c>
      <c r="K19" s="34">
        <f>HSDR!K36</f>
        <v>-0.10485135840627779</v>
      </c>
    </row>
    <row r="20" spans="1:11" x14ac:dyDescent="0.2">
      <c r="A20" s="32">
        <v>14</v>
      </c>
      <c r="B20" s="34">
        <f>HSDR!B37</f>
        <v>-9.3874324768310105E-2</v>
      </c>
      <c r="C20" s="34">
        <f>HSDR!C37</f>
        <v>2.2391856987839083E-2</v>
      </c>
      <c r="D20" s="34">
        <f>HSDR!D37</f>
        <v>5.0806738919282814E-2</v>
      </c>
      <c r="E20" s="34">
        <f>HSDR!E37</f>
        <v>8.0081414310110233E-2</v>
      </c>
      <c r="F20" s="34">
        <f>HSDR!F37</f>
        <v>0.12595448524867925</v>
      </c>
      <c r="G20" s="34">
        <f>HSDR!G37</f>
        <v>0.17974820582791512</v>
      </c>
      <c r="H20" s="34">
        <f>HSDR!H37</f>
        <v>7.9507488494468148E-2</v>
      </c>
      <c r="I20" s="34">
        <f>HSDR!I37</f>
        <v>1.3277219463208444E-2</v>
      </c>
      <c r="J20" s="34">
        <f>HSDR!J37</f>
        <v>-7.516318944168382E-2</v>
      </c>
      <c r="K20" s="34">
        <f>HSDR!K37</f>
        <v>-0.13946678217545452</v>
      </c>
    </row>
    <row r="21" spans="1:11" x14ac:dyDescent="0.2">
      <c r="A21" s="32">
        <v>15</v>
      </c>
      <c r="B21" s="34">
        <f>HSDR!B38</f>
        <v>-0.13002650167843849</v>
      </c>
      <c r="C21" s="34">
        <f>HSDR!C38</f>
        <v>-1.2068474052636583E-4</v>
      </c>
      <c r="D21" s="34">
        <f>HSDR!D38</f>
        <v>2.9159812622497363E-2</v>
      </c>
      <c r="E21" s="34">
        <f>HSDR!E38</f>
        <v>5.9285376931179926E-2</v>
      </c>
      <c r="F21" s="34">
        <f>HSDR!F38</f>
        <v>0.12595448524867925</v>
      </c>
      <c r="G21" s="34">
        <f>HSDR!G38</f>
        <v>0.17974820582791512</v>
      </c>
      <c r="H21" s="34">
        <f>HSDR!H38</f>
        <v>3.7028282279269235E-2</v>
      </c>
      <c r="I21" s="34">
        <f>HSDR!I38</f>
        <v>-2.7054780502901672E-2</v>
      </c>
      <c r="J21" s="34">
        <f>HSDR!J38</f>
        <v>-0.11218876868994289</v>
      </c>
      <c r="K21" s="34">
        <f>HSDR!K38</f>
        <v>-0.17370423031226784</v>
      </c>
    </row>
    <row r="22" spans="1:11" x14ac:dyDescent="0.2">
      <c r="A22" s="32">
        <v>16</v>
      </c>
      <c r="B22" s="34">
        <f>HSDR!B39</f>
        <v>-0.16563717206687348</v>
      </c>
      <c r="C22" s="34">
        <f>HSDR!C39</f>
        <v>-2.1025187774008566E-2</v>
      </c>
      <c r="D22" s="34">
        <f>HSDR!D39</f>
        <v>9.0590953469108244E-3</v>
      </c>
      <c r="E22" s="34">
        <f>HSDR!E39</f>
        <v>5.8426518743744951E-2</v>
      </c>
      <c r="F22" s="34">
        <f>HSDR!F39</f>
        <v>0.12595448524867925</v>
      </c>
      <c r="G22" s="34">
        <f>HSDR!G39</f>
        <v>0.17974820582791512</v>
      </c>
      <c r="H22" s="34">
        <f>HSDR!H39</f>
        <v>-4.8901571730158942E-3</v>
      </c>
      <c r="I22" s="34">
        <f>HSDR!I39</f>
        <v>-6.6794847920094103E-2</v>
      </c>
      <c r="J22" s="34">
        <f>HSDR!J39</f>
        <v>-0.14864353463007471</v>
      </c>
      <c r="K22" s="34">
        <f>HSDR!K39</f>
        <v>-0.20744109003068206</v>
      </c>
    </row>
    <row r="23" spans="1:11" x14ac:dyDescent="0.2">
      <c r="A23" s="32">
        <v>17</v>
      </c>
      <c r="B23" s="34">
        <f>HSDR!B40</f>
        <v>-0.17956936979241733</v>
      </c>
      <c r="C23" s="34">
        <f>HSDR!C40</f>
        <v>-4.9104358288912882E-4</v>
      </c>
      <c r="D23" s="34">
        <f>HSDR!D40</f>
        <v>5.5095284479298338E-2</v>
      </c>
      <c r="E23" s="34">
        <f>HSDR!E40</f>
        <v>0.11865255067432869</v>
      </c>
      <c r="F23" s="34">
        <f>HSDR!F40</f>
        <v>0.18237815537354879</v>
      </c>
      <c r="G23" s="34">
        <f>HSDR!G40</f>
        <v>0.2561042872909981</v>
      </c>
      <c r="H23" s="34">
        <f>HSDR!H40</f>
        <v>5.3823463716116654E-2</v>
      </c>
      <c r="I23" s="34">
        <f>HSDR!I40</f>
        <v>-7.2915398729642075E-2</v>
      </c>
      <c r="J23" s="34">
        <f>HSDR!J40</f>
        <v>-0.1497868921821332</v>
      </c>
      <c r="K23" s="34">
        <f>HSDR!K40</f>
        <v>-0.19686697623363469</v>
      </c>
    </row>
    <row r="24" spans="1:11" x14ac:dyDescent="0.2">
      <c r="A24" s="32">
        <v>18</v>
      </c>
      <c r="B24" s="34">
        <f>HSDR!B41</f>
        <v>-9.2935491769284034E-2</v>
      </c>
      <c r="C24" s="34">
        <f>HSDR!C41</f>
        <v>0.12174190222088771</v>
      </c>
      <c r="D24" s="34">
        <f>HSDR!D41</f>
        <v>0.17764127567893753</v>
      </c>
      <c r="E24" s="34">
        <f>HSDR!E41</f>
        <v>0.23700384775562167</v>
      </c>
      <c r="F24" s="34">
        <f>HSDR!F41</f>
        <v>0.29522549562328804</v>
      </c>
      <c r="G24" s="34">
        <f>HSDR!G41</f>
        <v>0.38150648207879345</v>
      </c>
      <c r="H24" s="34">
        <f>HSDR!H41</f>
        <v>0.3995541673365518</v>
      </c>
      <c r="I24" s="34">
        <f>HSDR!I41</f>
        <v>0.10595134861912359</v>
      </c>
      <c r="J24" s="34">
        <f>HSDR!J41</f>
        <v>-0.10074430758041522</v>
      </c>
      <c r="K24" s="34">
        <f>HSDR!K41</f>
        <v>-0.14380812317405353</v>
      </c>
    </row>
    <row r="25" spans="1:11" x14ac:dyDescent="0.2">
      <c r="A25" s="32">
        <v>19</v>
      </c>
      <c r="B25" s="34">
        <f>HSDR!B42</f>
        <v>0.27763572376835594</v>
      </c>
      <c r="C25" s="34">
        <f>HSDR!C42</f>
        <v>0.38630468602058993</v>
      </c>
      <c r="D25" s="34">
        <f>HSDR!D42</f>
        <v>0.4043629365977599</v>
      </c>
      <c r="E25" s="34">
        <f>HSDR!E42</f>
        <v>0.42317892482749653</v>
      </c>
      <c r="F25" s="34">
        <f>HSDR!F42</f>
        <v>0.43951210416088371</v>
      </c>
      <c r="G25" s="34">
        <f>HSDR!G42</f>
        <v>0.49597707378731914</v>
      </c>
      <c r="H25" s="34">
        <f>HSDR!H42</f>
        <v>0.6159764957534315</v>
      </c>
      <c r="I25" s="34">
        <f>HSDR!I42</f>
        <v>0.59385366828669439</v>
      </c>
      <c r="J25" s="34">
        <f>HSDR!J42</f>
        <v>0.28759675706758148</v>
      </c>
      <c r="K25" s="34">
        <f>HSDR!K42</f>
        <v>6.3118166335840831E-2</v>
      </c>
    </row>
    <row r="26" spans="1:11" x14ac:dyDescent="0.2">
      <c r="A26" s="32">
        <v>20</v>
      </c>
      <c r="B26" s="34">
        <f>HSDR!B43</f>
        <v>0.65547032314990239</v>
      </c>
      <c r="C26" s="34">
        <f>HSDR!C43</f>
        <v>0.63998657521683877</v>
      </c>
      <c r="D26" s="34">
        <f>HSDR!D43</f>
        <v>0.65027209425148136</v>
      </c>
      <c r="E26" s="34">
        <f>HSDR!E43</f>
        <v>0.66104996194807186</v>
      </c>
      <c r="F26" s="34">
        <f>HSDR!F43</f>
        <v>0.67035969063279999</v>
      </c>
      <c r="G26" s="34">
        <f>HSDR!G43</f>
        <v>0.70395857017134467</v>
      </c>
      <c r="H26" s="34">
        <f>HSDR!H43</f>
        <v>0.77322722653717491</v>
      </c>
      <c r="I26" s="34">
        <f>HSDR!I43</f>
        <v>0.79181515955189841</v>
      </c>
      <c r="J26" s="34">
        <f>HSDR!J43</f>
        <v>0.75835687080859626</v>
      </c>
      <c r="K26" s="34">
        <f>HSDR!K43</f>
        <v>0.55453756646817121</v>
      </c>
    </row>
    <row r="27" spans="1:11" x14ac:dyDescent="0.2">
      <c r="A27" s="32">
        <v>21</v>
      </c>
      <c r="B27" s="34">
        <f>IF(Rules!$B$3=Rules!$E$3,1.5,IF(Rules!$B$3=Rules!$F$3,1.2,1))</f>
        <v>1.5</v>
      </c>
      <c r="C27" s="34">
        <f>IF(Rules!$B$3=Rules!$E$3,1.5,IF(Rules!$B$3=Rules!$F$3,1.2,1))</f>
        <v>1.5</v>
      </c>
      <c r="D27" s="34">
        <f>IF(Rules!$B$3=Rules!$E$3,1.5,IF(Rules!$B$3=Rules!$F$3,1.2,1))</f>
        <v>1.5</v>
      </c>
      <c r="E27" s="34">
        <f>IF(Rules!$B$3=Rules!$E$3,1.5,IF(Rules!$B$3=Rules!$F$3,1.2,1))</f>
        <v>1.5</v>
      </c>
      <c r="F27" s="34">
        <f>IF(Rules!$B$3=Rules!$E$3,1.5,IF(Rules!$B$3=Rules!$F$3,1.2,1))</f>
        <v>1.5</v>
      </c>
      <c r="G27" s="34">
        <f>IF(Rules!$B$3=Rules!$E$3,1.5,IF(Rules!$B$3=Rules!$F$3,1.2,1))</f>
        <v>1.5</v>
      </c>
      <c r="H27" s="34">
        <f>IF(Rules!$B$3=Rules!$E$3,1.5,IF(Rules!$B$3=Rules!$F$3,1.2,1))</f>
        <v>1.5</v>
      </c>
      <c r="I27" s="34">
        <f>IF(Rules!$B$3=Rules!$E$3,1.5,IF(Rules!$B$3=Rules!$F$3,1.2,1))</f>
        <v>1.5</v>
      </c>
      <c r="J27" s="34">
        <f>IF(Rules!$B$3=Rules!$E$3,1.5,IF(Rules!$B$3=Rules!$F$3,1.2,1))</f>
        <v>1.5</v>
      </c>
      <c r="K27" s="34">
        <f>IF(Rules!$B$3=Rules!$E$3,1.5,IF(Rules!$B$3=Rules!$F$3,1.2,1))</f>
        <v>1.5</v>
      </c>
    </row>
    <row r="28" spans="1:11" x14ac:dyDescent="0.2">
      <c r="A28" s="32" t="s">
        <v>10</v>
      </c>
      <c r="B28" s="32" t="s">
        <v>1</v>
      </c>
      <c r="C28" s="35">
        <v>2</v>
      </c>
      <c r="D28" s="35">
        <v>3</v>
      </c>
      <c r="E28" s="35">
        <v>4</v>
      </c>
      <c r="F28" s="35">
        <v>5</v>
      </c>
      <c r="G28" s="35">
        <v>6</v>
      </c>
      <c r="H28" s="35">
        <v>7</v>
      </c>
      <c r="I28" s="35">
        <v>8</v>
      </c>
      <c r="J28" s="35">
        <v>9</v>
      </c>
      <c r="K28" s="35">
        <v>10</v>
      </c>
    </row>
    <row r="29" spans="1:11" x14ac:dyDescent="0.2">
      <c r="A29" s="32" t="s">
        <v>1</v>
      </c>
      <c r="B29" s="34">
        <f>Pair!B54</f>
        <v>0.10906077977909699</v>
      </c>
      <c r="C29" s="34">
        <f>Pair!C54</f>
        <v>0.47064092333946894</v>
      </c>
      <c r="D29" s="34">
        <f>Pair!D54</f>
        <v>0.51779525312221664</v>
      </c>
      <c r="E29" s="34">
        <f>Pair!E54</f>
        <v>0.56604055041797596</v>
      </c>
      <c r="F29" s="34">
        <f>Pair!F54</f>
        <v>0.61469901790902803</v>
      </c>
      <c r="G29" s="34">
        <f>Pair!G54</f>
        <v>0.66738009490756944</v>
      </c>
      <c r="H29" s="34">
        <f>Pair!H54</f>
        <v>0.46288894886429088</v>
      </c>
      <c r="I29" s="34">
        <f>Pair!I54</f>
        <v>0.35069259087031512</v>
      </c>
      <c r="J29" s="34">
        <f>Pair!J54</f>
        <v>0.22778342315245487</v>
      </c>
      <c r="K29" s="34">
        <f>Pair!K54</f>
        <v>0.17968872741114625</v>
      </c>
    </row>
    <row r="30" spans="1:11" x14ac:dyDescent="0.2">
      <c r="A30" s="32">
        <v>2</v>
      </c>
      <c r="B30" s="34">
        <f>Pair!B55</f>
        <v>-0.25307699440390863</v>
      </c>
      <c r="C30" s="34">
        <f>Pair!C55</f>
        <v>-8.8887240897114625E-2</v>
      </c>
      <c r="D30" s="34">
        <f>Pair!D55</f>
        <v>-2.561613047924638E-2</v>
      </c>
      <c r="E30" s="34">
        <f>Pair!E55</f>
        <v>4.2946629568768907E-2</v>
      </c>
      <c r="F30" s="34">
        <f>Pair!F55</f>
        <v>0.12724982334843896</v>
      </c>
      <c r="G30" s="34">
        <f>Pair!G55</f>
        <v>0.19477859816579254</v>
      </c>
      <c r="H30" s="34">
        <f>Pair!H55</f>
        <v>-7.3993244927046805E-3</v>
      </c>
      <c r="I30" s="34">
        <f>Pair!I55</f>
        <v>-0.15933415266020512</v>
      </c>
      <c r="J30" s="34">
        <f>Pair!J55</f>
        <v>-0.24066617915336547</v>
      </c>
      <c r="K30" s="34">
        <f>Pair!K55</f>
        <v>-0.28919791448567511</v>
      </c>
    </row>
    <row r="31" spans="1:11" x14ac:dyDescent="0.2">
      <c r="A31" s="32">
        <v>3</v>
      </c>
      <c r="B31" s="34">
        <f>Pair!B56</f>
        <v>-0.30414663097569933</v>
      </c>
      <c r="C31" s="34">
        <f>Pair!C56</f>
        <v>-0.13816353305492138</v>
      </c>
      <c r="D31" s="34">
        <f>Pair!D56</f>
        <v>-6.3866434744217312E-2</v>
      </c>
      <c r="E31" s="34">
        <f>Pair!E56</f>
        <v>1.4624872422626991E-2</v>
      </c>
      <c r="F31" s="34">
        <f>Pair!F56</f>
        <v>0.10229274834073326</v>
      </c>
      <c r="G31" s="34">
        <f>Pair!G56</f>
        <v>0.16942022384102573</v>
      </c>
      <c r="H31" s="34">
        <f>Pair!H56</f>
        <v>-6.7760458821693514E-2</v>
      </c>
      <c r="I31" s="34">
        <f>Pair!I56</f>
        <v>-0.21724188132078476</v>
      </c>
      <c r="J31" s="34">
        <f>Pair!J56</f>
        <v>-0.29264070019772598</v>
      </c>
      <c r="K31" s="34">
        <f>Pair!K56</f>
        <v>-0.33774944037840804</v>
      </c>
    </row>
    <row r="32" spans="1:11" x14ac:dyDescent="0.2">
      <c r="A32" s="32">
        <v>4</v>
      </c>
      <c r="B32" s="34">
        <f>Pair!B57</f>
        <v>-0.1970288105741636</v>
      </c>
      <c r="C32" s="34">
        <f>Pair!C57</f>
        <v>-2.1798188008805668E-2</v>
      </c>
      <c r="D32" s="34">
        <f>Pair!D57</f>
        <v>8.0052625306546825E-3</v>
      </c>
      <c r="E32" s="34">
        <f>Pair!E57</f>
        <v>3.8784473277208811E-2</v>
      </c>
      <c r="F32" s="34">
        <f>Pair!F57</f>
        <v>8.0259872887869343E-2</v>
      </c>
      <c r="G32" s="34">
        <f>Pair!G57</f>
        <v>0.14595673491924663</v>
      </c>
      <c r="H32" s="34">
        <f>Pair!H57</f>
        <v>8.2207439363742862E-2</v>
      </c>
      <c r="I32" s="34">
        <f>Pair!I57</f>
        <v>-5.9898275658656304E-2</v>
      </c>
      <c r="J32" s="34">
        <f>Pair!J57</f>
        <v>-0.21018633199821757</v>
      </c>
      <c r="K32" s="34">
        <f>Pair!K57</f>
        <v>-0.24937508055334259</v>
      </c>
    </row>
    <row r="33" spans="1:11" x14ac:dyDescent="0.2">
      <c r="A33" s="32">
        <v>5</v>
      </c>
      <c r="B33" s="34">
        <f>Pair!B58</f>
        <v>8.1449707945275923E-2</v>
      </c>
      <c r="C33" s="34">
        <f>Pair!C58</f>
        <v>0.3589394124422991</v>
      </c>
      <c r="D33" s="34">
        <f>Pair!D58</f>
        <v>0.40932067017593915</v>
      </c>
      <c r="E33" s="34">
        <f>Pair!E58</f>
        <v>0.460940243794354</v>
      </c>
      <c r="F33" s="34">
        <f>Pair!F58</f>
        <v>0.51251710900326775</v>
      </c>
      <c r="G33" s="34">
        <f>Pair!G58</f>
        <v>0.57559016859776857</v>
      </c>
      <c r="H33" s="34">
        <f>Pair!H58</f>
        <v>0.39241245528243773</v>
      </c>
      <c r="I33" s="34">
        <f>Pair!I58</f>
        <v>0.28663571688628381</v>
      </c>
      <c r="J33" s="34">
        <f>Pair!J58</f>
        <v>0.1443283683807712</v>
      </c>
      <c r="K33" s="34">
        <f>Pair!K58</f>
        <v>2.5308523040868145E-2</v>
      </c>
    </row>
    <row r="34" spans="1:11" x14ac:dyDescent="0.2">
      <c r="A34" s="32">
        <v>6</v>
      </c>
      <c r="B34" s="34">
        <f>Pair!B59</f>
        <v>-0.35054034044008009</v>
      </c>
      <c r="C34" s="34">
        <f>Pair!C59</f>
        <v>-0.21863675917925621</v>
      </c>
      <c r="D34" s="34">
        <f>Pair!D59</f>
        <v>-0.13667841243230397</v>
      </c>
      <c r="E34" s="34">
        <f>Pair!E59</f>
        <v>-4.9559710729696275E-2</v>
      </c>
      <c r="F34" s="34">
        <f>Pair!F59</f>
        <v>4.3986900993555816E-2</v>
      </c>
      <c r="G34" s="34">
        <f>Pair!G59</f>
        <v>0.10792266460833698</v>
      </c>
      <c r="H34" s="34">
        <f>Pair!H59</f>
        <v>-0.21284771451731424</v>
      </c>
      <c r="I34" s="34">
        <f>Pair!I59</f>
        <v>-0.27157480502428616</v>
      </c>
      <c r="J34" s="34">
        <f>Pair!J59</f>
        <v>-0.3400132806089356</v>
      </c>
      <c r="K34" s="34">
        <f>Pair!K59</f>
        <v>-0.38104299284808768</v>
      </c>
    </row>
    <row r="35" spans="1:11" x14ac:dyDescent="0.2">
      <c r="A35" s="32">
        <v>7</v>
      </c>
      <c r="B35" s="34">
        <f>Pair!B60</f>
        <v>-0.44000672211415065</v>
      </c>
      <c r="C35" s="34">
        <f>Pair!C60</f>
        <v>-0.1554853799924491</v>
      </c>
      <c r="D35" s="34">
        <f>Pair!D60</f>
        <v>-7.4766650789560851E-2</v>
      </c>
      <c r="E35" s="34">
        <f>Pair!E60</f>
        <v>1.0511467456082583E-2</v>
      </c>
      <c r="F35" s="34">
        <f>Pair!F60</f>
        <v>9.9964621687930175E-2</v>
      </c>
      <c r="G35" s="34">
        <f>Pair!G60</f>
        <v>0.18769123920448363</v>
      </c>
      <c r="H35" s="34">
        <f>Pair!H60</f>
        <v>-9.0500880901835723E-2</v>
      </c>
      <c r="I35" s="34">
        <f>Pair!I60</f>
        <v>-0.37191909208726714</v>
      </c>
      <c r="J35" s="34">
        <f>Pair!J60</f>
        <v>-0.43092981848423528</v>
      </c>
      <c r="K35" s="34">
        <f>Pair!K60</f>
        <v>-0.46630747852717758</v>
      </c>
    </row>
    <row r="36" spans="1:11" x14ac:dyDescent="0.2">
      <c r="A36" s="32">
        <v>8</v>
      </c>
      <c r="B36" s="34">
        <f>Pair!B61</f>
        <v>-0.39405762114832721</v>
      </c>
      <c r="C36" s="34">
        <f>Pair!C61</f>
        <v>1.9285099723172237E-2</v>
      </c>
      <c r="D36" s="34">
        <f>Pair!D61</f>
        <v>8.688786047625327E-2</v>
      </c>
      <c r="E36" s="34">
        <f>Pair!E61</f>
        <v>0.15656746918613532</v>
      </c>
      <c r="F36" s="34">
        <f>Pair!F61</f>
        <v>0.22831820480547502</v>
      </c>
      <c r="G36" s="34">
        <f>Pair!G61</f>
        <v>0.32553339738516479</v>
      </c>
      <c r="H36" s="34">
        <f>Pair!H61</f>
        <v>0.21152959698650559</v>
      </c>
      <c r="I36" s="34">
        <f>Pair!I61</f>
        <v>-8.7582327609523197E-2</v>
      </c>
      <c r="J36" s="34">
        <f>Pair!J61</f>
        <v>-0.40539957445661723</v>
      </c>
      <c r="K36" s="34">
        <f>Pair!K61</f>
        <v>-0.48948762316092631</v>
      </c>
    </row>
    <row r="37" spans="1:11" x14ac:dyDescent="0.2">
      <c r="A37" s="32">
        <v>9</v>
      </c>
      <c r="B37" s="34">
        <f>Pair!B62</f>
        <v>-0.10019887561319057</v>
      </c>
      <c r="C37" s="34">
        <f>Pair!C62</f>
        <v>0.18462902498065631</v>
      </c>
      <c r="D37" s="34">
        <f>Pair!D62</f>
        <v>0.24214017052931303</v>
      </c>
      <c r="E37" s="34">
        <f>Pair!E62</f>
        <v>0.30150334319286637</v>
      </c>
      <c r="F37" s="34">
        <f>Pair!F62</f>
        <v>0.36334825237219065</v>
      </c>
      <c r="G37" s="34">
        <f>Pair!G62</f>
        <v>0.44337460889206287</v>
      </c>
      <c r="H37" s="34">
        <f>Pair!H62</f>
        <v>0.3995541673365518</v>
      </c>
      <c r="I37" s="34">
        <f>Pair!I62</f>
        <v>0.21532327264714252</v>
      </c>
      <c r="J37" s="34">
        <f>Pair!J62</f>
        <v>-9.3659752356483508E-2</v>
      </c>
      <c r="K37" s="34">
        <f>Pair!K62</f>
        <v>-0.17830123379648949</v>
      </c>
    </row>
    <row r="38" spans="1:11" x14ac:dyDescent="0.2">
      <c r="A38" s="32">
        <v>10</v>
      </c>
      <c r="B38" s="34">
        <f>Pair!B63</f>
        <v>0.65547032314990239</v>
      </c>
      <c r="C38" s="34">
        <f>Pair!C63</f>
        <v>0.63998657521683877</v>
      </c>
      <c r="D38" s="34">
        <f>Pair!D63</f>
        <v>0.65027209425148136</v>
      </c>
      <c r="E38" s="34">
        <f>Pair!E63</f>
        <v>0.66104996194807186</v>
      </c>
      <c r="F38" s="34">
        <f>Pair!F63</f>
        <v>0.67035969063279999</v>
      </c>
      <c r="G38" s="34">
        <f>Pair!G63</f>
        <v>0.70395857017134467</v>
      </c>
      <c r="H38" s="34">
        <f>Pair!H63</f>
        <v>0.77322722653717491</v>
      </c>
      <c r="I38" s="34">
        <f>Pair!I63</f>
        <v>0.79181515955189841</v>
      </c>
      <c r="J38" s="34">
        <f>Pair!J63</f>
        <v>0.75835687080859626</v>
      </c>
      <c r="K38" s="34">
        <f>Pair!K63</f>
        <v>0.55453756646817121</v>
      </c>
    </row>
    <row r="39" spans="1:11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spans="1:11" x14ac:dyDescent="0.2">
      <c r="A40" s="37" t="s">
        <v>11</v>
      </c>
      <c r="B40" s="38"/>
      <c r="C40" s="39">
        <v>-1</v>
      </c>
    </row>
  </sheetData>
  <sheetProtection sheet="1" objects="1" scenarios="1"/>
  <mergeCells count="1">
    <mergeCell ref="A1:K1"/>
  </mergeCells>
  <phoneticPr fontId="16" type="noConversion"/>
  <conditionalFormatting sqref="B39:K39">
    <cfRule type="containsText" dxfId="773" priority="42" operator="containsText" text="R">
      <formula>NOT(ISERROR(SEARCH("R",B39)))</formula>
    </cfRule>
    <cfRule type="containsText" dxfId="772" priority="43" operator="containsText" text="D">
      <formula>NOT(ISERROR(SEARCH("D",B39)))</formula>
    </cfRule>
    <cfRule type="containsText" dxfId="771" priority="44" operator="containsText" text="S">
      <formula>NOT(ISERROR(SEARCH("S",B39)))</formula>
    </cfRule>
    <cfRule type="containsText" dxfId="770" priority="45" operator="containsText" text="H">
      <formula>NOT(ISERROR(SEARCH("H",B39)))</formula>
    </cfRule>
  </conditionalFormatting>
  <conditionalFormatting sqref="B39:K39">
    <cfRule type="containsText" dxfId="769" priority="41" operator="containsText" text="P">
      <formula>NOT(ISERROR(SEARCH("P",B39)))</formula>
    </cfRule>
  </conditionalFormatting>
  <conditionalFormatting sqref="B3:K17">
    <cfRule type="containsText" dxfId="768" priority="27" operator="containsText" text="R">
      <formula>NOT(ISERROR(SEARCH("R",B3)))</formula>
    </cfRule>
    <cfRule type="containsText" dxfId="767" priority="28" operator="containsText" text="D">
      <formula>NOT(ISERROR(SEARCH("D",B3)))</formula>
    </cfRule>
    <cfRule type="containsText" dxfId="766" priority="29" operator="containsText" text="S">
      <formula>NOT(ISERROR(SEARCH("S",B3)))</formula>
    </cfRule>
    <cfRule type="containsText" dxfId="765" priority="30" operator="containsText" text="H">
      <formula>NOT(ISERROR(SEARCH("H",B3)))</formula>
    </cfRule>
  </conditionalFormatting>
  <conditionalFormatting sqref="B3:K17">
    <cfRule type="containsText" dxfId="764" priority="26" operator="containsText" text="P">
      <formula>NOT(ISERROR(SEARCH("P",B3)))</formula>
    </cfRule>
  </conditionalFormatting>
  <conditionalFormatting sqref="B3:K17">
    <cfRule type="colorScale" priority="25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conditionalFormatting sqref="B19:K27">
    <cfRule type="containsText" dxfId="763" priority="9" operator="containsText" text="R">
      <formula>NOT(ISERROR(SEARCH("R",B19)))</formula>
    </cfRule>
    <cfRule type="containsText" dxfId="762" priority="10" operator="containsText" text="D">
      <formula>NOT(ISERROR(SEARCH("D",B19)))</formula>
    </cfRule>
    <cfRule type="containsText" dxfId="761" priority="11" operator="containsText" text="S">
      <formula>NOT(ISERROR(SEARCH("S",B19)))</formula>
    </cfRule>
    <cfRule type="containsText" dxfId="760" priority="12" operator="containsText" text="H">
      <formula>NOT(ISERROR(SEARCH("H",B19)))</formula>
    </cfRule>
  </conditionalFormatting>
  <conditionalFormatting sqref="B19:K27">
    <cfRule type="containsText" dxfId="759" priority="8" operator="containsText" text="P">
      <formula>NOT(ISERROR(SEARCH("P",B19)))</formula>
    </cfRule>
  </conditionalFormatting>
  <conditionalFormatting sqref="B19:K27">
    <cfRule type="colorScale" priority="7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conditionalFormatting sqref="B29:K38">
    <cfRule type="containsText" dxfId="758" priority="3" operator="containsText" text="R">
      <formula>NOT(ISERROR(SEARCH("R",B29)))</formula>
    </cfRule>
    <cfRule type="containsText" dxfId="757" priority="4" operator="containsText" text="D">
      <formula>NOT(ISERROR(SEARCH("D",B29)))</formula>
    </cfRule>
    <cfRule type="containsText" dxfId="756" priority="5" operator="containsText" text="S">
      <formula>NOT(ISERROR(SEARCH("S",B29)))</formula>
    </cfRule>
    <cfRule type="containsText" dxfId="755" priority="6" operator="containsText" text="H">
      <formula>NOT(ISERROR(SEARCH("H",B29)))</formula>
    </cfRule>
  </conditionalFormatting>
  <conditionalFormatting sqref="B29:K38">
    <cfRule type="containsText" dxfId="754" priority="2" operator="containsText" text="P">
      <formula>NOT(ISERROR(SEARCH("P",B29)))</formula>
    </cfRule>
  </conditionalFormatting>
  <conditionalFormatting sqref="B29:K38">
    <cfRule type="colorScale" priority="1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pageMargins left="0.25" right="0.25" top="0.75" bottom="0.75" header="0.3" footer="0.3"/>
  <pageSetup paperSize="9" scale="84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1:L38"/>
  <sheetViews>
    <sheetView workbookViewId="0">
      <selection activeCell="B32" sqref="B32:L38"/>
    </sheetView>
  </sheetViews>
  <sheetFormatPr baseColWidth="10" defaultColWidth="8.83203125" defaultRowHeight="16" x14ac:dyDescent="0.2"/>
  <cols>
    <col min="2" max="2" width="5.5" style="31" bestFit="1" customWidth="1"/>
    <col min="3" max="12" width="4" style="31" customWidth="1"/>
    <col min="14" max="14" width="24.5" customWidth="1"/>
  </cols>
  <sheetData>
    <row r="1" spans="2:12" ht="21" x14ac:dyDescent="0.25">
      <c r="B1" s="325" t="s">
        <v>23</v>
      </c>
      <c r="C1" s="325"/>
      <c r="D1" s="325"/>
      <c r="E1" s="325"/>
      <c r="F1" s="325"/>
      <c r="G1" s="325"/>
      <c r="H1" s="325"/>
      <c r="I1" s="325"/>
      <c r="J1" s="325"/>
      <c r="K1" s="325"/>
      <c r="L1" s="325"/>
    </row>
    <row r="2" spans="2:12" x14ac:dyDescent="0.2">
      <c r="B2" s="48" t="s">
        <v>9</v>
      </c>
      <c r="C2" s="48" t="s">
        <v>22</v>
      </c>
      <c r="D2" s="48">
        <v>2</v>
      </c>
      <c r="E2" s="48">
        <v>3</v>
      </c>
      <c r="F2" s="48">
        <v>4</v>
      </c>
      <c r="G2" s="48">
        <v>5</v>
      </c>
      <c r="H2" s="48">
        <v>6</v>
      </c>
      <c r="I2" s="48">
        <v>7</v>
      </c>
      <c r="J2" s="48">
        <v>8</v>
      </c>
      <c r="K2" s="48">
        <v>9</v>
      </c>
      <c r="L2" s="48">
        <v>10</v>
      </c>
    </row>
    <row r="3" spans="2:12" x14ac:dyDescent="0.2">
      <c r="B3" s="48" t="s">
        <v>20</v>
      </c>
      <c r="C3" s="49" t="str">
        <f>HSDR!O8</f>
        <v>H</v>
      </c>
      <c r="D3" s="49" t="str">
        <f>HSDR!P8</f>
        <v>H</v>
      </c>
      <c r="E3" s="49" t="str">
        <f>HSDR!Q8</f>
        <v>H</v>
      </c>
      <c r="F3" s="49" t="str">
        <f>HSDR!R8</f>
        <v>H</v>
      </c>
      <c r="G3" s="49" t="str">
        <f>HSDR!S8</f>
        <v>H</v>
      </c>
      <c r="H3" s="49" t="str">
        <f>HSDR!T8</f>
        <v>H</v>
      </c>
      <c r="I3" s="49" t="str">
        <f>HSDR!U8</f>
        <v>H</v>
      </c>
      <c r="J3" s="49" t="str">
        <f>HSDR!V8</f>
        <v>H</v>
      </c>
      <c r="K3" s="49" t="str">
        <f>HSDR!W8</f>
        <v>H</v>
      </c>
      <c r="L3" s="49" t="str">
        <f>HSDR!X8</f>
        <v>H</v>
      </c>
    </row>
    <row r="4" spans="2:12" x14ac:dyDescent="0.2">
      <c r="B4" s="48">
        <v>9</v>
      </c>
      <c r="C4" s="49" t="str">
        <f>HSDR!O9</f>
        <v>H</v>
      </c>
      <c r="D4" s="49" t="str">
        <f>HSDR!P9</f>
        <v>H</v>
      </c>
      <c r="E4" s="49" t="str">
        <f>HSDR!Q9</f>
        <v>D</v>
      </c>
      <c r="F4" s="49" t="str">
        <f>HSDR!R9</f>
        <v>D</v>
      </c>
      <c r="G4" s="49" t="str">
        <f>HSDR!S9</f>
        <v>D</v>
      </c>
      <c r="H4" s="49" t="str">
        <f>HSDR!T9</f>
        <v>D</v>
      </c>
      <c r="I4" s="49" t="str">
        <f>HSDR!U9</f>
        <v>H</v>
      </c>
      <c r="J4" s="49" t="str">
        <f>HSDR!V9</f>
        <v>H</v>
      </c>
      <c r="K4" s="49" t="str">
        <f>HSDR!W9</f>
        <v>H</v>
      </c>
      <c r="L4" s="49" t="str">
        <f>HSDR!X9</f>
        <v>H</v>
      </c>
    </row>
    <row r="5" spans="2:12" x14ac:dyDescent="0.2">
      <c r="B5" s="48">
        <v>10</v>
      </c>
      <c r="C5" s="49" t="str">
        <f>HSDR!O10</f>
        <v>H</v>
      </c>
      <c r="D5" s="49" t="str">
        <f>HSDR!P10</f>
        <v>D</v>
      </c>
      <c r="E5" s="49" t="str">
        <f>HSDR!Q10</f>
        <v>D</v>
      </c>
      <c r="F5" s="49" t="str">
        <f>HSDR!R10</f>
        <v>D</v>
      </c>
      <c r="G5" s="49" t="str">
        <f>HSDR!S10</f>
        <v>D</v>
      </c>
      <c r="H5" s="49" t="str">
        <f>HSDR!T10</f>
        <v>D</v>
      </c>
      <c r="I5" s="49" t="str">
        <f>HSDR!U10</f>
        <v>D</v>
      </c>
      <c r="J5" s="49" t="str">
        <f>HSDR!V10</f>
        <v>D</v>
      </c>
      <c r="K5" s="49" t="str">
        <f>HSDR!W10</f>
        <v>D</v>
      </c>
      <c r="L5" s="49" t="str">
        <f>HSDR!X10</f>
        <v>H</v>
      </c>
    </row>
    <row r="6" spans="2:12" x14ac:dyDescent="0.2">
      <c r="B6" s="48">
        <v>11</v>
      </c>
      <c r="C6" s="49" t="str">
        <f>HSDR!O11</f>
        <v>H</v>
      </c>
      <c r="D6" s="49" t="str">
        <f>HSDR!P11</f>
        <v>D</v>
      </c>
      <c r="E6" s="49" t="str">
        <f>HSDR!Q11</f>
        <v>D</v>
      </c>
      <c r="F6" s="49" t="str">
        <f>HSDR!R11</f>
        <v>D</v>
      </c>
      <c r="G6" s="49" t="str">
        <f>HSDR!S11</f>
        <v>D</v>
      </c>
      <c r="H6" s="49" t="str">
        <f>HSDR!T11</f>
        <v>D</v>
      </c>
      <c r="I6" s="49" t="str">
        <f>HSDR!U11</f>
        <v>D</v>
      </c>
      <c r="J6" s="49" t="str">
        <f>HSDR!V11</f>
        <v>D</v>
      </c>
      <c r="K6" s="49" t="str">
        <f>HSDR!W11</f>
        <v>D</v>
      </c>
      <c r="L6" s="49" t="str">
        <f>HSDR!X11</f>
        <v>D</v>
      </c>
    </row>
    <row r="7" spans="2:12" x14ac:dyDescent="0.2">
      <c r="B7" s="48">
        <v>12</v>
      </c>
      <c r="C7" s="49" t="str">
        <f>HSDR!O12</f>
        <v>H</v>
      </c>
      <c r="D7" s="49" t="str">
        <f>HSDR!P12</f>
        <v>H</v>
      </c>
      <c r="E7" s="49" t="str">
        <f>HSDR!Q12</f>
        <v>H</v>
      </c>
      <c r="F7" s="49" t="str">
        <f>HSDR!R12</f>
        <v>S</v>
      </c>
      <c r="G7" s="49" t="str">
        <f>HSDR!S12</f>
        <v>S</v>
      </c>
      <c r="H7" s="49" t="str">
        <f>HSDR!T12</f>
        <v>S</v>
      </c>
      <c r="I7" s="49" t="str">
        <f>HSDR!U12</f>
        <v>H</v>
      </c>
      <c r="J7" s="49" t="str">
        <f>HSDR!V12</f>
        <v>H</v>
      </c>
      <c r="K7" s="49" t="str">
        <f>HSDR!W12</f>
        <v>H</v>
      </c>
      <c r="L7" s="49" t="str">
        <f>HSDR!X12</f>
        <v>H</v>
      </c>
    </row>
    <row r="8" spans="2:12" x14ac:dyDescent="0.2">
      <c r="B8" s="48">
        <v>13</v>
      </c>
      <c r="C8" s="49" t="str">
        <f>HSDR!O13</f>
        <v>H</v>
      </c>
      <c r="D8" s="49" t="str">
        <f>HSDR!P13</f>
        <v>S</v>
      </c>
      <c r="E8" s="49" t="str">
        <f>HSDR!Q13</f>
        <v>S</v>
      </c>
      <c r="F8" s="49" t="str">
        <f>HSDR!R13</f>
        <v>S</v>
      </c>
      <c r="G8" s="49" t="str">
        <f>HSDR!S13</f>
        <v>S</v>
      </c>
      <c r="H8" s="49" t="str">
        <f>HSDR!T13</f>
        <v>S</v>
      </c>
      <c r="I8" s="49" t="str">
        <f>HSDR!U13</f>
        <v>H</v>
      </c>
      <c r="J8" s="49" t="str">
        <f>HSDR!V13</f>
        <v>H</v>
      </c>
      <c r="K8" s="49" t="str">
        <f>HSDR!W13</f>
        <v>H</v>
      </c>
      <c r="L8" s="49" t="str">
        <f>HSDR!X13</f>
        <v>H</v>
      </c>
    </row>
    <row r="9" spans="2:12" x14ac:dyDescent="0.2">
      <c r="B9" s="48">
        <v>14</v>
      </c>
      <c r="C9" s="49" t="str">
        <f>HSDR!O14</f>
        <v>H</v>
      </c>
      <c r="D9" s="49" t="str">
        <f>HSDR!P14</f>
        <v>S</v>
      </c>
      <c r="E9" s="49" t="str">
        <f>HSDR!Q14</f>
        <v>S</v>
      </c>
      <c r="F9" s="49" t="str">
        <f>HSDR!R14</f>
        <v>S</v>
      </c>
      <c r="G9" s="49" t="str">
        <f>HSDR!S14</f>
        <v>S</v>
      </c>
      <c r="H9" s="49" t="str">
        <f>HSDR!T14</f>
        <v>S</v>
      </c>
      <c r="I9" s="49" t="str">
        <f>HSDR!U14</f>
        <v>H</v>
      </c>
      <c r="J9" s="49" t="str">
        <f>HSDR!V14</f>
        <v>H</v>
      </c>
      <c r="K9" s="49" t="str">
        <f>HSDR!W14</f>
        <v>H</v>
      </c>
      <c r="L9" s="49" t="str">
        <f>HSDR!X14</f>
        <v>H</v>
      </c>
    </row>
    <row r="10" spans="2:12" x14ac:dyDescent="0.2">
      <c r="B10" s="48">
        <v>15</v>
      </c>
      <c r="C10" s="49" t="str">
        <f>HSDR!O15</f>
        <v>H</v>
      </c>
      <c r="D10" s="49" t="str">
        <f>HSDR!P15</f>
        <v>S</v>
      </c>
      <c r="E10" s="49" t="str">
        <f>HSDR!Q15</f>
        <v>S</v>
      </c>
      <c r="F10" s="49" t="str">
        <f>HSDR!R15</f>
        <v>S</v>
      </c>
      <c r="G10" s="49" t="str">
        <f>HSDR!S15</f>
        <v>S</v>
      </c>
      <c r="H10" s="49" t="str">
        <f>HSDR!T15</f>
        <v>S</v>
      </c>
      <c r="I10" s="49" t="str">
        <f>HSDR!U15</f>
        <v>H</v>
      </c>
      <c r="J10" s="49" t="str">
        <f>HSDR!V15</f>
        <v>H</v>
      </c>
      <c r="K10" s="49" t="str">
        <f>HSDR!W15</f>
        <v>H</v>
      </c>
      <c r="L10" s="49" t="str">
        <f>HSDR!X15</f>
        <v>R</v>
      </c>
    </row>
    <row r="11" spans="2:12" x14ac:dyDescent="0.2">
      <c r="B11" s="48">
        <v>16</v>
      </c>
      <c r="C11" s="49" t="str">
        <f>HSDR!O16</f>
        <v>R</v>
      </c>
      <c r="D11" s="49" t="str">
        <f>HSDR!P16</f>
        <v>S</v>
      </c>
      <c r="E11" s="49" t="str">
        <f>HSDR!Q16</f>
        <v>S</v>
      </c>
      <c r="F11" s="49" t="str">
        <f>HSDR!R16</f>
        <v>S</v>
      </c>
      <c r="G11" s="49" t="str">
        <f>HSDR!S16</f>
        <v>S</v>
      </c>
      <c r="H11" s="49" t="str">
        <f>HSDR!T16</f>
        <v>S</v>
      </c>
      <c r="I11" s="49" t="str">
        <f>HSDR!U16</f>
        <v>H</v>
      </c>
      <c r="J11" s="49" t="str">
        <f>HSDR!V16</f>
        <v>H</v>
      </c>
      <c r="K11" s="49" t="str">
        <f>HSDR!W16</f>
        <v>R</v>
      </c>
      <c r="L11" s="49" t="str">
        <f>HSDR!X16</f>
        <v>R</v>
      </c>
    </row>
    <row r="12" spans="2:12" x14ac:dyDescent="0.2">
      <c r="B12" s="48" t="s">
        <v>21</v>
      </c>
      <c r="C12" s="49" t="str">
        <f>HSDR!O17</f>
        <v>S</v>
      </c>
      <c r="D12" s="49" t="str">
        <f>HSDR!P17</f>
        <v>S</v>
      </c>
      <c r="E12" s="49" t="str">
        <f>HSDR!Q17</f>
        <v>S</v>
      </c>
      <c r="F12" s="49" t="str">
        <f>HSDR!R17</f>
        <v>S</v>
      </c>
      <c r="G12" s="49" t="str">
        <f>HSDR!S17</f>
        <v>S</v>
      </c>
      <c r="H12" s="49" t="str">
        <f>HSDR!T17</f>
        <v>S</v>
      </c>
      <c r="I12" s="49" t="str">
        <f>HSDR!U17</f>
        <v>S</v>
      </c>
      <c r="J12" s="49" t="str">
        <f>HSDR!V17</f>
        <v>S</v>
      </c>
      <c r="K12" s="49" t="str">
        <f>HSDR!W17</f>
        <v>S</v>
      </c>
      <c r="L12" s="49" t="str">
        <f>HSDR!X17</f>
        <v>S</v>
      </c>
    </row>
    <row r="13" spans="2:12" x14ac:dyDescent="0.2">
      <c r="B13" s="48" t="s">
        <v>4</v>
      </c>
      <c r="C13" s="48" t="s">
        <v>22</v>
      </c>
      <c r="D13" s="48">
        <v>2</v>
      </c>
      <c r="E13" s="48">
        <v>3</v>
      </c>
      <c r="F13" s="48">
        <v>4</v>
      </c>
      <c r="G13" s="48">
        <v>5</v>
      </c>
      <c r="H13" s="48">
        <v>6</v>
      </c>
      <c r="I13" s="48">
        <v>7</v>
      </c>
      <c r="J13" s="48">
        <v>8</v>
      </c>
      <c r="K13" s="48">
        <v>9</v>
      </c>
      <c r="L13" s="48">
        <v>10</v>
      </c>
    </row>
    <row r="14" spans="2:12" x14ac:dyDescent="0.2">
      <c r="B14" s="48">
        <v>13</v>
      </c>
      <c r="C14" s="49" t="str">
        <f>HSDR!O36</f>
        <v>H</v>
      </c>
      <c r="D14" s="49" t="str">
        <f>HSDR!P36</f>
        <v>H</v>
      </c>
      <c r="E14" s="49" t="str">
        <f>HSDR!Q36</f>
        <v>H</v>
      </c>
      <c r="F14" s="49" t="str">
        <f>HSDR!R36</f>
        <v>H</v>
      </c>
      <c r="G14" s="49" t="str">
        <f>HSDR!S36</f>
        <v>H</v>
      </c>
      <c r="H14" s="49" t="str">
        <f>HSDR!T36</f>
        <v>D</v>
      </c>
      <c r="I14" s="49" t="str">
        <f>HSDR!U36</f>
        <v>H</v>
      </c>
      <c r="J14" s="49" t="str">
        <f>HSDR!V36</f>
        <v>H</v>
      </c>
      <c r="K14" s="49" t="str">
        <f>HSDR!W36</f>
        <v>H</v>
      </c>
      <c r="L14" s="49" t="str">
        <f>HSDR!X36</f>
        <v>H</v>
      </c>
    </row>
    <row r="15" spans="2:12" x14ac:dyDescent="0.2">
      <c r="B15" s="48">
        <v>14</v>
      </c>
      <c r="C15" s="49" t="str">
        <f>HSDR!O37</f>
        <v>H</v>
      </c>
      <c r="D15" s="49" t="str">
        <f>HSDR!P37</f>
        <v>H</v>
      </c>
      <c r="E15" s="49" t="str">
        <f>HSDR!Q37</f>
        <v>H</v>
      </c>
      <c r="F15" s="49" t="str">
        <f>HSDR!R37</f>
        <v>H</v>
      </c>
      <c r="G15" s="49" t="str">
        <f>HSDR!S37</f>
        <v>D</v>
      </c>
      <c r="H15" s="49" t="str">
        <f>HSDR!T37</f>
        <v>D</v>
      </c>
      <c r="I15" s="49" t="str">
        <f>HSDR!U37</f>
        <v>H</v>
      </c>
      <c r="J15" s="49" t="str">
        <f>HSDR!V37</f>
        <v>H</v>
      </c>
      <c r="K15" s="49" t="str">
        <f>HSDR!W37</f>
        <v>H</v>
      </c>
      <c r="L15" s="49" t="str">
        <f>HSDR!X37</f>
        <v>H</v>
      </c>
    </row>
    <row r="16" spans="2:12" x14ac:dyDescent="0.2">
      <c r="B16" s="48">
        <v>15</v>
      </c>
      <c r="C16" s="49" t="str">
        <f>HSDR!O38</f>
        <v>H</v>
      </c>
      <c r="D16" s="49" t="str">
        <f>HSDR!P38</f>
        <v>H</v>
      </c>
      <c r="E16" s="49" t="str">
        <f>HSDR!Q38</f>
        <v>H</v>
      </c>
      <c r="F16" s="49" t="str">
        <f>HSDR!R38</f>
        <v>H</v>
      </c>
      <c r="G16" s="49" t="str">
        <f>HSDR!S38</f>
        <v>D</v>
      </c>
      <c r="H16" s="49" t="str">
        <f>HSDR!T38</f>
        <v>D</v>
      </c>
      <c r="I16" s="49" t="str">
        <f>HSDR!U38</f>
        <v>H</v>
      </c>
      <c r="J16" s="49" t="str">
        <f>HSDR!V38</f>
        <v>H</v>
      </c>
      <c r="K16" s="49" t="str">
        <f>HSDR!W38</f>
        <v>H</v>
      </c>
      <c r="L16" s="49" t="str">
        <f>HSDR!X38</f>
        <v>H</v>
      </c>
    </row>
    <row r="17" spans="2:12" x14ac:dyDescent="0.2">
      <c r="B17" s="48">
        <v>16</v>
      </c>
      <c r="C17" s="49" t="str">
        <f>HSDR!O39</f>
        <v>H</v>
      </c>
      <c r="D17" s="49" t="str">
        <f>HSDR!P39</f>
        <v>H</v>
      </c>
      <c r="E17" s="49" t="str">
        <f>HSDR!Q39</f>
        <v>H</v>
      </c>
      <c r="F17" s="49" t="str">
        <f>HSDR!R39</f>
        <v>D</v>
      </c>
      <c r="G17" s="49" t="str">
        <f>HSDR!S39</f>
        <v>D</v>
      </c>
      <c r="H17" s="49" t="str">
        <f>HSDR!T39</f>
        <v>D</v>
      </c>
      <c r="I17" s="49" t="str">
        <f>HSDR!U39</f>
        <v>H</v>
      </c>
      <c r="J17" s="49" t="str">
        <f>HSDR!V39</f>
        <v>H</v>
      </c>
      <c r="K17" s="49" t="str">
        <f>HSDR!W39</f>
        <v>H</v>
      </c>
      <c r="L17" s="49" t="str">
        <f>HSDR!X39</f>
        <v>H</v>
      </c>
    </row>
    <row r="18" spans="2:12" x14ac:dyDescent="0.2">
      <c r="B18" s="48">
        <v>17</v>
      </c>
      <c r="C18" s="49" t="str">
        <f>HSDR!O40</f>
        <v>H</v>
      </c>
      <c r="D18" s="49" t="str">
        <f>HSDR!P40</f>
        <v>H</v>
      </c>
      <c r="E18" s="49" t="str">
        <f>HSDR!Q40</f>
        <v>D</v>
      </c>
      <c r="F18" s="49" t="str">
        <f>HSDR!R40</f>
        <v>D</v>
      </c>
      <c r="G18" s="49" t="str">
        <f>HSDR!S40</f>
        <v>D</v>
      </c>
      <c r="H18" s="49" t="str">
        <f>HSDR!T40</f>
        <v>D</v>
      </c>
      <c r="I18" s="49" t="str">
        <f>HSDR!U40</f>
        <v>H</v>
      </c>
      <c r="J18" s="49" t="str">
        <f>HSDR!V40</f>
        <v>H</v>
      </c>
      <c r="K18" s="49" t="str">
        <f>HSDR!W40</f>
        <v>H</v>
      </c>
      <c r="L18" s="49" t="str">
        <f>HSDR!X40</f>
        <v>H</v>
      </c>
    </row>
    <row r="19" spans="2:12" x14ac:dyDescent="0.2">
      <c r="B19" s="48">
        <v>18</v>
      </c>
      <c r="C19" s="49" t="str">
        <f>HSDR!O41</f>
        <v>H</v>
      </c>
      <c r="D19" s="49" t="str">
        <f>HSDR!P41</f>
        <v>S</v>
      </c>
      <c r="E19" s="49" t="str">
        <f>HSDR!Q41</f>
        <v>D</v>
      </c>
      <c r="F19" s="49" t="str">
        <f>HSDR!R41</f>
        <v>D</v>
      </c>
      <c r="G19" s="49" t="str">
        <f>HSDR!S41</f>
        <v>D</v>
      </c>
      <c r="H19" s="49" t="str">
        <f>HSDR!T41</f>
        <v>D</v>
      </c>
      <c r="I19" s="49" t="str">
        <f>HSDR!U41</f>
        <v>S</v>
      </c>
      <c r="J19" s="49" t="str">
        <f>HSDR!V41</f>
        <v>S</v>
      </c>
      <c r="K19" s="49" t="str">
        <f>HSDR!W41</f>
        <v>H</v>
      </c>
      <c r="L19" s="49" t="str">
        <f>HSDR!X41</f>
        <v>H</v>
      </c>
    </row>
    <row r="20" spans="2:12" x14ac:dyDescent="0.2">
      <c r="B20" s="48">
        <v>19</v>
      </c>
      <c r="C20" s="49" t="str">
        <f>HSDR!O42</f>
        <v>S</v>
      </c>
      <c r="D20" s="49" t="str">
        <f>HSDR!P42</f>
        <v>S</v>
      </c>
      <c r="E20" s="49" t="str">
        <f>HSDR!Q42</f>
        <v>S</v>
      </c>
      <c r="F20" s="49" t="str">
        <f>HSDR!R42</f>
        <v>S</v>
      </c>
      <c r="G20" s="49" t="str">
        <f>HSDR!S42</f>
        <v>S</v>
      </c>
      <c r="H20" s="49" t="str">
        <f>HSDR!T42</f>
        <v>S</v>
      </c>
      <c r="I20" s="49" t="str">
        <f>HSDR!U42</f>
        <v>S</v>
      </c>
      <c r="J20" s="49" t="str">
        <f>HSDR!V42</f>
        <v>S</v>
      </c>
      <c r="K20" s="49" t="str">
        <f>HSDR!W42</f>
        <v>S</v>
      </c>
      <c r="L20" s="49" t="str">
        <f>HSDR!X42</f>
        <v>S</v>
      </c>
    </row>
    <row r="21" spans="2:12" x14ac:dyDescent="0.2">
      <c r="B21" s="48" t="s">
        <v>10</v>
      </c>
      <c r="C21" s="48" t="s">
        <v>22</v>
      </c>
      <c r="D21" s="48">
        <v>2</v>
      </c>
      <c r="E21" s="48">
        <v>3</v>
      </c>
      <c r="F21" s="48">
        <v>4</v>
      </c>
      <c r="G21" s="48">
        <v>5</v>
      </c>
      <c r="H21" s="48">
        <v>6</v>
      </c>
      <c r="I21" s="48">
        <v>7</v>
      </c>
      <c r="J21" s="48">
        <v>8</v>
      </c>
      <c r="K21" s="48">
        <v>9</v>
      </c>
      <c r="L21" s="48">
        <v>10</v>
      </c>
    </row>
    <row r="22" spans="2:12" x14ac:dyDescent="0.2">
      <c r="B22" s="48" t="s">
        <v>22</v>
      </c>
      <c r="C22" s="49" t="str">
        <f>Pair!O2</f>
        <v>P</v>
      </c>
      <c r="D22" s="49" t="str">
        <f>Pair!P2</f>
        <v>P</v>
      </c>
      <c r="E22" s="49" t="str">
        <f>Pair!Q2</f>
        <v>P</v>
      </c>
      <c r="F22" s="49" t="str">
        <f>Pair!R2</f>
        <v>P</v>
      </c>
      <c r="G22" s="49" t="str">
        <f>Pair!S2</f>
        <v>P</v>
      </c>
      <c r="H22" s="49" t="str">
        <f>Pair!T2</f>
        <v>P</v>
      </c>
      <c r="I22" s="49" t="str">
        <f>Pair!U2</f>
        <v>P</v>
      </c>
      <c r="J22" s="49" t="str">
        <f>Pair!V2</f>
        <v>P</v>
      </c>
      <c r="K22" s="49" t="str">
        <f>Pair!W2</f>
        <v>P</v>
      </c>
      <c r="L22" s="49" t="str">
        <f>Pair!X2</f>
        <v>P</v>
      </c>
    </row>
    <row r="23" spans="2:12" x14ac:dyDescent="0.2">
      <c r="B23" s="48">
        <v>2</v>
      </c>
      <c r="C23" s="49" t="str">
        <f>Pair!O3</f>
        <v>H</v>
      </c>
      <c r="D23" s="49" t="str">
        <f>Pair!P3</f>
        <v>P</v>
      </c>
      <c r="E23" s="49" t="str">
        <f>Pair!Q3</f>
        <v>P</v>
      </c>
      <c r="F23" s="49" t="str">
        <f>Pair!R3</f>
        <v>P</v>
      </c>
      <c r="G23" s="49" t="str">
        <f>Pair!S3</f>
        <v>P</v>
      </c>
      <c r="H23" s="49" t="str">
        <f>Pair!T3</f>
        <v>P</v>
      </c>
      <c r="I23" s="49" t="str">
        <f>Pair!U3</f>
        <v>P</v>
      </c>
      <c r="J23" s="49" t="str">
        <f>Pair!V3</f>
        <v>H</v>
      </c>
      <c r="K23" s="49" t="str">
        <f>Pair!W3</f>
        <v>H</v>
      </c>
      <c r="L23" s="49" t="str">
        <f>Pair!X3</f>
        <v>H</v>
      </c>
    </row>
    <row r="24" spans="2:12" x14ac:dyDescent="0.2">
      <c r="B24" s="48">
        <v>3</v>
      </c>
      <c r="C24" s="49" t="str">
        <f>Pair!O4</f>
        <v>H</v>
      </c>
      <c r="D24" s="49" t="str">
        <f>Pair!P4</f>
        <v>P</v>
      </c>
      <c r="E24" s="49" t="str">
        <f>Pair!Q4</f>
        <v>P</v>
      </c>
      <c r="F24" s="49" t="str">
        <f>Pair!R4</f>
        <v>P</v>
      </c>
      <c r="G24" s="49" t="str">
        <f>Pair!S4</f>
        <v>P</v>
      </c>
      <c r="H24" s="49" t="str">
        <f>Pair!T4</f>
        <v>P</v>
      </c>
      <c r="I24" s="49" t="str">
        <f>Pair!U4</f>
        <v>P</v>
      </c>
      <c r="J24" s="49" t="str">
        <f>Pair!V4</f>
        <v>H</v>
      </c>
      <c r="K24" s="49" t="str">
        <f>Pair!W4</f>
        <v>H</v>
      </c>
      <c r="L24" s="49" t="str">
        <f>Pair!X4</f>
        <v>H</v>
      </c>
    </row>
    <row r="25" spans="2:12" x14ac:dyDescent="0.2">
      <c r="B25" s="48">
        <v>4</v>
      </c>
      <c r="C25" s="49" t="str">
        <f>Pair!O5</f>
        <v>H</v>
      </c>
      <c r="D25" s="49" t="str">
        <f>Pair!P5</f>
        <v>H</v>
      </c>
      <c r="E25" s="49" t="str">
        <f>Pair!Q5</f>
        <v>H</v>
      </c>
      <c r="F25" s="49" t="str">
        <f>Pair!R5</f>
        <v>H</v>
      </c>
      <c r="G25" s="49" t="str">
        <f>Pair!S5</f>
        <v>P</v>
      </c>
      <c r="H25" s="49" t="str">
        <f>Pair!T5</f>
        <v>P</v>
      </c>
      <c r="I25" s="49" t="str">
        <f>Pair!U5</f>
        <v>H</v>
      </c>
      <c r="J25" s="49" t="str">
        <f>Pair!V5</f>
        <v>H</v>
      </c>
      <c r="K25" s="49" t="str">
        <f>Pair!W5</f>
        <v>H</v>
      </c>
      <c r="L25" s="49" t="str">
        <f>Pair!X5</f>
        <v>H</v>
      </c>
    </row>
    <row r="26" spans="2:12" x14ac:dyDescent="0.2">
      <c r="B26" s="48">
        <v>5</v>
      </c>
      <c r="C26" s="49" t="str">
        <f>Pair!O6</f>
        <v>H</v>
      </c>
      <c r="D26" s="49" t="str">
        <f>Pair!P6</f>
        <v>D</v>
      </c>
      <c r="E26" s="49" t="str">
        <f>Pair!Q6</f>
        <v>D</v>
      </c>
      <c r="F26" s="49" t="str">
        <f>Pair!R6</f>
        <v>D</v>
      </c>
      <c r="G26" s="49" t="str">
        <f>Pair!S6</f>
        <v>D</v>
      </c>
      <c r="H26" s="49" t="str">
        <f>Pair!T6</f>
        <v>D</v>
      </c>
      <c r="I26" s="49" t="str">
        <f>Pair!U6</f>
        <v>D</v>
      </c>
      <c r="J26" s="49" t="str">
        <f>Pair!V6</f>
        <v>D</v>
      </c>
      <c r="K26" s="49" t="str">
        <f>Pair!W6</f>
        <v>D</v>
      </c>
      <c r="L26" s="49" t="str">
        <f>Pair!X6</f>
        <v>H</v>
      </c>
    </row>
    <row r="27" spans="2:12" x14ac:dyDescent="0.2">
      <c r="B27" s="48">
        <v>6</v>
      </c>
      <c r="C27" s="49" t="str">
        <f>Pair!O7</f>
        <v>H</v>
      </c>
      <c r="D27" s="49" t="str">
        <f>Pair!P7</f>
        <v>P</v>
      </c>
      <c r="E27" s="49" t="str">
        <f>Pair!Q7</f>
        <v>P</v>
      </c>
      <c r="F27" s="49" t="str">
        <f>Pair!R7</f>
        <v>P</v>
      </c>
      <c r="G27" s="49" t="str">
        <f>Pair!S7</f>
        <v>P</v>
      </c>
      <c r="H27" s="49" t="str">
        <f>Pair!T7</f>
        <v>P</v>
      </c>
      <c r="I27" s="49" t="str">
        <f>Pair!U7</f>
        <v>H</v>
      </c>
      <c r="J27" s="49" t="str">
        <f>Pair!V7</f>
        <v>H</v>
      </c>
      <c r="K27" s="49" t="str">
        <f>Pair!W7</f>
        <v>H</v>
      </c>
      <c r="L27" s="49" t="str">
        <f>Pair!X7</f>
        <v>H</v>
      </c>
    </row>
    <row r="28" spans="2:12" x14ac:dyDescent="0.2">
      <c r="B28" s="48">
        <v>7</v>
      </c>
      <c r="C28" s="49" t="str">
        <f>Pair!O8</f>
        <v>H</v>
      </c>
      <c r="D28" s="49" t="str">
        <f>Pair!P8</f>
        <v>P</v>
      </c>
      <c r="E28" s="49" t="str">
        <f>Pair!Q8</f>
        <v>P</v>
      </c>
      <c r="F28" s="49" t="str">
        <f>Pair!R8</f>
        <v>P</v>
      </c>
      <c r="G28" s="49" t="str">
        <f>Pair!S8</f>
        <v>P</v>
      </c>
      <c r="H28" s="49" t="str">
        <f>Pair!T8</f>
        <v>P</v>
      </c>
      <c r="I28" s="49" t="str">
        <f>Pair!U8</f>
        <v>P</v>
      </c>
      <c r="J28" s="49" t="str">
        <f>Pair!V8</f>
        <v>H</v>
      </c>
      <c r="K28" s="49" t="str">
        <f>Pair!W8</f>
        <v>H</v>
      </c>
      <c r="L28" s="49" t="str">
        <f>Pair!X8</f>
        <v>H</v>
      </c>
    </row>
    <row r="29" spans="2:12" x14ac:dyDescent="0.2">
      <c r="B29" s="48">
        <v>8</v>
      </c>
      <c r="C29" s="49" t="str">
        <f>Pair!O9</f>
        <v>P</v>
      </c>
      <c r="D29" s="49" t="str">
        <f>Pair!P9</f>
        <v>P</v>
      </c>
      <c r="E29" s="49" t="str">
        <f>Pair!Q9</f>
        <v>P</v>
      </c>
      <c r="F29" s="49" t="str">
        <f>Pair!R9</f>
        <v>P</v>
      </c>
      <c r="G29" s="49" t="str">
        <f>Pair!S9</f>
        <v>P</v>
      </c>
      <c r="H29" s="49" t="str">
        <f>Pair!T9</f>
        <v>P</v>
      </c>
      <c r="I29" s="49" t="str">
        <f>Pair!U9</f>
        <v>P</v>
      </c>
      <c r="J29" s="49" t="str">
        <f>Pair!V9</f>
        <v>P</v>
      </c>
      <c r="K29" s="49" t="str">
        <f>Pair!W9</f>
        <v>P</v>
      </c>
      <c r="L29" s="49" t="str">
        <f>Pair!X9</f>
        <v>P</v>
      </c>
    </row>
    <row r="30" spans="2:12" x14ac:dyDescent="0.2">
      <c r="B30" s="48">
        <v>9</v>
      </c>
      <c r="C30" s="49" t="str">
        <f>Pair!O10</f>
        <v>S</v>
      </c>
      <c r="D30" s="49" t="str">
        <f>Pair!P10</f>
        <v>P</v>
      </c>
      <c r="E30" s="49" t="str">
        <f>Pair!Q10</f>
        <v>P</v>
      </c>
      <c r="F30" s="49" t="str">
        <f>Pair!R10</f>
        <v>P</v>
      </c>
      <c r="G30" s="49" t="str">
        <f>Pair!S10</f>
        <v>P</v>
      </c>
      <c r="H30" s="49" t="str">
        <f>Pair!T10</f>
        <v>P</v>
      </c>
      <c r="I30" s="49" t="str">
        <f>Pair!U10</f>
        <v>S</v>
      </c>
      <c r="J30" s="49" t="str">
        <f>Pair!V10</f>
        <v>P</v>
      </c>
      <c r="K30" s="49" t="str">
        <f>Pair!W10</f>
        <v>P</v>
      </c>
      <c r="L30" s="49" t="str">
        <f>Pair!X10</f>
        <v>S</v>
      </c>
    </row>
    <row r="31" spans="2:12" x14ac:dyDescent="0.2">
      <c r="B31" s="48">
        <v>10</v>
      </c>
      <c r="C31" s="49" t="str">
        <f>Pair!O11</f>
        <v>S</v>
      </c>
      <c r="D31" s="49" t="str">
        <f>Pair!P11</f>
        <v>S</v>
      </c>
      <c r="E31" s="49" t="str">
        <f>Pair!Q11</f>
        <v>S</v>
      </c>
      <c r="F31" s="49" t="str">
        <f>Pair!R11</f>
        <v>S</v>
      </c>
      <c r="G31" s="49" t="str">
        <f>Pair!S11</f>
        <v>S</v>
      </c>
      <c r="H31" s="49" t="str">
        <f>Pair!T11</f>
        <v>S</v>
      </c>
      <c r="I31" s="49" t="str">
        <f>Pair!U11</f>
        <v>S</v>
      </c>
      <c r="J31" s="49" t="str">
        <f>Pair!V11</f>
        <v>S</v>
      </c>
      <c r="K31" s="49" t="str">
        <f>Pair!W11</f>
        <v>S</v>
      </c>
      <c r="L31" s="49" t="str">
        <f>Pair!X11</f>
        <v>S</v>
      </c>
    </row>
    <row r="32" spans="2:12" x14ac:dyDescent="0.2">
      <c r="B32" s="302" t="str">
        <f>"EV = " &amp; EV!$H$46</f>
        <v>EV = -0.00484877540191618</v>
      </c>
      <c r="C32" s="302"/>
      <c r="D32" s="302"/>
      <c r="E32" s="302"/>
      <c r="F32" s="302"/>
      <c r="G32" s="302"/>
      <c r="H32" s="302"/>
      <c r="I32" s="302"/>
      <c r="J32" s="302"/>
      <c r="K32" s="302"/>
      <c r="L32" s="302"/>
    </row>
    <row r="33" spans="2:12" x14ac:dyDescent="0.2">
      <c r="B33" s="302" t="str">
        <f>"EV = " &amp; EV!H46*100 &amp; " %"</f>
        <v>EV = -0.484877540191618 %</v>
      </c>
      <c r="C33" s="302"/>
      <c r="D33" s="302"/>
      <c r="E33" s="302"/>
      <c r="F33" s="302"/>
      <c r="G33" s="302"/>
      <c r="H33" s="302"/>
      <c r="I33" s="302"/>
      <c r="J33" s="302"/>
      <c r="K33" s="302"/>
      <c r="L33" s="302"/>
    </row>
    <row r="34" spans="2:12" x14ac:dyDescent="0.2">
      <c r="B34" s="306" t="s">
        <v>24</v>
      </c>
      <c r="C34" s="306"/>
      <c r="D34" s="306"/>
      <c r="E34" s="306"/>
      <c r="F34" s="306"/>
      <c r="G34" s="306"/>
      <c r="H34" s="306"/>
      <c r="I34" s="306"/>
      <c r="J34" s="306"/>
      <c r="K34" s="306"/>
      <c r="L34" s="306"/>
    </row>
    <row r="35" spans="2:12" x14ac:dyDescent="0.2">
      <c r="B35" s="307" t="s">
        <v>25</v>
      </c>
      <c r="C35" s="307"/>
      <c r="D35" s="307"/>
      <c r="E35" s="307"/>
      <c r="F35" s="307"/>
      <c r="G35" s="307"/>
      <c r="H35" s="307"/>
      <c r="I35" s="307"/>
      <c r="J35" s="307"/>
      <c r="K35" s="307"/>
      <c r="L35" s="307"/>
    </row>
    <row r="36" spans="2:12" x14ac:dyDescent="0.2">
      <c r="B36" s="303" t="s">
        <v>26</v>
      </c>
      <c r="C36" s="303"/>
      <c r="D36" s="303"/>
      <c r="E36" s="303"/>
      <c r="F36" s="303"/>
      <c r="G36" s="303"/>
      <c r="H36" s="303"/>
      <c r="I36" s="303"/>
      <c r="J36" s="303"/>
      <c r="K36" s="303"/>
      <c r="L36" s="303"/>
    </row>
    <row r="37" spans="2:12" x14ac:dyDescent="0.2">
      <c r="B37" s="304" t="s">
        <v>27</v>
      </c>
      <c r="C37" s="304"/>
      <c r="D37" s="304"/>
      <c r="E37" s="304"/>
      <c r="F37" s="304"/>
      <c r="G37" s="304"/>
      <c r="H37" s="304"/>
      <c r="I37" s="304"/>
      <c r="J37" s="304"/>
      <c r="K37" s="304"/>
      <c r="L37" s="304"/>
    </row>
    <row r="38" spans="2:12" x14ac:dyDescent="0.2">
      <c r="B38" s="302" t="s">
        <v>28</v>
      </c>
      <c r="C38" s="302"/>
      <c r="D38" s="302"/>
      <c r="E38" s="302"/>
      <c r="F38" s="302"/>
      <c r="G38" s="302"/>
      <c r="H38" s="302"/>
      <c r="I38" s="302"/>
      <c r="J38" s="302"/>
      <c r="K38" s="302"/>
      <c r="L38" s="302"/>
    </row>
  </sheetData>
  <sheetProtection sheet="1" objects="1" scenarios="1"/>
  <mergeCells count="8">
    <mergeCell ref="B37:L37"/>
    <mergeCell ref="B38:L38"/>
    <mergeCell ref="B1:L1"/>
    <mergeCell ref="B32:L32"/>
    <mergeCell ref="B34:L34"/>
    <mergeCell ref="B35:L35"/>
    <mergeCell ref="B36:L36"/>
    <mergeCell ref="B33:L33"/>
  </mergeCells>
  <phoneticPr fontId="16" type="noConversion"/>
  <conditionalFormatting sqref="C3:L12 C22:L31 C14:L20">
    <cfRule type="containsText" dxfId="753" priority="4" operator="containsText" text="S">
      <formula>NOT(ISERROR(SEARCH("S",C3)))</formula>
    </cfRule>
    <cfRule type="containsText" dxfId="752" priority="5" operator="containsText" text="H">
      <formula>NOT(ISERROR(SEARCH("H",C3)))</formula>
    </cfRule>
  </conditionalFormatting>
  <conditionalFormatting sqref="C3:L12 C22:L31 C14:L20">
    <cfRule type="containsText" dxfId="751" priority="3" operator="containsText" text="D">
      <formula>NOT(ISERROR(SEARCH("D",C3)))</formula>
    </cfRule>
  </conditionalFormatting>
  <conditionalFormatting sqref="C3:L12 C22:L31 C14:L20">
    <cfRule type="containsText" dxfId="750" priority="2" operator="containsText" text="R">
      <formula>NOT(ISERROR(SEARCH("R",C3)))</formula>
    </cfRule>
  </conditionalFormatting>
  <conditionalFormatting sqref="C3:L12 C22:L31 C14:L20">
    <cfRule type="containsText" dxfId="749" priority="1" operator="containsText" text="P">
      <formula>NOT(ISERROR(SEARCH("P",C3)))</formula>
    </cfRule>
  </conditionalFormatting>
  <pageMargins left="0.25" right="0.25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pageSetUpPr fitToPage="1"/>
  </sheetPr>
  <dimension ref="A1:L47"/>
  <sheetViews>
    <sheetView topLeftCell="A21" workbookViewId="0">
      <selection activeCell="J43" sqref="J43:L45"/>
    </sheetView>
  </sheetViews>
  <sheetFormatPr baseColWidth="10" defaultColWidth="8.83203125" defaultRowHeight="15" x14ac:dyDescent="0.2"/>
  <cols>
    <col min="1" max="1" width="5" style="33" bestFit="1" customWidth="1"/>
    <col min="2" max="12" width="11.6640625" style="33" customWidth="1"/>
    <col min="13" max="16384" width="8.83203125" style="33"/>
  </cols>
  <sheetData>
    <row r="1" spans="1:12" ht="22" thickBot="1" x14ac:dyDescent="0.3">
      <c r="A1" s="326" t="s">
        <v>131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8"/>
    </row>
    <row r="2" spans="1:12" x14ac:dyDescent="0.2">
      <c r="A2" s="42" t="s">
        <v>9</v>
      </c>
      <c r="B2" s="43" t="s">
        <v>1</v>
      </c>
      <c r="C2" s="43">
        <v>2</v>
      </c>
      <c r="D2" s="43">
        <v>3</v>
      </c>
      <c r="E2" s="43">
        <v>4</v>
      </c>
      <c r="F2" s="43">
        <v>5</v>
      </c>
      <c r="G2" s="43">
        <v>6</v>
      </c>
      <c r="H2" s="43">
        <v>7</v>
      </c>
      <c r="I2" s="43">
        <v>8</v>
      </c>
      <c r="J2" s="43">
        <v>9</v>
      </c>
      <c r="K2" s="44">
        <v>10</v>
      </c>
      <c r="L2" s="44" t="s">
        <v>2</v>
      </c>
    </row>
    <row r="3" spans="1:12" x14ac:dyDescent="0.2">
      <c r="A3" s="45">
        <v>5</v>
      </c>
      <c r="B3" s="34">
        <f>Prob!B3*ER!B3</f>
        <v>-1.755660780761442E-4</v>
      </c>
      <c r="C3" s="34">
        <f>Prob!C3*ER!C3</f>
        <v>-1.1671876837846834E-4</v>
      </c>
      <c r="D3" s="34">
        <f>Prob!D3*ER!D3</f>
        <v>-8.6763975659071366E-5</v>
      </c>
      <c r="E3" s="34">
        <f>Prob!E3*ER!E3</f>
        <v>-5.5966740281924667E-5</v>
      </c>
      <c r="F3" s="34">
        <f>Prob!F3*ER!F3</f>
        <v>-2.1828830579753868E-5</v>
      </c>
      <c r="G3" s="34">
        <f>Prob!G3*ER!G3</f>
        <v>-1.0799616189714724E-6</v>
      </c>
      <c r="H3" s="34">
        <f>Prob!H3*ER!H3</f>
        <v>-1.0873686106886531E-4</v>
      </c>
      <c r="I3" s="34">
        <f>Prob!I3*ER!I3</f>
        <v>-1.71227404554561E-4</v>
      </c>
      <c r="J3" s="34">
        <f>Prob!J3*ER!J3</f>
        <v>-2.4270828708052711E-4</v>
      </c>
      <c r="K3" s="46">
        <f>Prob!K3*ER!K3</f>
        <v>-1.0534476300912863E-3</v>
      </c>
      <c r="L3" s="46">
        <f>SUM(B3:K3)</f>
        <v>-2.0340445373895734E-3</v>
      </c>
    </row>
    <row r="4" spans="1:12" x14ac:dyDescent="0.2">
      <c r="A4" s="45">
        <v>6</v>
      </c>
      <c r="B4" s="34">
        <f>Prob!B4*ER!B4</f>
        <v>-1.9168234156936341E-4</v>
      </c>
      <c r="C4" s="34">
        <f>Prob!C4*ER!C4</f>
        <v>-1.2813756710060984E-4</v>
      </c>
      <c r="D4" s="34">
        <f>Prob!D4*ER!D4</f>
        <v>-9.7670530731550645E-5</v>
      </c>
      <c r="E4" s="34">
        <f>Prob!E4*ER!E4</f>
        <v>-6.6378827425022589E-5</v>
      </c>
      <c r="F4" s="34">
        <f>Prob!F4*ER!F4</f>
        <v>-3.17851373055095E-5</v>
      </c>
      <c r="G4" s="34">
        <f>Prob!G4*ER!G4</f>
        <v>-1.1839631797791804E-5</v>
      </c>
      <c r="H4" s="34">
        <f>Prob!H4*ER!H4</f>
        <v>-1.3830924646035455E-4</v>
      </c>
      <c r="I4" s="34">
        <f>Prob!I4*ER!I4</f>
        <v>-1.9776229523967663E-4</v>
      </c>
      <c r="J4" s="34">
        <f>Prob!J4*ER!J4</f>
        <v>-2.6640027327967777E-4</v>
      </c>
      <c r="K4" s="46">
        <f>Prob!K4*ER!K4</f>
        <v>-1.1352524868291438E-3</v>
      </c>
      <c r="L4" s="46">
        <f t="shared" ref="L4:L38" si="0">SUM(B4:K4)</f>
        <v>-2.2652183377387006E-3</v>
      </c>
    </row>
    <row r="5" spans="1:12" x14ac:dyDescent="0.2">
      <c r="A5" s="45">
        <v>7</v>
      </c>
      <c r="B5" s="34">
        <f>Prob!B5*ER!B5</f>
        <v>-3.9083293343856768E-4</v>
      </c>
      <c r="C5" s="34">
        <f>Prob!C5*ER!C5</f>
        <v>-1.9878639575169113E-4</v>
      </c>
      <c r="D5" s="34">
        <f>Prob!D5*ER!D5</f>
        <v>-1.3943191971682042E-4</v>
      </c>
      <c r="E5" s="34">
        <f>Prob!E5*ER!E5</f>
        <v>-7.8328254900941066E-5</v>
      </c>
      <c r="F5" s="34">
        <f>Prob!F5*ER!F5</f>
        <v>-1.3238708972127238E-5</v>
      </c>
      <c r="G5" s="34">
        <f>Prob!G5*ER!G5</f>
        <v>5.3136717986091704E-5</v>
      </c>
      <c r="H5" s="34">
        <f>Prob!H5*ER!H5</f>
        <v>-1.252759209475244E-4</v>
      </c>
      <c r="I5" s="34">
        <f>Prob!I5*ER!I5</f>
        <v>-3.8344063491005864E-4</v>
      </c>
      <c r="J5" s="34">
        <f>Prob!J5*ER!J5</f>
        <v>-5.1955473916591097E-4</v>
      </c>
      <c r="K5" s="46">
        <f>Prob!K5*ER!K5</f>
        <v>-2.1448310615342948E-3</v>
      </c>
      <c r="L5" s="46">
        <f t="shared" si="0"/>
        <v>-3.940583851351845E-3</v>
      </c>
    </row>
    <row r="6" spans="1:12" x14ac:dyDescent="0.2">
      <c r="A6" s="45">
        <v>8</v>
      </c>
      <c r="B6" s="34">
        <f>Prob!B6*ER!B6</f>
        <v>-2.4834694795945137E-4</v>
      </c>
      <c r="C6" s="34">
        <f>Prob!C6*ER!C6</f>
        <v>-3.9687187999646193E-5</v>
      </c>
      <c r="D6" s="34">
        <f>Prob!D6*ER!D6</f>
        <v>1.4574897643431377E-5</v>
      </c>
      <c r="E6" s="34">
        <f>Prob!E6*ER!E6</f>
        <v>7.0613515297603669E-5</v>
      </c>
      <c r="F6" s="34">
        <f>Prob!F6*ER!F6</f>
        <v>1.2891149018303839E-4</v>
      </c>
      <c r="G6" s="34">
        <f>Prob!G6*ER!G6</f>
        <v>2.0930386908734315E-4</v>
      </c>
      <c r="H6" s="34">
        <f>Prob!H6*ER!H6</f>
        <v>1.4967216998405621E-4</v>
      </c>
      <c r="I6" s="34">
        <f>Prob!I6*ER!I6</f>
        <v>-1.090546666520825E-4</v>
      </c>
      <c r="J6" s="34">
        <f>Prob!J6*ER!J6</f>
        <v>-3.8267880199948582E-4</v>
      </c>
      <c r="K6" s="46">
        <f>Prob!K6*ER!K6</f>
        <v>-1.6764124318560901E-3</v>
      </c>
      <c r="L6" s="46">
        <f t="shared" si="0"/>
        <v>-1.8831040942712833E-3</v>
      </c>
    </row>
    <row r="7" spans="1:12" x14ac:dyDescent="0.2">
      <c r="A7" s="45">
        <v>9</v>
      </c>
      <c r="B7" s="34">
        <f>Prob!B7*ER!B7</f>
        <v>-1.2418199831993191E-4</v>
      </c>
      <c r="C7" s="34">
        <f>Prob!C7*ER!C7</f>
        <v>2.0331189142377935E-4</v>
      </c>
      <c r="D7" s="34">
        <f>Prob!D7*ER!D7</f>
        <v>3.2994907600363178E-4</v>
      </c>
      <c r="E7" s="34">
        <f>Prob!E7*ER!E7</f>
        <v>4.9690195917821125E-4</v>
      </c>
      <c r="F7" s="34">
        <f>Prob!F7*ER!F7</f>
        <v>6.6378850670833784E-4</v>
      </c>
      <c r="G7" s="34">
        <f>Prob!G7*ER!G7</f>
        <v>8.6587550032316875E-4</v>
      </c>
      <c r="H7" s="34">
        <f>Prob!H7*ER!H7</f>
        <v>4.6937057788881025E-4</v>
      </c>
      <c r="I7" s="34">
        <f>Prob!I7*ER!I7</f>
        <v>2.6866513637339789E-4</v>
      </c>
      <c r="J7" s="34">
        <f>Prob!J7*ER!J7</f>
        <v>-1.42498097758721E-4</v>
      </c>
      <c r="K7" s="46">
        <f>Prob!K7*ER!K7</f>
        <v>-1.5423290376342085E-3</v>
      </c>
      <c r="L7" s="46">
        <f t="shared" si="0"/>
        <v>1.488853514186476E-3</v>
      </c>
    </row>
    <row r="8" spans="1:12" x14ac:dyDescent="0.2">
      <c r="A8" s="45">
        <v>10</v>
      </c>
      <c r="B8" s="34">
        <f>Prob!B8*ER!B8</f>
        <v>1.5399615661373551E-4</v>
      </c>
      <c r="C8" s="34">
        <f>Prob!C8*ER!C8</f>
        <v>9.8026239174046187E-4</v>
      </c>
      <c r="D8" s="34">
        <f>Prob!D8*ER!D8</f>
        <v>1.1178534460881363E-3</v>
      </c>
      <c r="E8" s="34">
        <f>Prob!E8*ER!E8</f>
        <v>1.2588263371716543E-3</v>
      </c>
      <c r="F8" s="34">
        <f>Prob!F8*ER!F8</f>
        <v>1.3996825917249008E-3</v>
      </c>
      <c r="G8" s="34">
        <f>Prob!G8*ER!G8</f>
        <v>1.5719349165164371E-3</v>
      </c>
      <c r="H8" s="34">
        <f>Prob!H8*ER!H8</f>
        <v>1.0716771650863116E-3</v>
      </c>
      <c r="I8" s="34">
        <f>Prob!I8*ER!I8</f>
        <v>7.8280122954834004E-4</v>
      </c>
      <c r="J8" s="34">
        <f>Prob!J8*ER!J8</f>
        <v>3.9416031419418635E-4</v>
      </c>
      <c r="K8" s="46">
        <f>Prob!K8*ER!K8</f>
        <v>2.5520306136935081E-4</v>
      </c>
      <c r="L8" s="46">
        <f t="shared" si="0"/>
        <v>8.9863976100535148E-3</v>
      </c>
    </row>
    <row r="9" spans="1:12" x14ac:dyDescent="0.2">
      <c r="A9" s="45">
        <v>11</v>
      </c>
      <c r="B9" s="34">
        <f>Prob!B9*ER!B9</f>
        <v>3.6049481165330982E-4</v>
      </c>
      <c r="C9" s="34">
        <f>Prob!C9*ER!C9</f>
        <v>1.71375848280189E-3</v>
      </c>
      <c r="D9" s="34">
        <f>Prob!D9*ER!D9</f>
        <v>1.8854629153289646E-3</v>
      </c>
      <c r="E9" s="34">
        <f>Prob!E9*ER!E9</f>
        <v>2.0611399195920844E-3</v>
      </c>
      <c r="F9" s="34">
        <f>Prob!F9*ER!F9</f>
        <v>2.2383214125044266E-3</v>
      </c>
      <c r="G9" s="34">
        <f>Prob!G9*ER!G9</f>
        <v>2.4301505504144547E-3</v>
      </c>
      <c r="H9" s="34">
        <f>Prob!H9*ER!H9</f>
        <v>1.6855309926783464E-3</v>
      </c>
      <c r="I9" s="34">
        <f>Prob!I9*ER!I9</f>
        <v>1.2769871310707877E-3</v>
      </c>
      <c r="J9" s="34">
        <f>Prob!J9*ER!J9</f>
        <v>8.2943440383233475E-4</v>
      </c>
      <c r="K9" s="46">
        <f>Prob!K9*ER!K9</f>
        <v>2.4158982992850461E-3</v>
      </c>
      <c r="L9" s="46">
        <f t="shared" si="0"/>
        <v>1.6897178919161645E-2</v>
      </c>
    </row>
    <row r="10" spans="1:12" x14ac:dyDescent="0.2">
      <c r="A10" s="45">
        <v>12</v>
      </c>
      <c r="B10" s="34">
        <f>Prob!B10*ER!B10</f>
        <v>-1.5464473546251917E-3</v>
      </c>
      <c r="C10" s="34">
        <f>Prob!C10*ER!C10</f>
        <v>-1.6146835701105753E-3</v>
      </c>
      <c r="D10" s="34">
        <f>Prob!D10*ER!D10</f>
        <v>-1.4891545731330056E-3</v>
      </c>
      <c r="E10" s="34">
        <f>Prob!E10*ER!E10</f>
        <v>-1.3449629157618579E-3</v>
      </c>
      <c r="F10" s="34">
        <f>Prob!F10*ER!F10</f>
        <v>-1.0654061227567838E-3</v>
      </c>
      <c r="G10" s="34">
        <f>Prob!G10*ER!G10</f>
        <v>-9.7942021921714308E-4</v>
      </c>
      <c r="H10" s="34">
        <f>Prob!H10*ER!H10</f>
        <v>-1.3563350037516613E-3</v>
      </c>
      <c r="I10" s="34">
        <f>Prob!I10*ER!I10</f>
        <v>-1.7305631635594024E-3</v>
      </c>
      <c r="J10" s="34">
        <f>Prob!J10*ER!J10</f>
        <v>-2.1666754340123346E-3</v>
      </c>
      <c r="K10" s="46">
        <f>Prob!K10*ER!K10</f>
        <v>-8.9654035640879173E-3</v>
      </c>
      <c r="L10" s="46">
        <f t="shared" si="0"/>
        <v>-2.2259051921015873E-2</v>
      </c>
    </row>
    <row r="11" spans="1:12" x14ac:dyDescent="0.2">
      <c r="A11" s="45">
        <v>13</v>
      </c>
      <c r="B11" s="34">
        <f>Prob!B11*ER!B11</f>
        <v>-1.751101846276019E-3</v>
      </c>
      <c r="C11" s="34">
        <f>Prob!C11*ER!C11</f>
        <v>-1.8657133276877025E-3</v>
      </c>
      <c r="D11" s="34">
        <f>Prob!D11*ER!D11</f>
        <v>-1.6074206687755985E-3</v>
      </c>
      <c r="E11" s="34">
        <f>Prob!E11*ER!E11</f>
        <v>-1.3449629157618579E-3</v>
      </c>
      <c r="F11" s="34">
        <f>Prob!F11*ER!F11</f>
        <v>-1.0654061227567838E-3</v>
      </c>
      <c r="G11" s="34">
        <f>Prob!G11*ER!G11</f>
        <v>-9.7942021921714308E-4</v>
      </c>
      <c r="H11" s="34">
        <f>Prob!H11*ER!H11</f>
        <v>-1.7146200676946227E-3</v>
      </c>
      <c r="I11" s="34">
        <f>Prob!I11*ER!I11</f>
        <v>-2.0621176446589534E-3</v>
      </c>
      <c r="J11" s="34">
        <f>Prob!J11*ER!J11</f>
        <v>-2.4670790386509623E-3</v>
      </c>
      <c r="K11" s="46">
        <f>Prob!K11*ER!K11</f>
        <v>-1.0005631019124215E-2</v>
      </c>
      <c r="L11" s="46">
        <f t="shared" si="0"/>
        <v>-2.4863472870603857E-2</v>
      </c>
    </row>
    <row r="12" spans="1:12" x14ac:dyDescent="0.2">
      <c r="A12" s="45">
        <v>14</v>
      </c>
      <c r="B12" s="34">
        <f>Prob!B12*ER!B12</f>
        <v>-1.6638327085301031E-3</v>
      </c>
      <c r="C12" s="34">
        <f>Prob!C12*ER!C12</f>
        <v>-1.5991828523037449E-3</v>
      </c>
      <c r="D12" s="34">
        <f>Prob!D12*ER!D12</f>
        <v>-1.3777891446647985E-3</v>
      </c>
      <c r="E12" s="34">
        <f>Prob!E12*ER!E12</f>
        <v>-1.1528253563673067E-3</v>
      </c>
      <c r="F12" s="34">
        <f>Prob!F12*ER!F12</f>
        <v>-9.1320524807724315E-4</v>
      </c>
      <c r="G12" s="34">
        <f>Prob!G12*ER!G12</f>
        <v>-8.3950304504326557E-4</v>
      </c>
      <c r="H12" s="34">
        <f>Prob!H12*ER!H12</f>
        <v>-1.7548400068765231E-3</v>
      </c>
      <c r="I12" s="34">
        <f>Prob!I12*ER!I12</f>
        <v>-2.0314197109909905E-3</v>
      </c>
      <c r="J12" s="34">
        <f>Prob!J12*ER!J12</f>
        <v>-2.3537359225356508E-3</v>
      </c>
      <c r="K12" s="46">
        <f>Prob!K12*ER!K12</f>
        <v>-9.4041912969312826E-3</v>
      </c>
      <c r="L12" s="46">
        <f t="shared" si="0"/>
        <v>-2.3090525292320911E-2</v>
      </c>
    </row>
    <row r="13" spans="1:12" x14ac:dyDescent="0.2">
      <c r="A13" s="45">
        <v>15</v>
      </c>
      <c r="B13" s="34">
        <f>Prob!B13*ER!B13</f>
        <v>-1.8150861010475514E-3</v>
      </c>
      <c r="C13" s="34">
        <f>Prob!C13*ER!C13</f>
        <v>-1.5991828523037449E-3</v>
      </c>
      <c r="D13" s="34">
        <f>Prob!D13*ER!D13</f>
        <v>-1.3777891446647985E-3</v>
      </c>
      <c r="E13" s="34">
        <f>Prob!E13*ER!E13</f>
        <v>-1.1528253563673067E-3</v>
      </c>
      <c r="F13" s="34">
        <f>Prob!F13*ER!F13</f>
        <v>-9.1320524807724315E-4</v>
      </c>
      <c r="G13" s="34">
        <f>Prob!G13*ER!G13</f>
        <v>-8.3950304504326557E-4</v>
      </c>
      <c r="H13" s="34">
        <f>Prob!H13*ER!H13</f>
        <v>-2.0196366940763502E-3</v>
      </c>
      <c r="I13" s="34">
        <f>Prob!I13*ER!I13</f>
        <v>-2.276460705039784E-3</v>
      </c>
      <c r="J13" s="34">
        <f>Prob!J13*ER!J13</f>
        <v>-2.5757543300455399E-3</v>
      </c>
      <c r="K13" s="46">
        <f>Prob!K13*ER!K13</f>
        <v>-1.0083680543398343E-2</v>
      </c>
      <c r="L13" s="46">
        <f t="shared" si="0"/>
        <v>-2.4653124020063928E-2</v>
      </c>
    </row>
    <row r="14" spans="1:12" x14ac:dyDescent="0.2">
      <c r="A14" s="45">
        <v>16</v>
      </c>
      <c r="B14" s="34">
        <f>Prob!B14*ER!B14</f>
        <v>-1.5755750849059907E-3</v>
      </c>
      <c r="C14" s="34">
        <f>Prob!C14*ER!C14</f>
        <v>-1.3326523769197874E-3</v>
      </c>
      <c r="D14" s="34">
        <f>Prob!D14*ER!D14</f>
        <v>-1.1481576205539987E-3</v>
      </c>
      <c r="E14" s="34">
        <f>Prob!E14*ER!E14</f>
        <v>-9.6068779697275558E-4</v>
      </c>
      <c r="F14" s="34">
        <f>Prob!F14*ER!F14</f>
        <v>-7.6100437339770254E-4</v>
      </c>
      <c r="G14" s="34">
        <f>Prob!G14*ER!G14</f>
        <v>-6.9958587086938785E-4</v>
      </c>
      <c r="H14" s="34">
        <f>Prob!H14*ER!H14</f>
        <v>-1.887932776825396E-3</v>
      </c>
      <c r="I14" s="34">
        <f>Prob!I14*ER!I14</f>
        <v>-2.0866656424518627E-3</v>
      </c>
      <c r="J14" s="34">
        <f>Prob!J14*ER!J14</f>
        <v>-2.2758306781975423E-3</v>
      </c>
      <c r="K14" s="46">
        <f>Prob!K14*ER!K14</f>
        <v>-8.4030671194986178E-3</v>
      </c>
      <c r="L14" s="46">
        <f t="shared" si="0"/>
        <v>-2.1131159340593043E-2</v>
      </c>
    </row>
    <row r="15" spans="1:12" x14ac:dyDescent="0.2">
      <c r="A15" s="45">
        <v>17</v>
      </c>
      <c r="B15" s="34">
        <f>Prob!B15*ER!B15</f>
        <v>-1.5063552659054771E-3</v>
      </c>
      <c r="C15" s="34">
        <f>Prob!C15*ER!C15</f>
        <v>-6.9628851926054644E-4</v>
      </c>
      <c r="D15" s="34">
        <f>Prob!D15*ER!D15</f>
        <v>-5.3352863643410867E-4</v>
      </c>
      <c r="E15" s="34">
        <f>Prob!E15*ER!E15</f>
        <v>-3.66742708899937E-4</v>
      </c>
      <c r="F15" s="34">
        <f>Prob!F15*ER!F15</f>
        <v>-2.0455792246210493E-4</v>
      </c>
      <c r="G15" s="34">
        <f>Prob!G15*ER!G15</f>
        <v>5.3432683993363013E-5</v>
      </c>
      <c r="H15" s="34">
        <f>Prob!H15*ER!H15</f>
        <v>-4.8615834994399044E-4</v>
      </c>
      <c r="I15" s="34">
        <f>Prob!I15*ER!I15</f>
        <v>-1.7385114749587944E-3</v>
      </c>
      <c r="J15" s="34">
        <f>Prob!J15*ER!J15</f>
        <v>-1.9260548003878807E-3</v>
      </c>
      <c r="K15" s="46">
        <f>Prob!K15*ER!K15</f>
        <v>-7.053881316684764E-3</v>
      </c>
      <c r="L15" s="46">
        <f t="shared" si="0"/>
        <v>-1.4458646310944241E-2</v>
      </c>
    </row>
    <row r="16" spans="1:12" x14ac:dyDescent="0.2">
      <c r="A16" s="45">
        <v>18</v>
      </c>
      <c r="B16" s="34">
        <f>Prob!B16*ER!B16</f>
        <v>-2.5259336312278007E-4</v>
      </c>
      <c r="C16" s="34">
        <f>Prob!C16*ER!C16</f>
        <v>4.4330232943427485E-4</v>
      </c>
      <c r="D16" s="34">
        <f>Prob!D16*ER!D16</f>
        <v>5.4000936856189795E-4</v>
      </c>
      <c r="E16" s="34">
        <f>Prob!E16*ER!E16</f>
        <v>6.4034387691392009E-4</v>
      </c>
      <c r="F16" s="34">
        <f>Prob!F16*ER!F16</f>
        <v>7.266679835272725E-4</v>
      </c>
      <c r="G16" s="34">
        <f>Prob!G16*ER!G16</f>
        <v>1.0321125755007687E-3</v>
      </c>
      <c r="H16" s="34">
        <f>Prob!H16*ER!H16</f>
        <v>1.4549082106019185E-3</v>
      </c>
      <c r="I16" s="34">
        <f>Prob!I16*ER!I16</f>
        <v>3.8580372733408683E-4</v>
      </c>
      <c r="J16" s="34">
        <f>Prob!J16*ER!J16</f>
        <v>-6.6695805798246089E-4</v>
      </c>
      <c r="K16" s="46">
        <f>Prob!K16*ER!K16</f>
        <v>-2.3972435761301066E-3</v>
      </c>
      <c r="L16" s="46">
        <f t="shared" si="0"/>
        <v>1.9063530746387921E-3</v>
      </c>
    </row>
    <row r="17" spans="1:12" x14ac:dyDescent="0.2">
      <c r="A17" s="45">
        <v>19</v>
      </c>
      <c r="B17" s="34">
        <f>Prob!B17*ER!B17</f>
        <v>6.9989748647882174E-4</v>
      </c>
      <c r="C17" s="34">
        <f>Prob!C17*ER!C17</f>
        <v>1.4066624889234045E-3</v>
      </c>
      <c r="D17" s="34">
        <f>Prob!D17*ER!D17</f>
        <v>1.4724185219763676E-3</v>
      </c>
      <c r="E17" s="34">
        <f>Prob!E17*ER!E17</f>
        <v>1.5409337271825093E-3</v>
      </c>
      <c r="F17" s="34">
        <f>Prob!F17*ER!F17</f>
        <v>1.6004082081415886E-3</v>
      </c>
      <c r="G17" s="34">
        <f>Prob!G17*ER!G17</f>
        <v>1.8060157443325234E-3</v>
      </c>
      <c r="H17" s="34">
        <f>Prob!H17*ER!H17</f>
        <v>2.2429731297348441E-3</v>
      </c>
      <c r="I17" s="34">
        <f>Prob!I17*ER!I17</f>
        <v>2.1624166346352097E-3</v>
      </c>
      <c r="J17" s="34">
        <f>Prob!J17*ER!J17</f>
        <v>1.0472344362952445E-3</v>
      </c>
      <c r="K17" s="46">
        <f>Prob!K17*ER!K17</f>
        <v>8.4861790108759795E-4</v>
      </c>
      <c r="L17" s="46">
        <f t="shared" si="0"/>
        <v>1.482757827878811E-2</v>
      </c>
    </row>
    <row r="18" spans="1:12" x14ac:dyDescent="0.2">
      <c r="A18" s="45" t="s">
        <v>4</v>
      </c>
      <c r="B18" s="32" t="s">
        <v>1</v>
      </c>
      <c r="C18" s="35">
        <v>2</v>
      </c>
      <c r="D18" s="35">
        <v>3</v>
      </c>
      <c r="E18" s="35">
        <v>4</v>
      </c>
      <c r="F18" s="35">
        <v>5</v>
      </c>
      <c r="G18" s="35">
        <v>6</v>
      </c>
      <c r="H18" s="35">
        <v>7</v>
      </c>
      <c r="I18" s="35">
        <v>8</v>
      </c>
      <c r="J18" s="35">
        <v>9</v>
      </c>
      <c r="K18" s="47">
        <v>10</v>
      </c>
      <c r="L18" s="47" t="s">
        <v>2</v>
      </c>
    </row>
    <row r="19" spans="1:12" x14ac:dyDescent="0.2">
      <c r="A19" s="45">
        <v>13</v>
      </c>
      <c r="B19" s="34">
        <f>Prob!B19*ER!B19</f>
        <v>-3.6117252197142422E-5</v>
      </c>
      <c r="C19" s="34">
        <f>Prob!C19*ER!C19</f>
        <v>4.2454376600190788E-5</v>
      </c>
      <c r="D19" s="34">
        <f>Prob!D19*ER!D19</f>
        <v>6.7472747740322317E-5</v>
      </c>
      <c r="E19" s="34">
        <f>Prob!E19*ER!E19</f>
        <v>9.328825386621324E-5</v>
      </c>
      <c r="F19" s="34">
        <f>Prob!F19*ER!F19</f>
        <v>1.2140440462741674E-4</v>
      </c>
      <c r="G19" s="34">
        <f>Prob!G19*ER!G19</f>
        <v>1.6363059246965421E-4</v>
      </c>
      <c r="H19" s="34">
        <f>Prob!H19*ER!H19</f>
        <v>1.114116478643532E-4</v>
      </c>
      <c r="I19" s="34">
        <f>Prob!I19*ER!I19</f>
        <v>4.9209895490497323E-5</v>
      </c>
      <c r="J19" s="34">
        <f>Prob!J19*ER!J19</f>
        <v>-3.4314691058242955E-5</v>
      </c>
      <c r="K19" s="46">
        <f>Prob!K19*ER!K19</f>
        <v>-3.5242920090342321E-4</v>
      </c>
      <c r="L19" s="46">
        <f t="shared" si="0"/>
        <v>2.2601077449983911E-4</v>
      </c>
    </row>
    <row r="20" spans="1:12" x14ac:dyDescent="0.2">
      <c r="A20" s="45">
        <v>14</v>
      </c>
      <c r="B20" s="34">
        <f>Prob!B20*ER!B20</f>
        <v>-5.9162418886929097E-5</v>
      </c>
      <c r="C20" s="34">
        <f>Prob!C20*ER!C20</f>
        <v>2.0384030029894478E-5</v>
      </c>
      <c r="D20" s="34">
        <f>Prob!D20*ER!D20</f>
        <v>4.6251014036670753E-5</v>
      </c>
      <c r="E20" s="34">
        <f>Prob!E20*ER!E20</f>
        <v>7.2900695776158622E-5</v>
      </c>
      <c r="F20" s="34">
        <f>Prob!F20*ER!F20</f>
        <v>1.1466043263420962E-4</v>
      </c>
      <c r="G20" s="34">
        <f>Prob!G20*ER!G20</f>
        <v>1.6363059246965421E-4</v>
      </c>
      <c r="H20" s="34">
        <f>Prob!H20*ER!H20</f>
        <v>7.2378232584859498E-5</v>
      </c>
      <c r="I20" s="34">
        <f>Prob!I20*ER!I20</f>
        <v>1.2086681350212513E-5</v>
      </c>
      <c r="J20" s="34">
        <f>Prob!J20*ER!J20</f>
        <v>-6.8423476961023064E-5</v>
      </c>
      <c r="K20" s="46">
        <f>Prob!K20*ER!K20</f>
        <v>-4.6877949262433521E-4</v>
      </c>
      <c r="L20" s="46">
        <f t="shared" si="0"/>
        <v>-9.4073709590627758E-5</v>
      </c>
    </row>
    <row r="21" spans="1:12" x14ac:dyDescent="0.2">
      <c r="A21" s="45">
        <v>15</v>
      </c>
      <c r="B21" s="34">
        <f>Prob!B21*ER!B21</f>
        <v>-8.1946606568813872E-5</v>
      </c>
      <c r="C21" s="34">
        <f>Prob!C21*ER!C21</f>
        <v>-1.0986321395208543E-7</v>
      </c>
      <c r="D21" s="34">
        <f>Prob!D21*ER!D21</f>
        <v>2.6545118454708574E-5</v>
      </c>
      <c r="E21" s="34">
        <f>Prob!E21*ER!E21</f>
        <v>5.3969391835393658E-5</v>
      </c>
      <c r="F21" s="34">
        <f>Prob!F21*ER!F21</f>
        <v>1.1466043263420962E-4</v>
      </c>
      <c r="G21" s="34">
        <f>Prob!G21*ER!G21</f>
        <v>1.6363059246965421E-4</v>
      </c>
      <c r="H21" s="34">
        <f>Prob!H21*ER!H21</f>
        <v>3.3708040308847741E-5</v>
      </c>
      <c r="I21" s="34">
        <f>Prob!I21*ER!I21</f>
        <v>-2.4628839784161744E-5</v>
      </c>
      <c r="J21" s="34">
        <f>Prob!J21*ER!J21</f>
        <v>-1.0212905661351197E-4</v>
      </c>
      <c r="K21" s="46">
        <f>Prob!K21*ER!K21</f>
        <v>-5.838593225019333E-4</v>
      </c>
      <c r="L21" s="46">
        <f t="shared" si="0"/>
        <v>-4.0016011297955913E-4</v>
      </c>
    </row>
    <row r="22" spans="1:12" x14ac:dyDescent="0.2">
      <c r="A22" s="45">
        <v>16</v>
      </c>
      <c r="B22" s="34">
        <f>Prob!B22*ER!B22</f>
        <v>-1.0438952057714096E-4</v>
      </c>
      <c r="C22" s="34">
        <f>Prob!C22*ER!C22</f>
        <v>-1.9139906940381036E-5</v>
      </c>
      <c r="D22" s="34">
        <f>Prob!D22*ER!D22</f>
        <v>8.2467868428865046E-6</v>
      </c>
      <c r="E22" s="34">
        <f>Prob!E22*ER!E22</f>
        <v>5.31875455109194E-5</v>
      </c>
      <c r="F22" s="34">
        <f>Prob!F22*ER!F22</f>
        <v>1.1466043263420962E-4</v>
      </c>
      <c r="G22" s="34">
        <f>Prob!G22*ER!G22</f>
        <v>1.6363059246965421E-4</v>
      </c>
      <c r="H22" s="34">
        <f>Prob!H22*ER!H22</f>
        <v>-4.4516678862229355E-6</v>
      </c>
      <c r="I22" s="34">
        <f>Prob!I22*ER!I22</f>
        <v>-6.0805505616835785E-5</v>
      </c>
      <c r="J22" s="34">
        <f>Prob!J22*ER!J22</f>
        <v>-1.3531500649073712E-4</v>
      </c>
      <c r="K22" s="46">
        <f>Prob!K22*ER!K22</f>
        <v>-6.9725656114791085E-4</v>
      </c>
      <c r="L22" s="46">
        <f t="shared" si="0"/>
        <v>-6.8163281120155899E-4</v>
      </c>
    </row>
    <row r="23" spans="1:12" x14ac:dyDescent="0.2">
      <c r="A23" s="45">
        <v>17</v>
      </c>
      <c r="B23" s="34">
        <f>Prob!B23*ER!B23</f>
        <v>-1.1317001002288128E-4</v>
      </c>
      <c r="C23" s="34">
        <f>Prob!C23*ER!C23</f>
        <v>-4.4701282010844689E-7</v>
      </c>
      <c r="D23" s="34">
        <f>Prob!D23*ER!D23</f>
        <v>5.0155015456803226E-5</v>
      </c>
      <c r="E23" s="34">
        <f>Prob!E23*ER!E23</f>
        <v>1.0801324594841029E-4</v>
      </c>
      <c r="F23" s="34">
        <f>Prob!F23*ER!F23</f>
        <v>1.6602472041288012E-4</v>
      </c>
      <c r="G23" s="34">
        <f>Prob!G23*ER!G23</f>
        <v>2.3313999753390817E-4</v>
      </c>
      <c r="H23" s="34">
        <f>Prob!H23*ER!H23</f>
        <v>4.8997235972796233E-5</v>
      </c>
      <c r="I23" s="34">
        <f>Prob!I23*ER!I23</f>
        <v>-6.6377240536770221E-5</v>
      </c>
      <c r="J23" s="34">
        <f>Prob!J23*ER!J23</f>
        <v>-1.3635584176798654E-4</v>
      </c>
      <c r="K23" s="46">
        <f>Prob!K23*ER!K23</f>
        <v>-6.6171456596158867E-4</v>
      </c>
      <c r="L23" s="46">
        <f t="shared" si="0"/>
        <v>-3.7173445578453709E-4</v>
      </c>
    </row>
    <row r="24" spans="1:12" x14ac:dyDescent="0.2">
      <c r="A24" s="45">
        <v>18</v>
      </c>
      <c r="B24" s="34">
        <f>Prob!B24*ER!B24</f>
        <v>-5.8570738134067882E-5</v>
      </c>
      <c r="C24" s="34">
        <f>Prob!C24*ER!C24</f>
        <v>1.1082558235856871E-4</v>
      </c>
      <c r="D24" s="34">
        <f>Prob!D24*ER!D24</f>
        <v>1.6171258596170919E-4</v>
      </c>
      <c r="E24" s="34">
        <f>Prob!E24*ER!E24</f>
        <v>2.1575225102924141E-4</v>
      </c>
      <c r="F24" s="34">
        <f>Prob!F24*ER!F24</f>
        <v>2.6875329597022131E-4</v>
      </c>
      <c r="G24" s="34">
        <f>Prob!G24*ER!G24</f>
        <v>3.4729766233845561E-4</v>
      </c>
      <c r="H24" s="34">
        <f>Prob!H24*ER!H24</f>
        <v>3.6372705265047962E-4</v>
      </c>
      <c r="I24" s="34">
        <f>Prob!I24*ER!I24</f>
        <v>9.6450931833521708E-5</v>
      </c>
      <c r="J24" s="34">
        <f>Prob!J24*ER!J24</f>
        <v>-9.171079433811128E-5</v>
      </c>
      <c r="K24" s="46">
        <f>Prob!K24*ER!K24</f>
        <v>-4.8337172454427865E-4</v>
      </c>
      <c r="L24" s="46">
        <f t="shared" si="0"/>
        <v>9.3086610512573985E-4</v>
      </c>
    </row>
    <row r="25" spans="1:12" x14ac:dyDescent="0.2">
      <c r="A25" s="45">
        <v>19</v>
      </c>
      <c r="B25" s="34">
        <f>Prob!B25*ER!B25</f>
        <v>1.7497437161970544E-4</v>
      </c>
      <c r="C25" s="34">
        <f>Prob!C25*ER!C25</f>
        <v>3.5166562223085113E-4</v>
      </c>
      <c r="D25" s="34">
        <f>Prob!D25*ER!D25</f>
        <v>3.681046304940919E-4</v>
      </c>
      <c r="E25" s="34">
        <f>Prob!E25*ER!E25</f>
        <v>3.8523343179562732E-4</v>
      </c>
      <c r="F25" s="34">
        <f>Prob!F25*ER!F25</f>
        <v>4.0010205203539715E-4</v>
      </c>
      <c r="G25" s="34">
        <f>Prob!G25*ER!G25</f>
        <v>4.5150393608313084E-4</v>
      </c>
      <c r="H25" s="34">
        <f>Prob!H25*ER!H25</f>
        <v>5.6074328243371102E-4</v>
      </c>
      <c r="I25" s="34">
        <f>Prob!I25*ER!I25</f>
        <v>5.4060415865880243E-4</v>
      </c>
      <c r="J25" s="34">
        <f>Prob!J25*ER!J25</f>
        <v>2.6180860907381112E-4</v>
      </c>
      <c r="K25" s="46">
        <f>Prob!K25*ER!K25</f>
        <v>2.1215447527189949E-4</v>
      </c>
      <c r="L25" s="46">
        <f t="shared" si="0"/>
        <v>3.7068945696970275E-3</v>
      </c>
    </row>
    <row r="26" spans="1:12" x14ac:dyDescent="0.2">
      <c r="A26" s="45">
        <v>20</v>
      </c>
      <c r="B26" s="34">
        <f>Prob!B26*ER!B26</f>
        <v>4.1309708402010589E-4</v>
      </c>
      <c r="C26" s="34">
        <f>Prob!C26*ER!C26</f>
        <v>5.8260043260522428E-4</v>
      </c>
      <c r="D26" s="34">
        <f>Prob!D26*ER!D26</f>
        <v>5.9196367250931401E-4</v>
      </c>
      <c r="E26" s="34">
        <f>Prob!E26*ER!E26</f>
        <v>6.0177511328909602E-4</v>
      </c>
      <c r="F26" s="34">
        <f>Prob!F26*ER!F26</f>
        <v>6.1025005974765594E-4</v>
      </c>
      <c r="G26" s="34">
        <f>Prob!G26*ER!G26</f>
        <v>6.4083620407040943E-4</v>
      </c>
      <c r="H26" s="34">
        <f>Prob!H26*ER!H26</f>
        <v>7.0389369734836138E-4</v>
      </c>
      <c r="I26" s="34">
        <f>Prob!I26*ER!I26</f>
        <v>7.2081489262803688E-4</v>
      </c>
      <c r="J26" s="34">
        <f>Prob!J26*ER!J26</f>
        <v>6.9035673264323746E-4</v>
      </c>
      <c r="K26" s="46">
        <f>Prob!K26*ER!K26</f>
        <v>1.8639265565261877E-3</v>
      </c>
      <c r="L26" s="46">
        <f t="shared" si="0"/>
        <v>7.4195144453876281E-3</v>
      </c>
    </row>
    <row r="27" spans="1:12" x14ac:dyDescent="0.2">
      <c r="A27" s="45">
        <v>21</v>
      </c>
      <c r="B27" s="34">
        <f>Prob!B27*ER!B27</f>
        <v>3.781380203774378E-3</v>
      </c>
      <c r="C27" s="34">
        <f>Prob!C27*ER!C27</f>
        <v>5.461993627674102E-3</v>
      </c>
      <c r="D27" s="34">
        <f>Prob!D27*ER!D27</f>
        <v>5.461993627674102E-3</v>
      </c>
      <c r="E27" s="34">
        <f>Prob!E27*ER!E27</f>
        <v>5.461993627674102E-3</v>
      </c>
      <c r="F27" s="34">
        <f>Prob!F27*ER!F27</f>
        <v>5.461993627674102E-3</v>
      </c>
      <c r="G27" s="34">
        <f>Prob!G27*ER!G27</f>
        <v>5.461993627674102E-3</v>
      </c>
      <c r="H27" s="34">
        <f>Prob!H27*ER!H27</f>
        <v>5.461993627674102E-3</v>
      </c>
      <c r="I27" s="34">
        <f>Prob!I27*ER!I27</f>
        <v>5.461993627674102E-3</v>
      </c>
      <c r="J27" s="34">
        <f>Prob!J27*ER!J27</f>
        <v>5.461993627674102E-3</v>
      </c>
      <c r="K27" s="46">
        <f>Prob!K27*ER!K27</f>
        <v>2.0167361086796686E-2</v>
      </c>
      <c r="L27" s="46">
        <f t="shared" si="0"/>
        <v>6.7644690311963893E-2</v>
      </c>
    </row>
    <row r="28" spans="1:12" x14ac:dyDescent="0.2">
      <c r="A28" s="45" t="s">
        <v>10</v>
      </c>
      <c r="B28" s="32" t="s">
        <v>1</v>
      </c>
      <c r="C28" s="35">
        <v>2</v>
      </c>
      <c r="D28" s="35">
        <v>3</v>
      </c>
      <c r="E28" s="35">
        <v>4</v>
      </c>
      <c r="F28" s="35">
        <v>5</v>
      </c>
      <c r="G28" s="35">
        <v>6</v>
      </c>
      <c r="H28" s="35">
        <v>7</v>
      </c>
      <c r="I28" s="35">
        <v>8</v>
      </c>
      <c r="J28" s="35">
        <v>9</v>
      </c>
      <c r="K28" s="47">
        <v>10</v>
      </c>
      <c r="L28" s="47" t="s">
        <v>2</v>
      </c>
    </row>
    <row r="29" spans="1:12" x14ac:dyDescent="0.2">
      <c r="A29" s="45" t="s">
        <v>1</v>
      </c>
      <c r="B29" s="34">
        <f>Prob!B29*ER!B29</f>
        <v>3.4366689472072862E-5</v>
      </c>
      <c r="C29" s="34">
        <f>Prob!C29*ER!C29</f>
        <v>2.1421981035023624E-4</v>
      </c>
      <c r="D29" s="34">
        <f>Prob!D29*ER!D29</f>
        <v>2.3568286441612049E-4</v>
      </c>
      <c r="E29" s="34">
        <f>Prob!E29*ER!E29</f>
        <v>2.5764248994901049E-4</v>
      </c>
      <c r="F29" s="34">
        <f>Prob!F29*ER!F29</f>
        <v>2.7979017656305332E-4</v>
      </c>
      <c r="G29" s="34">
        <f>Prob!G29*ER!G29</f>
        <v>3.0376881880180679E-4</v>
      </c>
      <c r="H29" s="34">
        <f>Prob!H29*ER!H29</f>
        <v>2.1069137408479333E-4</v>
      </c>
      <c r="I29" s="34">
        <f>Prob!I29*ER!I29</f>
        <v>1.5962339138384852E-4</v>
      </c>
      <c r="J29" s="34">
        <f>Prob!J29*ER!J29</f>
        <v>1.0367930047904183E-4</v>
      </c>
      <c r="K29" s="46">
        <f>Prob!K29*ER!K29</f>
        <v>3.0198728741063065E-4</v>
      </c>
      <c r="L29" s="46">
        <f t="shared" si="0"/>
        <v>2.1014522029106147E-3</v>
      </c>
    </row>
    <row r="30" spans="1:12" x14ac:dyDescent="0.2">
      <c r="A30" s="45">
        <v>2</v>
      </c>
      <c r="B30" s="34">
        <f>Prob!B30*ER!B30</f>
        <v>-7.9748361389138256E-5</v>
      </c>
      <c r="C30" s="34">
        <f>Prob!C30*ER!C30</f>
        <v>-4.045846194679774E-5</v>
      </c>
      <c r="D30" s="34">
        <f>Prob!D30*ER!D30</f>
        <v>-1.1659595120276004E-5</v>
      </c>
      <c r="E30" s="34">
        <f>Prob!E30*ER!E30</f>
        <v>1.9547851419557993E-5</v>
      </c>
      <c r="F30" s="34">
        <f>Prob!F30*ER!F30</f>
        <v>5.791981035431906E-5</v>
      </c>
      <c r="G30" s="34">
        <f>Prob!G30*ER!G30</f>
        <v>8.8656621832404443E-5</v>
      </c>
      <c r="H30" s="34">
        <f>Prob!H30*ER!H30</f>
        <v>-3.3679219356871559E-6</v>
      </c>
      <c r="I30" s="34">
        <f>Prob!I30*ER!I30</f>
        <v>-7.2523510541741069E-5</v>
      </c>
      <c r="J30" s="34">
        <f>Prob!J30*ER!J30</f>
        <v>-1.0954309474436299E-4</v>
      </c>
      <c r="K30" s="46">
        <f>Prob!K30*ER!K30</f>
        <v>-4.8602989724842998E-4</v>
      </c>
      <c r="L30" s="46">
        <f t="shared" si="0"/>
        <v>-6.3720655932015169E-4</v>
      </c>
    </row>
    <row r="31" spans="1:12" x14ac:dyDescent="0.2">
      <c r="A31" s="45">
        <v>3</v>
      </c>
      <c r="B31" s="34">
        <f>Prob!B31*ER!B31</f>
        <v>-9.5841170784681705E-5</v>
      </c>
      <c r="C31" s="34">
        <f>Prob!C31*ER!C31</f>
        <v>-6.2887361426910057E-5</v>
      </c>
      <c r="D31" s="34">
        <f>Prob!D31*ER!D31</f>
        <v>-2.9069838299598235E-5</v>
      </c>
      <c r="E31" s="34">
        <f>Prob!E31*ER!E31</f>
        <v>6.6567466648279442E-6</v>
      </c>
      <c r="F31" s="34">
        <f>Prob!F31*ER!F31</f>
        <v>4.6560194966196306E-5</v>
      </c>
      <c r="G31" s="34">
        <f>Prob!G31*ER!G31</f>
        <v>7.711434858490021E-5</v>
      </c>
      <c r="H31" s="34">
        <f>Prob!H31*ER!H31</f>
        <v>-3.0842266191030278E-5</v>
      </c>
      <c r="I31" s="34">
        <f>Prob!I31*ER!I31</f>
        <v>-9.8881147619838314E-5</v>
      </c>
      <c r="J31" s="34">
        <f>Prob!J31*ER!J31</f>
        <v>-1.3320013663983889E-4</v>
      </c>
      <c r="K31" s="46">
        <f>Prob!K31*ER!K31</f>
        <v>-5.6762624341457192E-4</v>
      </c>
      <c r="L31" s="46">
        <f t="shared" si="0"/>
        <v>-8.8801687416054488E-4</v>
      </c>
    </row>
    <row r="32" spans="1:12" x14ac:dyDescent="0.2">
      <c r="A32" s="45">
        <v>4</v>
      </c>
      <c r="B32" s="34">
        <f>Prob!B32*ER!B32</f>
        <v>-6.2086736989862843E-5</v>
      </c>
      <c r="C32" s="34">
        <f>Prob!C32*ER!C32</f>
        <v>-9.9217969999115483E-6</v>
      </c>
      <c r="D32" s="34">
        <f>Prob!D32*ER!D32</f>
        <v>3.6437244108578442E-6</v>
      </c>
      <c r="E32" s="34">
        <f>Prob!E32*ER!E32</f>
        <v>1.7653378824400917E-5</v>
      </c>
      <c r="F32" s="34">
        <f>Prob!F32*ER!F32</f>
        <v>3.6531576189289646E-5</v>
      </c>
      <c r="G32" s="34">
        <f>Prob!G32*ER!G32</f>
        <v>6.6434563003753597E-5</v>
      </c>
      <c r="H32" s="34">
        <f>Prob!H32*ER!H32</f>
        <v>3.7418042496014052E-5</v>
      </c>
      <c r="I32" s="34">
        <f>Prob!I32*ER!I32</f>
        <v>-2.7263666663020625E-5</v>
      </c>
      <c r="J32" s="34">
        <f>Prob!J32*ER!J32</f>
        <v>-9.5669700499871456E-5</v>
      </c>
      <c r="K32" s="46">
        <f>Prob!K32*ER!K32</f>
        <v>-4.1910310796402253E-4</v>
      </c>
      <c r="L32" s="46">
        <f t="shared" si="0"/>
        <v>-4.5236372419237296E-4</v>
      </c>
    </row>
    <row r="33" spans="1:12" x14ac:dyDescent="0.2">
      <c r="A33" s="45">
        <v>5</v>
      </c>
      <c r="B33" s="34">
        <f>Prob!B33*ER!B33</f>
        <v>2.5666026102289253E-5</v>
      </c>
      <c r="C33" s="34">
        <f>Prob!C33*ER!C33</f>
        <v>1.6337706529007698E-4</v>
      </c>
      <c r="D33" s="34">
        <f>Prob!D33*ER!D33</f>
        <v>1.8630890768135604E-4</v>
      </c>
      <c r="E33" s="34">
        <f>Prob!E33*ER!E33</f>
        <v>2.0980438952860903E-4</v>
      </c>
      <c r="F33" s="34">
        <f>Prob!F33*ER!F33</f>
        <v>2.3328043195415012E-4</v>
      </c>
      <c r="G33" s="34">
        <f>Prob!G33*ER!G33</f>
        <v>2.6198915275273951E-4</v>
      </c>
      <c r="H33" s="34">
        <f>Prob!H33*ER!H33</f>
        <v>1.7861286084771861E-4</v>
      </c>
      <c r="I33" s="34">
        <f>Prob!I33*ER!I33</f>
        <v>1.3046687159139E-4</v>
      </c>
      <c r="J33" s="34">
        <f>Prob!J33*ER!J33</f>
        <v>6.5693385699031059E-5</v>
      </c>
      <c r="K33" s="46">
        <f>Prob!K33*ER!K33</f>
        <v>4.2533843561558463E-5</v>
      </c>
      <c r="L33" s="46">
        <f t="shared" si="0"/>
        <v>1.4977329350089193E-3</v>
      </c>
    </row>
    <row r="34" spans="1:12" x14ac:dyDescent="0.2">
      <c r="A34" s="45">
        <v>6</v>
      </c>
      <c r="B34" s="34">
        <f>Prob!B34*ER!B34</f>
        <v>-1.1046052533037082E-4</v>
      </c>
      <c r="C34" s="34">
        <f>Prob!C34*ER!C34</f>
        <v>-9.9516048784367876E-5</v>
      </c>
      <c r="D34" s="34">
        <f>Prob!D34*ER!D34</f>
        <v>-6.2211384812154748E-5</v>
      </c>
      <c r="E34" s="34">
        <f>Prob!E34*ER!E34</f>
        <v>-2.255790201624774E-5</v>
      </c>
      <c r="F34" s="34">
        <f>Prob!F34*ER!F34</f>
        <v>2.0021347743994458E-5</v>
      </c>
      <c r="G34" s="34">
        <f>Prob!G34*ER!G34</f>
        <v>4.9122742197695489E-5</v>
      </c>
      <c r="H34" s="34">
        <f>Prob!H34*ER!H34</f>
        <v>-9.6881071696547228E-5</v>
      </c>
      <c r="I34" s="34">
        <f>Prob!I34*ER!I34</f>
        <v>-1.2361165453995732E-4</v>
      </c>
      <c r="J34" s="34">
        <f>Prob!J34*ER!J34</f>
        <v>-1.5476253100088104E-4</v>
      </c>
      <c r="K34" s="46">
        <f>Prob!K34*ER!K34</f>
        <v>-6.4038596886342258E-4</v>
      </c>
      <c r="L34" s="46">
        <f t="shared" si="0"/>
        <v>-1.2412429971022593E-3</v>
      </c>
    </row>
    <row r="35" spans="1:12" x14ac:dyDescent="0.2">
      <c r="A35" s="45">
        <v>7</v>
      </c>
      <c r="B35" s="34">
        <f>Prob!B35*ER!B35</f>
        <v>-1.3865272571084194E-4</v>
      </c>
      <c r="C35" s="34">
        <f>Prob!C35*ER!C35</f>
        <v>-7.0771679559603607E-5</v>
      </c>
      <c r="D35" s="34">
        <f>Prob!D35*ER!D35</f>
        <v>-3.4031247514593016E-5</v>
      </c>
      <c r="E35" s="34">
        <f>Prob!E35*ER!E35</f>
        <v>4.784464021885564E-6</v>
      </c>
      <c r="F35" s="34">
        <f>Prob!F35*ER!F35</f>
        <v>4.5500510554360577E-5</v>
      </c>
      <c r="G35" s="34">
        <f>Prob!G35*ER!G35</f>
        <v>8.5430696042095434E-5</v>
      </c>
      <c r="H35" s="34">
        <f>Prob!H35*ER!H35</f>
        <v>-4.1192936232059958E-5</v>
      </c>
      <c r="I35" s="34">
        <f>Prob!I35*ER!I35</f>
        <v>-1.6928497591591588E-4</v>
      </c>
      <c r="J35" s="34">
        <f>Prob!J35*ER!J35</f>
        <v>-1.961446602113042E-4</v>
      </c>
      <c r="K35" s="46">
        <f>Prob!K35*ER!K35</f>
        <v>-7.8368260807760678E-4</v>
      </c>
      <c r="L35" s="46">
        <f t="shared" si="0"/>
        <v>-1.2980451626035839E-3</v>
      </c>
    </row>
    <row r="36" spans="1:12" x14ac:dyDescent="0.2">
      <c r="A36" s="45">
        <v>8</v>
      </c>
      <c r="B36" s="34">
        <f>Prob!B36*ER!B36</f>
        <v>-1.2417347397972569E-4</v>
      </c>
      <c r="C36" s="34">
        <f>Prob!C36*ER!C36</f>
        <v>8.7779243164188628E-6</v>
      </c>
      <c r="D36" s="34">
        <f>Prob!D36*ER!D36</f>
        <v>3.9548411686960985E-5</v>
      </c>
      <c r="E36" s="34">
        <f>Prob!E36*ER!E36</f>
        <v>7.1264209916311032E-5</v>
      </c>
      <c r="F36" s="34">
        <f>Prob!F36*ER!F36</f>
        <v>1.0392271497745792E-4</v>
      </c>
      <c r="G36" s="34">
        <f>Prob!G36*ER!G36</f>
        <v>1.4817177850940592E-4</v>
      </c>
      <c r="H36" s="34">
        <f>Prob!H36*ER!H36</f>
        <v>9.628110923373036E-5</v>
      </c>
      <c r="I36" s="34">
        <f>Prob!I36*ER!I36</f>
        <v>-3.9864509608340102E-5</v>
      </c>
      <c r="J36" s="34">
        <f>Prob!J36*ER!J36</f>
        <v>-1.8452415769531965E-4</v>
      </c>
      <c r="K36" s="46">
        <f>Prob!K36*ER!K36</f>
        <v>-8.226394703170221E-4</v>
      </c>
      <c r="L36" s="46">
        <f t="shared" si="0"/>
        <v>-7.0323546296012247E-4</v>
      </c>
    </row>
    <row r="37" spans="1:12" x14ac:dyDescent="0.2">
      <c r="A37" s="45">
        <v>9</v>
      </c>
      <c r="B37" s="34">
        <f>Prob!B37*ER!B37</f>
        <v>-3.1574170390347508E-5</v>
      </c>
      <c r="C37" s="34">
        <f>Prob!C37*ER!C37</f>
        <v>8.4036879827335614E-5</v>
      </c>
      <c r="D37" s="34">
        <f>Prob!D37*ER!D37</f>
        <v>1.1021400570291901E-4</v>
      </c>
      <c r="E37" s="34">
        <f>Prob!E37*ER!E37</f>
        <v>1.3723411160348949E-4</v>
      </c>
      <c r="F37" s="34">
        <f>Prob!F37*ER!F37</f>
        <v>1.6538381992361889E-4</v>
      </c>
      <c r="G37" s="34">
        <f>Prob!G37*ER!G37</f>
        <v>2.0180910737007871E-4</v>
      </c>
      <c r="H37" s="34">
        <f>Prob!H37*ER!H37</f>
        <v>1.8186352632523981E-4</v>
      </c>
      <c r="I37" s="34">
        <f>Prob!I37*ER!I37</f>
        <v>9.8007861924052136E-5</v>
      </c>
      <c r="J37" s="34">
        <f>Prob!J37*ER!J37</f>
        <v>-4.2630747545053945E-5</v>
      </c>
      <c r="K37" s="46">
        <f>Prob!K37*ER!K37</f>
        <v>-2.9965544701626332E-4</v>
      </c>
      <c r="L37" s="46">
        <f t="shared" si="0"/>
        <v>6.0468894772506881E-4</v>
      </c>
    </row>
    <row r="38" spans="1:12" ht="16" thickBot="1" x14ac:dyDescent="0.25">
      <c r="A38" s="67">
        <v>10</v>
      </c>
      <c r="B38" s="68">
        <f>Prob!B38*ER!B38</f>
        <v>3.3047766721608471E-3</v>
      </c>
      <c r="C38" s="68">
        <f>Prob!C38*ER!C38</f>
        <v>4.6608034608417942E-3</v>
      </c>
      <c r="D38" s="68">
        <f>Prob!D38*ER!D38</f>
        <v>4.7357093800745121E-3</v>
      </c>
      <c r="E38" s="68">
        <f>Prob!E38*ER!E38</f>
        <v>4.8142009063127681E-3</v>
      </c>
      <c r="F38" s="68">
        <f>Prob!F38*ER!F38</f>
        <v>4.8820004779812475E-3</v>
      </c>
      <c r="G38" s="68">
        <f>Prob!G38*ER!G38</f>
        <v>5.1266896325632754E-3</v>
      </c>
      <c r="H38" s="68">
        <f>Prob!H38*ER!H38</f>
        <v>5.631149578786891E-3</v>
      </c>
      <c r="I38" s="68">
        <f>Prob!I38*ER!I38</f>
        <v>5.766519141024295E-3</v>
      </c>
      <c r="J38" s="68">
        <f>Prob!J38*ER!J38</f>
        <v>5.5228538611458997E-3</v>
      </c>
      <c r="K38" s="161">
        <f>Prob!K38*ER!K38</f>
        <v>1.4911412452209501E-2</v>
      </c>
      <c r="L38" s="161">
        <f t="shared" si="0"/>
        <v>5.9356115563101025E-2</v>
      </c>
    </row>
    <row r="39" spans="1:12" ht="16" thickBot="1" x14ac:dyDescent="0.25">
      <c r="A39" s="162" t="s">
        <v>2</v>
      </c>
      <c r="B39" s="69">
        <f>SUM(B3:B17,B19:B27,B29:B38)</f>
        <v>-3.3888462328432469E-3</v>
      </c>
      <c r="C39" s="69">
        <f t="shared" ref="C39:K39" si="1">SUM(C3:C17,C19:C27,C29:C38)</f>
        <v>6.9541508469399532E-3</v>
      </c>
      <c r="D39" s="69">
        <f t="shared" si="1"/>
        <v>9.4591424386653907E-3</v>
      </c>
      <c r="E39" s="69">
        <f t="shared" si="1"/>
        <v>1.210742266554685E-2</v>
      </c>
      <c r="F39" s="69">
        <f t="shared" si="1"/>
        <v>1.5011562997982304E-2</v>
      </c>
      <c r="G39" s="69">
        <f t="shared" si="1"/>
        <v>1.7870091824583961E-2</v>
      </c>
      <c r="H39" s="69">
        <f t="shared" si="1"/>
        <v>1.099842076299935E-2</v>
      </c>
      <c r="I39" s="69">
        <f t="shared" si="1"/>
        <v>4.4419869186778345E-3</v>
      </c>
      <c r="J39" s="69">
        <f t="shared" si="1"/>
        <v>-3.0934376856260526E-3</v>
      </c>
      <c r="K39" s="70">
        <f t="shared" si="1"/>
        <v>-3.0112809730866625E-2</v>
      </c>
      <c r="L39" s="70">
        <f>SUM(L3:L17,L19:L27,L29:L38)</f>
        <v>4.0247684806059753E-2</v>
      </c>
    </row>
    <row r="40" spans="1:12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</row>
    <row r="41" spans="1:12" x14ac:dyDescent="0.2">
      <c r="F41" s="329" t="s">
        <v>11</v>
      </c>
      <c r="G41" s="330"/>
      <c r="H41" s="39">
        <f>Blackjack!C3*ER!C40</f>
        <v>-4.5096460207975919E-2</v>
      </c>
    </row>
    <row r="42" spans="1:12" ht="16" thickBot="1" x14ac:dyDescent="0.25"/>
    <row r="43" spans="1:12" x14ac:dyDescent="0.2">
      <c r="B43" s="334" t="s">
        <v>16</v>
      </c>
      <c r="C43" s="335"/>
      <c r="D43" s="115">
        <f>SUM(B3:K17)</f>
        <v>-9.6472569179464701E-2</v>
      </c>
      <c r="F43" s="158" t="s">
        <v>29</v>
      </c>
      <c r="G43" s="159"/>
      <c r="H43" s="50">
        <f>H41</f>
        <v>-4.5096460207975919E-2</v>
      </c>
      <c r="J43" s="331">
        <f>SUM(D43:D45)</f>
        <v>4.0247684806059739E-2</v>
      </c>
      <c r="K43" s="112" t="s">
        <v>69</v>
      </c>
      <c r="L43" s="115">
        <f>SUMIF($B$3:$K$17,"&gt;0")+SUMIF($B$19:$K$27,"&gt;0")+ SUMIF($B$29:$K$38,"&gt;0")</f>
        <v>0.19780197508881214</v>
      </c>
    </row>
    <row r="44" spans="1:12" ht="16" thickBot="1" x14ac:dyDescent="0.25">
      <c r="B44" s="336" t="s">
        <v>17</v>
      </c>
      <c r="C44" s="337"/>
      <c r="D44" s="160">
        <f>SUM(B19:K27)</f>
        <v>7.8380375117117845E-2</v>
      </c>
      <c r="F44" s="147" t="s">
        <v>115</v>
      </c>
      <c r="G44" s="148"/>
      <c r="H44" s="50">
        <f>IF(Rules!$B$15=Rules!$E$15,'Three 7 Cards'!$D$2,IF(Rules!$B$15=Rules!$F$15,2*'Three 7 Cards'!$D$2,0))</f>
        <v>0</v>
      </c>
      <c r="J44" s="332"/>
      <c r="K44" s="113" t="s">
        <v>70</v>
      </c>
      <c r="L44" s="116">
        <f>SUMIF($B$3:$K$17,"&lt;0")+SUMIF($B$19:$K$27,"&lt;0")+ SUMIF($B$29:$K$38,"&lt;0")+H41</f>
        <v>-0.20265075049072828</v>
      </c>
    </row>
    <row r="45" spans="1:12" ht="16" thickBot="1" x14ac:dyDescent="0.25">
      <c r="B45" s="338" t="s">
        <v>18</v>
      </c>
      <c r="C45" s="339"/>
      <c r="D45" s="116">
        <f>SUM(B29:K38)</f>
        <v>5.8339878868406594E-2</v>
      </c>
      <c r="F45" s="147" t="s">
        <v>112</v>
      </c>
      <c r="G45" s="148"/>
      <c r="H45" s="50">
        <f>IF(Rules!$B$16=Rules!$E$16,'5 Cards'!$G$122,IF(Rules!$B$16=Rules!$F$16,2*'5 Cards'!$G$122,0))</f>
        <v>0</v>
      </c>
      <c r="J45" s="333"/>
      <c r="K45" s="113" t="s">
        <v>2</v>
      </c>
      <c r="L45" s="116">
        <f>L43+L44</f>
        <v>-4.8487754019161389E-3</v>
      </c>
    </row>
    <row r="46" spans="1:12" ht="16" thickBot="1" x14ac:dyDescent="0.25">
      <c r="F46" s="156" t="s">
        <v>19</v>
      </c>
      <c r="G46" s="157"/>
      <c r="H46" s="51">
        <f>SUM(D43:D45,H43:H45)</f>
        <v>-4.8487754019161805E-3</v>
      </c>
    </row>
    <row r="47" spans="1:12" ht="16" thickBot="1" x14ac:dyDescent="0.25">
      <c r="H47" s="92">
        <f>H46</f>
        <v>-4.8487754019161805E-3</v>
      </c>
    </row>
  </sheetData>
  <sheetProtection sheet="1" objects="1" scenarios="1"/>
  <mergeCells count="6">
    <mergeCell ref="A1:L1"/>
    <mergeCell ref="F41:G41"/>
    <mergeCell ref="J43:J45"/>
    <mergeCell ref="B43:C43"/>
    <mergeCell ref="B44:C44"/>
    <mergeCell ref="B45:C45"/>
  </mergeCells>
  <phoneticPr fontId="16" type="noConversion"/>
  <conditionalFormatting sqref="B29:K40 B19:L27 L29:L39 B3:L17">
    <cfRule type="containsText" dxfId="748" priority="15" operator="containsText" text="R">
      <formula>NOT(ISERROR(SEARCH("R",B3)))</formula>
    </cfRule>
    <cfRule type="containsText" dxfId="747" priority="16" operator="containsText" text="D">
      <formula>NOT(ISERROR(SEARCH("D",B3)))</formula>
    </cfRule>
    <cfRule type="containsText" dxfId="746" priority="17" operator="containsText" text="S">
      <formula>NOT(ISERROR(SEARCH("S",B3)))</formula>
    </cfRule>
    <cfRule type="containsText" dxfId="745" priority="18" operator="containsText" text="H">
      <formula>NOT(ISERROR(SEARCH("H",B3)))</formula>
    </cfRule>
  </conditionalFormatting>
  <conditionalFormatting sqref="B29:K40 B19:L27 L29:L39 B3:L17">
    <cfRule type="containsText" dxfId="744" priority="14" operator="containsText" text="P">
      <formula>NOT(ISERROR(SEARCH("P",B3)))</formula>
    </cfRule>
  </conditionalFormatting>
  <conditionalFormatting sqref="B3:L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L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L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7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S48"/>
  <sheetViews>
    <sheetView workbookViewId="0">
      <selection activeCell="R15" sqref="R15"/>
    </sheetView>
  </sheetViews>
  <sheetFormatPr baseColWidth="10" defaultColWidth="8.83203125" defaultRowHeight="15" x14ac:dyDescent="0.2"/>
  <cols>
    <col min="1" max="2" width="8.83203125" style="33"/>
    <col min="3" max="3" width="8.83203125" style="33" customWidth="1"/>
    <col min="4" max="15" width="8.83203125" style="33"/>
    <col min="16" max="16" width="9.6640625" style="33" bestFit="1" customWidth="1"/>
    <col min="17" max="17" width="8.6640625" style="33" bestFit="1" customWidth="1"/>
    <col min="18" max="16384" width="8.83203125" style="33"/>
  </cols>
  <sheetData>
    <row r="1" spans="1:19" ht="16" thickBot="1" x14ac:dyDescent="0.25">
      <c r="A1" s="42" t="s">
        <v>9</v>
      </c>
      <c r="B1" s="43" t="s">
        <v>1</v>
      </c>
      <c r="C1" s="43">
        <v>2</v>
      </c>
      <c r="D1" s="43">
        <v>3</v>
      </c>
      <c r="E1" s="43">
        <v>4</v>
      </c>
      <c r="F1" s="43">
        <v>5</v>
      </c>
      <c r="G1" s="43">
        <v>6</v>
      </c>
      <c r="H1" s="43">
        <v>7</v>
      </c>
      <c r="I1" s="43">
        <v>8</v>
      </c>
      <c r="J1" s="43">
        <v>9</v>
      </c>
      <c r="K1" s="44">
        <v>10</v>
      </c>
    </row>
    <row r="2" spans="1:19" ht="16" thickBot="1" x14ac:dyDescent="0.25">
      <c r="A2" s="45">
        <v>5</v>
      </c>
      <c r="B2" s="34">
        <f>IF(EV!B3&lt;0,-Prob!B3,Prob!B3)</f>
        <v>-6.3023003396239633E-4</v>
      </c>
      <c r="C2" s="34">
        <f>IF(EV!C3&lt;0,-Prob!C3,Prob!C3)</f>
        <v>-9.1033227127901696E-4</v>
      </c>
      <c r="D2" s="34">
        <f>IF(EV!D3&lt;0,-Prob!D3,Prob!D3)</f>
        <v>-9.1033227127901696E-4</v>
      </c>
      <c r="E2" s="34">
        <f>IF(EV!E3&lt;0,-Prob!E3,Prob!E3)</f>
        <v>-9.1033227127901696E-4</v>
      </c>
      <c r="F2" s="34">
        <f>IF(EV!F3&lt;0,-Prob!F3,Prob!F3)</f>
        <v>-9.1033227127901696E-4</v>
      </c>
      <c r="G2" s="34">
        <f>IF(EV!G3&lt;0,-Prob!G3,Prob!G3)</f>
        <v>-9.1033227127901696E-4</v>
      </c>
      <c r="H2" s="34">
        <f>IF(EV!H3&lt;0,-Prob!H3,Prob!H3)</f>
        <v>-9.1033227127901696E-4</v>
      </c>
      <c r="I2" s="34">
        <f>IF(EV!I3&lt;0,-Prob!I3,Prob!I3)</f>
        <v>-9.1033227127901696E-4</v>
      </c>
      <c r="J2" s="34">
        <f>IF(EV!J3&lt;0,-Prob!J3,Prob!J3)</f>
        <v>-9.1033227127901696E-4</v>
      </c>
      <c r="K2" s="34">
        <f>IF(EV!K3&lt;0,-Prob!K3,Prob!K3)</f>
        <v>-3.3612268477994475E-3</v>
      </c>
      <c r="M2" s="344" t="s">
        <v>194</v>
      </c>
      <c r="N2" s="345"/>
      <c r="O2" s="345"/>
      <c r="P2" s="345"/>
      <c r="Q2" s="345"/>
      <c r="R2" s="346"/>
    </row>
    <row r="3" spans="1:19" ht="16" customHeight="1" thickBot="1" x14ac:dyDescent="0.25">
      <c r="A3" s="45">
        <v>6</v>
      </c>
      <c r="B3" s="34">
        <f>IF(EV!B4&lt;0,-Prob!B4,Prob!B4)</f>
        <v>-6.3023003396239633E-4</v>
      </c>
      <c r="C3" s="34">
        <f>IF(EV!C4&lt;0,-Prob!C4,Prob!C4)</f>
        <v>-9.1033227127901696E-4</v>
      </c>
      <c r="D3" s="34">
        <f>IF(EV!D4&lt;0,-Prob!D4,Prob!D4)</f>
        <v>-9.1033227127901696E-4</v>
      </c>
      <c r="E3" s="34">
        <f>IF(EV!E4&lt;0,-Prob!E4,Prob!E4)</f>
        <v>-9.1033227127901696E-4</v>
      </c>
      <c r="F3" s="34">
        <f>IF(EV!F4&lt;0,-Prob!F4,Prob!F4)</f>
        <v>-9.1033227127901696E-4</v>
      </c>
      <c r="G3" s="34">
        <f>IF(EV!G4&lt;0,-Prob!G4,Prob!G4)</f>
        <v>-9.1033227127901696E-4</v>
      </c>
      <c r="H3" s="34">
        <f>IF(EV!H4&lt;0,-Prob!H4,Prob!H4)</f>
        <v>-9.1033227127901696E-4</v>
      </c>
      <c r="I3" s="34">
        <f>IF(EV!I4&lt;0,-Prob!I4,Prob!I4)</f>
        <v>-9.1033227127901696E-4</v>
      </c>
      <c r="J3" s="34">
        <f>IF(EV!J4&lt;0,-Prob!J4,Prob!J4)</f>
        <v>-9.1033227127901696E-4</v>
      </c>
      <c r="K3" s="34">
        <f>IF(EV!K4&lt;0,-Prob!K4,Prob!K4)</f>
        <v>-3.3612268477994475E-3</v>
      </c>
      <c r="M3" s="350"/>
      <c r="N3" s="351"/>
      <c r="O3" s="233" t="s">
        <v>8</v>
      </c>
      <c r="P3" s="234" t="s">
        <v>37</v>
      </c>
      <c r="Q3" s="234" t="s">
        <v>36</v>
      </c>
      <c r="R3" s="235" t="s">
        <v>38</v>
      </c>
    </row>
    <row r="4" spans="1:19" x14ac:dyDescent="0.2">
      <c r="A4" s="45">
        <v>7</v>
      </c>
      <c r="B4" s="34">
        <f>IF(EV!B5&lt;0,-Prob!B5,Prob!B5)</f>
        <v>-1.2604600679247927E-3</v>
      </c>
      <c r="C4" s="34">
        <f>IF(EV!C5&lt;0,-Prob!C5,Prob!C5)</f>
        <v>-1.8206645425580339E-3</v>
      </c>
      <c r="D4" s="34">
        <f>IF(EV!D5&lt;0,-Prob!D5,Prob!D5)</f>
        <v>-1.8206645425580339E-3</v>
      </c>
      <c r="E4" s="34">
        <f>IF(EV!E5&lt;0,-Prob!E5,Prob!E5)</f>
        <v>-1.8206645425580339E-3</v>
      </c>
      <c r="F4" s="34">
        <f>IF(EV!F5&lt;0,-Prob!F5,Prob!F5)</f>
        <v>-1.8206645425580339E-3</v>
      </c>
      <c r="G4" s="34">
        <f>IF(EV!G5&lt;0,-Prob!G5,Prob!G5)</f>
        <v>1.8206645425580339E-3</v>
      </c>
      <c r="H4" s="34">
        <f>IF(EV!H5&lt;0,-Prob!H5,Prob!H5)</f>
        <v>-1.8206645425580339E-3</v>
      </c>
      <c r="I4" s="34">
        <f>IF(EV!I5&lt;0,-Prob!I5,Prob!I5)</f>
        <v>-1.8206645425580339E-3</v>
      </c>
      <c r="J4" s="34">
        <f>IF(EV!J5&lt;0,-Prob!J5,Prob!J5)</f>
        <v>-1.8206645425580339E-3</v>
      </c>
      <c r="K4" s="34">
        <f>IF(EV!K5&lt;0,-Prob!K5,Prob!K5)</f>
        <v>-6.7224536955988951E-3</v>
      </c>
      <c r="M4" s="352" t="s">
        <v>35</v>
      </c>
      <c r="N4" s="353"/>
      <c r="O4" s="236">
        <f>-(SUMIF(B2:K16,"&lt;0")+SUMIF(B18:K26,"&lt;0")+SUMIF(B28:K37,"&lt;0")+C46)</f>
        <v>0.60172963131542967</v>
      </c>
      <c r="P4" s="237">
        <f>O4</f>
        <v>0.60172963131542967</v>
      </c>
      <c r="Q4" s="238">
        <f>O4</f>
        <v>0.60172963131542967</v>
      </c>
      <c r="R4" s="239">
        <f>ROUND(Q4*10,0)</f>
        <v>6</v>
      </c>
    </row>
    <row r="5" spans="1:19" ht="16" thickBot="1" x14ac:dyDescent="0.25">
      <c r="A5" s="45">
        <v>8</v>
      </c>
      <c r="B5" s="34">
        <f>IF(EV!B6&lt;0,-Prob!B6,Prob!B6)</f>
        <v>-1.2604600679247927E-3</v>
      </c>
      <c r="C5" s="34">
        <f>IF(EV!C6&lt;0,-Prob!C6,Prob!C6)</f>
        <v>-1.8206645425580339E-3</v>
      </c>
      <c r="D5" s="34">
        <f>IF(EV!D6&lt;0,-Prob!D6,Prob!D6)</f>
        <v>1.8206645425580339E-3</v>
      </c>
      <c r="E5" s="34">
        <f>IF(EV!E6&lt;0,-Prob!E6,Prob!E6)</f>
        <v>1.8206645425580339E-3</v>
      </c>
      <c r="F5" s="34">
        <f>IF(EV!F6&lt;0,-Prob!F6,Prob!F6)</f>
        <v>1.8206645425580339E-3</v>
      </c>
      <c r="G5" s="34">
        <f>IF(EV!G6&lt;0,-Prob!G6,Prob!G6)</f>
        <v>1.8206645425580339E-3</v>
      </c>
      <c r="H5" s="34">
        <f>IF(EV!H6&lt;0,-Prob!H6,Prob!H6)</f>
        <v>1.8206645425580339E-3</v>
      </c>
      <c r="I5" s="34">
        <f>IF(EV!I6&lt;0,-Prob!I6,Prob!I6)</f>
        <v>-1.8206645425580339E-3</v>
      </c>
      <c r="J5" s="34">
        <f>IF(EV!J6&lt;0,-Prob!J6,Prob!J6)</f>
        <v>-1.8206645425580339E-3</v>
      </c>
      <c r="K5" s="34">
        <f>IF(EV!K6&lt;0,-Prob!K6,Prob!K6)</f>
        <v>-6.7224536955988951E-3</v>
      </c>
      <c r="M5" s="354" t="s">
        <v>34</v>
      </c>
      <c r="N5" s="355"/>
      <c r="O5" s="240">
        <f>SUMIF(B2:K16,"&gt;0")+SUMIF(B18:K26,"&gt;0")+SUMIF(B28:K37,"&gt;0")</f>
        <v>0.39827036868457011</v>
      </c>
      <c r="P5" s="241">
        <f>O5</f>
        <v>0.39827036868457011</v>
      </c>
      <c r="Q5" s="242">
        <f>O5</f>
        <v>0.39827036868457011</v>
      </c>
      <c r="R5" s="243">
        <f>ROUND(Q5*10,0)</f>
        <v>4</v>
      </c>
    </row>
    <row r="6" spans="1:19" ht="16" thickBot="1" x14ac:dyDescent="0.25">
      <c r="A6" s="45">
        <v>9</v>
      </c>
      <c r="B6" s="34">
        <f>IF(EV!B7&lt;0,-Prob!B7,Prob!B7)</f>
        <v>-1.890690101887189E-3</v>
      </c>
      <c r="C6" s="34">
        <f>IF(EV!C7&lt;0,-Prob!C7,Prob!C7)</f>
        <v>2.730996813837051E-3</v>
      </c>
      <c r="D6" s="34">
        <f>IF(EV!D7&lt;0,-Prob!D7,Prob!D7)</f>
        <v>2.730996813837051E-3</v>
      </c>
      <c r="E6" s="34">
        <f>IF(EV!E7&lt;0,-Prob!E7,Prob!E7)</f>
        <v>2.730996813837051E-3</v>
      </c>
      <c r="F6" s="34">
        <f>IF(EV!F7&lt;0,-Prob!F7,Prob!F7)</f>
        <v>2.730996813837051E-3</v>
      </c>
      <c r="G6" s="34">
        <f>IF(EV!G7&lt;0,-Prob!G7,Prob!G7)</f>
        <v>2.730996813837051E-3</v>
      </c>
      <c r="H6" s="34">
        <f>IF(EV!H7&lt;0,-Prob!H7,Prob!H7)</f>
        <v>2.730996813837051E-3</v>
      </c>
      <c r="I6" s="34">
        <f>IF(EV!I7&lt;0,-Prob!I7,Prob!I7)</f>
        <v>2.730996813837051E-3</v>
      </c>
      <c r="J6" s="34">
        <f>IF(EV!J7&lt;0,-Prob!J7,Prob!J7)</f>
        <v>-2.730996813837051E-3</v>
      </c>
      <c r="K6" s="34">
        <f>IF(EV!K7&lt;0,-Prob!K7,Prob!K7)</f>
        <v>-1.0083680543398343E-2</v>
      </c>
      <c r="M6" s="340" t="s">
        <v>2</v>
      </c>
      <c r="N6" s="341"/>
      <c r="O6" s="244">
        <f>SUM(O4:O5)</f>
        <v>0.99999999999999978</v>
      </c>
      <c r="P6" s="245">
        <f>O6</f>
        <v>0.99999999999999978</v>
      </c>
      <c r="Q6" s="246">
        <f>O6</f>
        <v>0.99999999999999978</v>
      </c>
      <c r="R6" s="247">
        <f>ROUND(Q6*10,0)</f>
        <v>10</v>
      </c>
    </row>
    <row r="7" spans="1:19" ht="16" thickBot="1" x14ac:dyDescent="0.25">
      <c r="A7" s="45">
        <v>10</v>
      </c>
      <c r="B7" s="34">
        <f>IF(EV!B8&lt;0,-Prob!B8,Prob!B8)</f>
        <v>1.890690101887189E-3</v>
      </c>
      <c r="C7" s="34">
        <f>IF(EV!C8&lt;0,-Prob!C8,Prob!C8)</f>
        <v>2.730996813837051E-3</v>
      </c>
      <c r="D7" s="34">
        <f>IF(EV!D8&lt;0,-Prob!D8,Prob!D8)</f>
        <v>2.730996813837051E-3</v>
      </c>
      <c r="E7" s="34">
        <f>IF(EV!E8&lt;0,-Prob!E8,Prob!E8)</f>
        <v>2.730996813837051E-3</v>
      </c>
      <c r="F7" s="34">
        <f>IF(EV!F8&lt;0,-Prob!F8,Prob!F8)</f>
        <v>2.730996813837051E-3</v>
      </c>
      <c r="G7" s="34">
        <f>IF(EV!G8&lt;0,-Prob!G8,Prob!G8)</f>
        <v>2.730996813837051E-3</v>
      </c>
      <c r="H7" s="34">
        <f>IF(EV!H8&lt;0,-Prob!H8,Prob!H8)</f>
        <v>2.730996813837051E-3</v>
      </c>
      <c r="I7" s="34">
        <f>IF(EV!I8&lt;0,-Prob!I8,Prob!I8)</f>
        <v>2.730996813837051E-3</v>
      </c>
      <c r="J7" s="34">
        <f>IF(EV!J8&lt;0,-Prob!J8,Prob!J8)</f>
        <v>2.730996813837051E-3</v>
      </c>
      <c r="K7" s="34">
        <f>IF(EV!K8&lt;0,-Prob!K8,Prob!K8)</f>
        <v>1.0083680543398343E-2</v>
      </c>
      <c r="M7" s="342" t="s">
        <v>39</v>
      </c>
      <c r="N7" s="343"/>
      <c r="O7" s="248">
        <f>O5-O4</f>
        <v>-0.20345926263085956</v>
      </c>
      <c r="P7" s="249">
        <f>P5-P4</f>
        <v>-0.20345926263085956</v>
      </c>
      <c r="Q7" s="250"/>
      <c r="R7" s="251"/>
    </row>
    <row r="8" spans="1:19" x14ac:dyDescent="0.2">
      <c r="A8" s="45">
        <v>11</v>
      </c>
      <c r="B8" s="34">
        <f>IF(EV!B9&lt;0,-Prob!B9,Prob!B9)</f>
        <v>2.5209201358495858E-3</v>
      </c>
      <c r="C8" s="34">
        <f>IF(EV!C9&lt;0,-Prob!C9,Prob!C9)</f>
        <v>3.6413290851160683E-3</v>
      </c>
      <c r="D8" s="34">
        <f>IF(EV!D9&lt;0,-Prob!D9,Prob!D9)</f>
        <v>3.6413290851160683E-3</v>
      </c>
      <c r="E8" s="34">
        <f>IF(EV!E9&lt;0,-Prob!E9,Prob!E9)</f>
        <v>3.6413290851160683E-3</v>
      </c>
      <c r="F8" s="34">
        <f>IF(EV!F9&lt;0,-Prob!F9,Prob!F9)</f>
        <v>3.6413290851160683E-3</v>
      </c>
      <c r="G8" s="34">
        <f>IF(EV!G9&lt;0,-Prob!G9,Prob!G9)</f>
        <v>3.6413290851160683E-3</v>
      </c>
      <c r="H8" s="34">
        <f>IF(EV!H9&lt;0,-Prob!H9,Prob!H9)</f>
        <v>3.6413290851160683E-3</v>
      </c>
      <c r="I8" s="34">
        <f>IF(EV!I9&lt;0,-Prob!I9,Prob!I9)</f>
        <v>3.6413290851160683E-3</v>
      </c>
      <c r="J8" s="34">
        <f>IF(EV!J9&lt;0,-Prob!J9,Prob!J9)</f>
        <v>3.6413290851160683E-3</v>
      </c>
      <c r="K8" s="34">
        <f>IF(EV!K9&lt;0,-Prob!K9,Prob!K9)</f>
        <v>1.3444907391197792E-2</v>
      </c>
    </row>
    <row r="9" spans="1:19" x14ac:dyDescent="0.2">
      <c r="A9" s="45">
        <v>12</v>
      </c>
      <c r="B9" s="34">
        <f>IF(EV!B10&lt;0,-Prob!B10,Prob!B10)</f>
        <v>-4.4116102377367745E-3</v>
      </c>
      <c r="C9" s="34">
        <f>IF(EV!C10&lt;0,-Prob!C10,Prob!C10)</f>
        <v>-6.3723258989531193E-3</v>
      </c>
      <c r="D9" s="34">
        <f>IF(EV!D10&lt;0,-Prob!D10,Prob!D10)</f>
        <v>-6.3723258989531193E-3</v>
      </c>
      <c r="E9" s="34">
        <f>IF(EV!E10&lt;0,-Prob!E10,Prob!E10)</f>
        <v>-6.3723258989531193E-3</v>
      </c>
      <c r="F9" s="34">
        <f>IF(EV!F10&lt;0,-Prob!F10,Prob!F10)</f>
        <v>-6.3723258989531193E-3</v>
      </c>
      <c r="G9" s="34">
        <f>IF(EV!G10&lt;0,-Prob!G10,Prob!G10)</f>
        <v>-6.3723258989531193E-3</v>
      </c>
      <c r="H9" s="34">
        <f>IF(EV!H10&lt;0,-Prob!H10,Prob!H10)</f>
        <v>-6.3723258989531193E-3</v>
      </c>
      <c r="I9" s="34">
        <f>IF(EV!I10&lt;0,-Prob!I10,Prob!I10)</f>
        <v>-6.3723258989531193E-3</v>
      </c>
      <c r="J9" s="34">
        <f>IF(EV!J10&lt;0,-Prob!J10,Prob!J10)</f>
        <v>-6.3723258989531193E-3</v>
      </c>
      <c r="K9" s="34">
        <f>IF(EV!K10&lt;0,-Prob!K10,Prob!K10)</f>
        <v>-2.3528587934596133E-2</v>
      </c>
    </row>
    <row r="10" spans="1:19" x14ac:dyDescent="0.2">
      <c r="A10" s="45">
        <v>13</v>
      </c>
      <c r="B10" s="34">
        <f>IF(EV!B11&lt;0,-Prob!B11,Prob!B11)</f>
        <v>-4.4116102377367745E-3</v>
      </c>
      <c r="C10" s="34">
        <f>IF(EV!C11&lt;0,-Prob!C11,Prob!C11)</f>
        <v>-6.3723258989531193E-3</v>
      </c>
      <c r="D10" s="34">
        <f>IF(EV!D11&lt;0,-Prob!D11,Prob!D11)</f>
        <v>-6.3723258989531193E-3</v>
      </c>
      <c r="E10" s="34">
        <f>IF(EV!E11&lt;0,-Prob!E11,Prob!E11)</f>
        <v>-6.3723258989531193E-3</v>
      </c>
      <c r="F10" s="34">
        <f>IF(EV!F11&lt;0,-Prob!F11,Prob!F11)</f>
        <v>-6.3723258989531193E-3</v>
      </c>
      <c r="G10" s="34">
        <f>IF(EV!G11&lt;0,-Prob!G11,Prob!G11)</f>
        <v>-6.3723258989531193E-3</v>
      </c>
      <c r="H10" s="34">
        <f>IF(EV!H11&lt;0,-Prob!H11,Prob!H11)</f>
        <v>-6.3723258989531193E-3</v>
      </c>
      <c r="I10" s="34">
        <f>IF(EV!I11&lt;0,-Prob!I11,Prob!I11)</f>
        <v>-6.3723258989531193E-3</v>
      </c>
      <c r="J10" s="34">
        <f>IF(EV!J11&lt;0,-Prob!J11,Prob!J11)</f>
        <v>-6.3723258989531193E-3</v>
      </c>
      <c r="K10" s="34">
        <f>IF(EV!K11&lt;0,-Prob!K11,Prob!K11)</f>
        <v>-2.3528587934596133E-2</v>
      </c>
    </row>
    <row r="11" spans="1:19" ht="16" thickBot="1" x14ac:dyDescent="0.25">
      <c r="A11" s="45">
        <v>14</v>
      </c>
      <c r="B11" s="34">
        <f>IF(EV!B12&lt;0,-Prob!B12,Prob!B12)</f>
        <v>-3.781380203774378E-3</v>
      </c>
      <c r="C11" s="34">
        <f>IF(EV!C12&lt;0,-Prob!C12,Prob!C12)</f>
        <v>-5.461993627674102E-3</v>
      </c>
      <c r="D11" s="34">
        <f>IF(EV!D12&lt;0,-Prob!D12,Prob!D12)</f>
        <v>-5.461993627674102E-3</v>
      </c>
      <c r="E11" s="34">
        <f>IF(EV!E12&lt;0,-Prob!E12,Prob!E12)</f>
        <v>-5.461993627674102E-3</v>
      </c>
      <c r="F11" s="34">
        <f>IF(EV!F12&lt;0,-Prob!F12,Prob!F12)</f>
        <v>-5.461993627674102E-3</v>
      </c>
      <c r="G11" s="34">
        <f>IF(EV!G12&lt;0,-Prob!G12,Prob!G12)</f>
        <v>-5.461993627674102E-3</v>
      </c>
      <c r="H11" s="34">
        <f>IF(EV!H12&lt;0,-Prob!H12,Prob!H12)</f>
        <v>-5.461993627674102E-3</v>
      </c>
      <c r="I11" s="34">
        <f>IF(EV!I12&lt;0,-Prob!I12,Prob!I12)</f>
        <v>-5.461993627674102E-3</v>
      </c>
      <c r="J11" s="34">
        <f>IF(EV!J12&lt;0,-Prob!J12,Prob!J12)</f>
        <v>-5.461993627674102E-3</v>
      </c>
      <c r="K11" s="34">
        <f>IF(EV!K12&lt;0,-Prob!K12,Prob!K12)</f>
        <v>-2.0167361086796686E-2</v>
      </c>
    </row>
    <row r="12" spans="1:19" ht="16.5" customHeight="1" thickBot="1" x14ac:dyDescent="0.25">
      <c r="A12" s="45">
        <v>15</v>
      </c>
      <c r="B12" s="34">
        <f>IF(EV!B13&lt;0,-Prob!B13,Prob!B13)</f>
        <v>-3.781380203774378E-3</v>
      </c>
      <c r="C12" s="34">
        <f>IF(EV!C13&lt;0,-Prob!C13,Prob!C13)</f>
        <v>-5.461993627674102E-3</v>
      </c>
      <c r="D12" s="34">
        <f>IF(EV!D13&lt;0,-Prob!D13,Prob!D13)</f>
        <v>-5.461993627674102E-3</v>
      </c>
      <c r="E12" s="34">
        <f>IF(EV!E13&lt;0,-Prob!E13,Prob!E13)</f>
        <v>-5.461993627674102E-3</v>
      </c>
      <c r="F12" s="34">
        <f>IF(EV!F13&lt;0,-Prob!F13,Prob!F13)</f>
        <v>-5.461993627674102E-3</v>
      </c>
      <c r="G12" s="34">
        <f>IF(EV!G13&lt;0,-Prob!G13,Prob!G13)</f>
        <v>-5.461993627674102E-3</v>
      </c>
      <c r="H12" s="34">
        <f>IF(EV!H13&lt;0,-Prob!H13,Prob!H13)</f>
        <v>-5.461993627674102E-3</v>
      </c>
      <c r="I12" s="34">
        <f>IF(EV!I13&lt;0,-Prob!I13,Prob!I13)</f>
        <v>-5.461993627674102E-3</v>
      </c>
      <c r="J12" s="34">
        <f>IF(EV!J13&lt;0,-Prob!J13,Prob!J13)</f>
        <v>-5.461993627674102E-3</v>
      </c>
      <c r="K12" s="34">
        <f>IF(EV!K13&lt;0,-Prob!K13,Prob!K13)</f>
        <v>-2.0167361086796686E-2</v>
      </c>
      <c r="M12" s="347" t="s">
        <v>190</v>
      </c>
      <c r="N12" s="348"/>
      <c r="O12" s="348"/>
      <c r="P12" s="348"/>
      <c r="Q12" s="348"/>
      <c r="R12" s="348"/>
      <c r="S12" s="349"/>
    </row>
    <row r="13" spans="1:19" ht="16" thickBot="1" x14ac:dyDescent="0.25">
      <c r="A13" s="45">
        <v>16</v>
      </c>
      <c r="B13" s="34">
        <f>IF(EV!B14&lt;0,-Prob!B14,Prob!B14)</f>
        <v>-3.1511501698119814E-3</v>
      </c>
      <c r="C13" s="34">
        <f>IF(EV!C14&lt;0,-Prob!C14,Prob!C14)</f>
        <v>-4.5516613563950847E-3</v>
      </c>
      <c r="D13" s="34">
        <f>IF(EV!D14&lt;0,-Prob!D14,Prob!D14)</f>
        <v>-4.5516613563950847E-3</v>
      </c>
      <c r="E13" s="34">
        <f>IF(EV!E14&lt;0,-Prob!E14,Prob!E14)</f>
        <v>-4.5516613563950847E-3</v>
      </c>
      <c r="F13" s="34">
        <f>IF(EV!F14&lt;0,-Prob!F14,Prob!F14)</f>
        <v>-4.5516613563950847E-3</v>
      </c>
      <c r="G13" s="34">
        <f>IF(EV!G14&lt;0,-Prob!G14,Prob!G14)</f>
        <v>-4.5516613563950847E-3</v>
      </c>
      <c r="H13" s="34">
        <f>IF(EV!H14&lt;0,-Prob!H14,Prob!H14)</f>
        <v>-4.5516613563950847E-3</v>
      </c>
      <c r="I13" s="34">
        <f>IF(EV!I14&lt;0,-Prob!I14,Prob!I14)</f>
        <v>-4.5516613563950847E-3</v>
      </c>
      <c r="J13" s="34">
        <f>IF(EV!J14&lt;0,-Prob!J14,Prob!J14)</f>
        <v>-4.5516613563950847E-3</v>
      </c>
      <c r="K13" s="34">
        <f>IF(EV!K14&lt;0,-Prob!K14,Prob!K14)</f>
        <v>-1.6806134238997236E-2</v>
      </c>
      <c r="M13" s="277" t="s">
        <v>19</v>
      </c>
      <c r="N13" s="205">
        <f>P13+R13</f>
        <v>-4.8487754019161389E-3</v>
      </c>
      <c r="O13" s="273" t="s">
        <v>46</v>
      </c>
      <c r="P13" s="278">
        <f>EV!L43</f>
        <v>0.19780197508881214</v>
      </c>
      <c r="Q13" s="273" t="s">
        <v>191</v>
      </c>
      <c r="R13" s="205">
        <f>EV!L44</f>
        <v>-0.20265075049072828</v>
      </c>
      <c r="S13" s="221"/>
    </row>
    <row r="14" spans="1:19" ht="16" thickBot="1" x14ac:dyDescent="0.25">
      <c r="A14" s="45">
        <v>17</v>
      </c>
      <c r="B14" s="34">
        <f>IF(EV!B15&lt;0,-Prob!B15,Prob!B15)</f>
        <v>-3.1511501698119814E-3</v>
      </c>
      <c r="C14" s="34">
        <f>IF(EV!C15&lt;0,-Prob!C15,Prob!C15)</f>
        <v>-4.5516613563950847E-3</v>
      </c>
      <c r="D14" s="34">
        <f>IF(EV!D15&lt;0,-Prob!D15,Prob!D15)</f>
        <v>-4.5516613563950847E-3</v>
      </c>
      <c r="E14" s="34">
        <f>IF(EV!E15&lt;0,-Prob!E15,Prob!E15)</f>
        <v>-4.5516613563950847E-3</v>
      </c>
      <c r="F14" s="34">
        <f>IF(EV!F15&lt;0,-Prob!F15,Prob!F15)</f>
        <v>-4.5516613563950847E-3</v>
      </c>
      <c r="G14" s="34">
        <f>IF(EV!G15&lt;0,-Prob!G15,Prob!G15)</f>
        <v>4.5516613563950847E-3</v>
      </c>
      <c r="H14" s="34">
        <f>IF(EV!H15&lt;0,-Prob!H15,Prob!H15)</f>
        <v>-4.5516613563950847E-3</v>
      </c>
      <c r="I14" s="34">
        <f>IF(EV!I15&lt;0,-Prob!I15,Prob!I15)</f>
        <v>-4.5516613563950847E-3</v>
      </c>
      <c r="J14" s="34">
        <f>IF(EV!J15&lt;0,-Prob!J15,Prob!J15)</f>
        <v>-4.5516613563950847E-3</v>
      </c>
      <c r="K14" s="34">
        <f>IF(EV!K15&lt;0,-Prob!K15,Prob!K15)</f>
        <v>-1.6806134238997236E-2</v>
      </c>
      <c r="M14" s="203"/>
      <c r="N14" s="206"/>
      <c r="O14" s="275" t="s">
        <v>47</v>
      </c>
      <c r="P14" s="201">
        <f>ER!N3</f>
        <v>63.641121882087162</v>
      </c>
      <c r="Q14" s="275" t="s">
        <v>156</v>
      </c>
      <c r="R14" s="202">
        <f>ER!N4</f>
        <v>-36.048366327729866</v>
      </c>
      <c r="S14" s="276" t="s">
        <v>2</v>
      </c>
    </row>
    <row r="15" spans="1:19" ht="16" thickBot="1" x14ac:dyDescent="0.25">
      <c r="A15" s="45">
        <v>18</v>
      </c>
      <c r="B15" s="34">
        <f>IF(EV!B16&lt;0,-Prob!B16,Prob!B16)</f>
        <v>-2.5209201358495853E-3</v>
      </c>
      <c r="C15" s="34">
        <f>IF(EV!C16&lt;0,-Prob!C16,Prob!C16)</f>
        <v>3.6413290851160678E-3</v>
      </c>
      <c r="D15" s="34">
        <f>IF(EV!D16&lt;0,-Prob!D16,Prob!D16)</f>
        <v>3.6413290851160678E-3</v>
      </c>
      <c r="E15" s="34">
        <f>IF(EV!E16&lt;0,-Prob!E16,Prob!E16)</f>
        <v>3.6413290851160678E-3</v>
      </c>
      <c r="F15" s="34">
        <f>IF(EV!F16&lt;0,-Prob!F16,Prob!F16)</f>
        <v>3.6413290851160678E-3</v>
      </c>
      <c r="G15" s="34">
        <f>IF(EV!G16&lt;0,-Prob!G16,Prob!G16)</f>
        <v>3.6413290851160678E-3</v>
      </c>
      <c r="H15" s="34">
        <f>IF(EV!H16&lt;0,-Prob!H16,Prob!H16)</f>
        <v>3.6413290851160678E-3</v>
      </c>
      <c r="I15" s="34">
        <f>IF(EV!I16&lt;0,-Prob!I16,Prob!I16)</f>
        <v>3.6413290851160678E-3</v>
      </c>
      <c r="J15" s="34">
        <f>IF(EV!J16&lt;0,-Prob!J16,Prob!J16)</f>
        <v>-3.6413290851160678E-3</v>
      </c>
      <c r="K15" s="34">
        <f>IF(EV!K16&lt;0,-Prob!K16,Prob!K16)</f>
        <v>-1.344490739119779E-2</v>
      </c>
      <c r="M15" s="198"/>
      <c r="N15" s="207"/>
      <c r="O15" s="274" t="s">
        <v>41</v>
      </c>
      <c r="P15" s="271">
        <f>(N13-R14)/(P14-R14)</f>
        <v>0.36155785529229473</v>
      </c>
      <c r="Q15" s="274" t="s">
        <v>42</v>
      </c>
      <c r="R15" s="269">
        <f>(N13-P14)/(R14-P14)</f>
        <v>0.63844214470770522</v>
      </c>
      <c r="S15" s="226">
        <f>P15+R15</f>
        <v>1</v>
      </c>
    </row>
    <row r="16" spans="1:19" ht="16" thickBot="1" x14ac:dyDescent="0.25">
      <c r="A16" s="45">
        <v>19</v>
      </c>
      <c r="B16" s="34">
        <f>IF(EV!B17&lt;0,-Prob!B17,Prob!B17)</f>
        <v>2.5209201358495853E-3</v>
      </c>
      <c r="C16" s="34">
        <f>IF(EV!C17&lt;0,-Prob!C17,Prob!C17)</f>
        <v>3.6413290851160678E-3</v>
      </c>
      <c r="D16" s="34">
        <f>IF(EV!D17&lt;0,-Prob!D17,Prob!D17)</f>
        <v>3.6413290851160678E-3</v>
      </c>
      <c r="E16" s="34">
        <f>IF(EV!E17&lt;0,-Prob!E17,Prob!E17)</f>
        <v>3.6413290851160678E-3</v>
      </c>
      <c r="F16" s="34">
        <f>IF(EV!F17&lt;0,-Prob!F17,Prob!F17)</f>
        <v>3.6413290851160678E-3</v>
      </c>
      <c r="G16" s="34">
        <f>IF(EV!G17&lt;0,-Prob!G17,Prob!G17)</f>
        <v>3.6413290851160678E-3</v>
      </c>
      <c r="H16" s="34">
        <f>IF(EV!H17&lt;0,-Prob!H17,Prob!H17)</f>
        <v>3.6413290851160678E-3</v>
      </c>
      <c r="I16" s="34">
        <f>IF(EV!I17&lt;0,-Prob!I17,Prob!I17)</f>
        <v>3.6413290851160678E-3</v>
      </c>
      <c r="J16" s="34">
        <f>IF(EV!J17&lt;0,-Prob!J17,Prob!J17)</f>
        <v>3.6413290851160678E-3</v>
      </c>
      <c r="K16" s="34">
        <f>IF(EV!K17&lt;0,-Prob!K17,Prob!K17)</f>
        <v>1.344490739119779E-2</v>
      </c>
      <c r="M16" s="199"/>
      <c r="N16" s="208"/>
      <c r="O16" s="273" t="s">
        <v>41</v>
      </c>
      <c r="P16" s="272">
        <f>P15</f>
        <v>0.36155785529229473</v>
      </c>
      <c r="Q16" s="273" t="s">
        <v>42</v>
      </c>
      <c r="R16" s="270">
        <f>R15</f>
        <v>0.63844214470770522</v>
      </c>
      <c r="S16" s="227">
        <f>P16+R16</f>
        <v>1</v>
      </c>
    </row>
    <row r="17" spans="1:17" x14ac:dyDescent="0.2">
      <c r="A17" s="45" t="s">
        <v>4</v>
      </c>
      <c r="B17" s="32" t="s">
        <v>1</v>
      </c>
      <c r="C17" s="35">
        <v>2</v>
      </c>
      <c r="D17" s="35">
        <v>3</v>
      </c>
      <c r="E17" s="35">
        <v>4</v>
      </c>
      <c r="F17" s="35">
        <v>5</v>
      </c>
      <c r="G17" s="35">
        <v>6</v>
      </c>
      <c r="H17" s="35">
        <v>7</v>
      </c>
      <c r="I17" s="35">
        <v>8</v>
      </c>
      <c r="J17" s="35">
        <v>9</v>
      </c>
      <c r="K17" s="47">
        <v>10</v>
      </c>
    </row>
    <row r="18" spans="1:17" x14ac:dyDescent="0.2">
      <c r="A18" s="45">
        <v>13</v>
      </c>
      <c r="B18" s="34">
        <f>IF(EV!B19&lt;0,-Prob!B19,Prob!B19)</f>
        <v>-6.3023003396239633E-4</v>
      </c>
      <c r="C18" s="34">
        <f>IF(EV!C19&lt;0,-Prob!C19,Prob!C19)</f>
        <v>9.1033227127901696E-4</v>
      </c>
      <c r="D18" s="34">
        <f>IF(EV!D19&lt;0,-Prob!D19,Prob!D19)</f>
        <v>9.1033227127901696E-4</v>
      </c>
      <c r="E18" s="34">
        <f>IF(EV!E19&lt;0,-Prob!E19,Prob!E19)</f>
        <v>9.1033227127901696E-4</v>
      </c>
      <c r="F18" s="34">
        <f>IF(EV!F19&lt;0,-Prob!F19,Prob!F19)</f>
        <v>9.1033227127901696E-4</v>
      </c>
      <c r="G18" s="34">
        <f>IF(EV!G19&lt;0,-Prob!G19,Prob!G19)</f>
        <v>9.1033227127901696E-4</v>
      </c>
      <c r="H18" s="34">
        <f>IF(EV!H19&lt;0,-Prob!H19,Prob!H19)</f>
        <v>9.1033227127901696E-4</v>
      </c>
      <c r="I18" s="34">
        <f>IF(EV!I19&lt;0,-Prob!I19,Prob!I19)</f>
        <v>9.1033227127901696E-4</v>
      </c>
      <c r="J18" s="34">
        <f>IF(EV!J19&lt;0,-Prob!J19,Prob!J19)</f>
        <v>-9.1033227127901696E-4</v>
      </c>
      <c r="K18" s="34">
        <f>IF(EV!K19&lt;0,-Prob!K19,Prob!K19)</f>
        <v>-3.3612268477994475E-3</v>
      </c>
      <c r="Q18" s="197"/>
    </row>
    <row r="19" spans="1:17" x14ac:dyDescent="0.2">
      <c r="A19" s="45">
        <v>14</v>
      </c>
      <c r="B19" s="34">
        <f>IF(EV!B20&lt;0,-Prob!B20,Prob!B20)</f>
        <v>-6.3023003396239633E-4</v>
      </c>
      <c r="C19" s="34">
        <f>IF(EV!C20&lt;0,-Prob!C20,Prob!C20)</f>
        <v>9.1033227127901696E-4</v>
      </c>
      <c r="D19" s="34">
        <f>IF(EV!D20&lt;0,-Prob!D20,Prob!D20)</f>
        <v>9.1033227127901696E-4</v>
      </c>
      <c r="E19" s="34">
        <f>IF(EV!E20&lt;0,-Prob!E20,Prob!E20)</f>
        <v>9.1033227127901696E-4</v>
      </c>
      <c r="F19" s="34">
        <f>IF(EV!F20&lt;0,-Prob!F20,Prob!F20)</f>
        <v>9.1033227127901696E-4</v>
      </c>
      <c r="G19" s="34">
        <f>IF(EV!G20&lt;0,-Prob!G20,Prob!G20)</f>
        <v>9.1033227127901696E-4</v>
      </c>
      <c r="H19" s="34">
        <f>IF(EV!H20&lt;0,-Prob!H20,Prob!H20)</f>
        <v>9.1033227127901696E-4</v>
      </c>
      <c r="I19" s="34">
        <f>IF(EV!I20&lt;0,-Prob!I20,Prob!I20)</f>
        <v>9.1033227127901696E-4</v>
      </c>
      <c r="J19" s="34">
        <f>IF(EV!J20&lt;0,-Prob!J20,Prob!J20)</f>
        <v>-9.1033227127901696E-4</v>
      </c>
      <c r="K19" s="34">
        <f>IF(EV!K20&lt;0,-Prob!K20,Prob!K20)</f>
        <v>-3.3612268477994475E-3</v>
      </c>
    </row>
    <row r="20" spans="1:17" x14ac:dyDescent="0.2">
      <c r="A20" s="45">
        <v>15</v>
      </c>
      <c r="B20" s="34">
        <f>IF(EV!B21&lt;0,-Prob!B21,Prob!B21)</f>
        <v>-6.3023003396239633E-4</v>
      </c>
      <c r="C20" s="34">
        <f>IF(EV!C21&lt;0,-Prob!C21,Prob!C21)</f>
        <v>-9.1033227127901696E-4</v>
      </c>
      <c r="D20" s="34">
        <f>IF(EV!D21&lt;0,-Prob!D21,Prob!D21)</f>
        <v>9.1033227127901696E-4</v>
      </c>
      <c r="E20" s="34">
        <f>IF(EV!E21&lt;0,-Prob!E21,Prob!E21)</f>
        <v>9.1033227127901696E-4</v>
      </c>
      <c r="F20" s="34">
        <f>IF(EV!F21&lt;0,-Prob!F21,Prob!F21)</f>
        <v>9.1033227127901696E-4</v>
      </c>
      <c r="G20" s="34">
        <f>IF(EV!G21&lt;0,-Prob!G21,Prob!G21)</f>
        <v>9.1033227127901696E-4</v>
      </c>
      <c r="H20" s="34">
        <f>IF(EV!H21&lt;0,-Prob!H21,Prob!H21)</f>
        <v>9.1033227127901696E-4</v>
      </c>
      <c r="I20" s="34">
        <f>IF(EV!I21&lt;0,-Prob!I21,Prob!I21)</f>
        <v>-9.1033227127901696E-4</v>
      </c>
      <c r="J20" s="34">
        <f>IF(EV!J21&lt;0,-Prob!J21,Prob!J21)</f>
        <v>-9.1033227127901696E-4</v>
      </c>
      <c r="K20" s="34">
        <f>IF(EV!K21&lt;0,-Prob!K21,Prob!K21)</f>
        <v>-3.3612268477994475E-3</v>
      </c>
    </row>
    <row r="21" spans="1:17" x14ac:dyDescent="0.2">
      <c r="A21" s="45">
        <v>16</v>
      </c>
      <c r="B21" s="34">
        <f>IF(EV!B22&lt;0,-Prob!B22,Prob!B22)</f>
        <v>-6.3023003396239633E-4</v>
      </c>
      <c r="C21" s="34">
        <f>IF(EV!C22&lt;0,-Prob!C22,Prob!C22)</f>
        <v>-9.1033227127901696E-4</v>
      </c>
      <c r="D21" s="34">
        <f>IF(EV!D22&lt;0,-Prob!D22,Prob!D22)</f>
        <v>9.1033227127901696E-4</v>
      </c>
      <c r="E21" s="34">
        <f>IF(EV!E22&lt;0,-Prob!E22,Prob!E22)</f>
        <v>9.1033227127901696E-4</v>
      </c>
      <c r="F21" s="34">
        <f>IF(EV!F22&lt;0,-Prob!F22,Prob!F22)</f>
        <v>9.1033227127901696E-4</v>
      </c>
      <c r="G21" s="34">
        <f>IF(EV!G22&lt;0,-Prob!G22,Prob!G22)</f>
        <v>9.1033227127901696E-4</v>
      </c>
      <c r="H21" s="34">
        <f>IF(EV!H22&lt;0,-Prob!H22,Prob!H22)</f>
        <v>-9.1033227127901696E-4</v>
      </c>
      <c r="I21" s="34">
        <f>IF(EV!I22&lt;0,-Prob!I22,Prob!I22)</f>
        <v>-9.1033227127901696E-4</v>
      </c>
      <c r="J21" s="34">
        <f>IF(EV!J22&lt;0,-Prob!J22,Prob!J22)</f>
        <v>-9.1033227127901696E-4</v>
      </c>
      <c r="K21" s="34">
        <f>IF(EV!K22&lt;0,-Prob!K22,Prob!K22)</f>
        <v>-3.3612268477994475E-3</v>
      </c>
    </row>
    <row r="22" spans="1:17" x14ac:dyDescent="0.2">
      <c r="A22" s="45">
        <v>17</v>
      </c>
      <c r="B22" s="34">
        <f>IF(EV!B23&lt;0,-Prob!B23,Prob!B23)</f>
        <v>-6.3023003396239633E-4</v>
      </c>
      <c r="C22" s="34">
        <f>IF(EV!C23&lt;0,-Prob!C23,Prob!C23)</f>
        <v>-9.1033227127901696E-4</v>
      </c>
      <c r="D22" s="34">
        <f>IF(EV!D23&lt;0,-Prob!D23,Prob!D23)</f>
        <v>9.1033227127901696E-4</v>
      </c>
      <c r="E22" s="34">
        <f>IF(EV!E23&lt;0,-Prob!E23,Prob!E23)</f>
        <v>9.1033227127901696E-4</v>
      </c>
      <c r="F22" s="34">
        <f>IF(EV!F23&lt;0,-Prob!F23,Prob!F23)</f>
        <v>9.1033227127901696E-4</v>
      </c>
      <c r="G22" s="34">
        <f>IF(EV!G23&lt;0,-Prob!G23,Prob!G23)</f>
        <v>9.1033227127901696E-4</v>
      </c>
      <c r="H22" s="34">
        <f>IF(EV!H23&lt;0,-Prob!H23,Prob!H23)</f>
        <v>9.1033227127901696E-4</v>
      </c>
      <c r="I22" s="34">
        <f>IF(EV!I23&lt;0,-Prob!I23,Prob!I23)</f>
        <v>-9.1033227127901696E-4</v>
      </c>
      <c r="J22" s="34">
        <f>IF(EV!J23&lt;0,-Prob!J23,Prob!J23)</f>
        <v>-9.1033227127901696E-4</v>
      </c>
      <c r="K22" s="34">
        <f>IF(EV!K23&lt;0,-Prob!K23,Prob!K23)</f>
        <v>-3.3612268477994475E-3</v>
      </c>
    </row>
    <row r="23" spans="1:17" x14ac:dyDescent="0.2">
      <c r="A23" s="45">
        <v>18</v>
      </c>
      <c r="B23" s="34">
        <f>IF(EV!B24&lt;0,-Prob!B24,Prob!B24)</f>
        <v>-6.3023003396239633E-4</v>
      </c>
      <c r="C23" s="34">
        <f>IF(EV!C24&lt;0,-Prob!C24,Prob!C24)</f>
        <v>9.1033227127901696E-4</v>
      </c>
      <c r="D23" s="34">
        <f>IF(EV!D24&lt;0,-Prob!D24,Prob!D24)</f>
        <v>9.1033227127901696E-4</v>
      </c>
      <c r="E23" s="34">
        <f>IF(EV!E24&lt;0,-Prob!E24,Prob!E24)</f>
        <v>9.1033227127901696E-4</v>
      </c>
      <c r="F23" s="34">
        <f>IF(EV!F24&lt;0,-Prob!F24,Prob!F24)</f>
        <v>9.1033227127901696E-4</v>
      </c>
      <c r="G23" s="34">
        <f>IF(EV!G24&lt;0,-Prob!G24,Prob!G24)</f>
        <v>9.1033227127901696E-4</v>
      </c>
      <c r="H23" s="34">
        <f>IF(EV!H24&lt;0,-Prob!H24,Prob!H24)</f>
        <v>9.1033227127901696E-4</v>
      </c>
      <c r="I23" s="34">
        <f>IF(EV!I24&lt;0,-Prob!I24,Prob!I24)</f>
        <v>9.1033227127901696E-4</v>
      </c>
      <c r="J23" s="34">
        <f>IF(EV!J24&lt;0,-Prob!J24,Prob!J24)</f>
        <v>-9.1033227127901696E-4</v>
      </c>
      <c r="K23" s="34">
        <f>IF(EV!K24&lt;0,-Prob!K24,Prob!K24)</f>
        <v>-3.3612268477994475E-3</v>
      </c>
    </row>
    <row r="24" spans="1:17" x14ac:dyDescent="0.2">
      <c r="A24" s="45">
        <v>19</v>
      </c>
      <c r="B24" s="34">
        <f>IF(EV!B25&lt;0,-Prob!B25,Prob!B25)</f>
        <v>6.3023003396239633E-4</v>
      </c>
      <c r="C24" s="34">
        <f>IF(EV!C25&lt;0,-Prob!C25,Prob!C25)</f>
        <v>9.1033227127901696E-4</v>
      </c>
      <c r="D24" s="34">
        <f>IF(EV!D25&lt;0,-Prob!D25,Prob!D25)</f>
        <v>9.1033227127901696E-4</v>
      </c>
      <c r="E24" s="34">
        <f>IF(EV!E25&lt;0,-Prob!E25,Prob!E25)</f>
        <v>9.1033227127901696E-4</v>
      </c>
      <c r="F24" s="34">
        <f>IF(EV!F25&lt;0,-Prob!F25,Prob!F25)</f>
        <v>9.1033227127901696E-4</v>
      </c>
      <c r="G24" s="34">
        <f>IF(EV!G25&lt;0,-Prob!G25,Prob!G25)</f>
        <v>9.1033227127901696E-4</v>
      </c>
      <c r="H24" s="34">
        <f>IF(EV!H25&lt;0,-Prob!H25,Prob!H25)</f>
        <v>9.1033227127901696E-4</v>
      </c>
      <c r="I24" s="34">
        <f>IF(EV!I25&lt;0,-Prob!I25,Prob!I25)</f>
        <v>9.1033227127901696E-4</v>
      </c>
      <c r="J24" s="34">
        <f>IF(EV!J25&lt;0,-Prob!J25,Prob!J25)</f>
        <v>9.1033227127901696E-4</v>
      </c>
      <c r="K24" s="34">
        <f>IF(EV!K25&lt;0,-Prob!K25,Prob!K25)</f>
        <v>3.3612268477994475E-3</v>
      </c>
    </row>
    <row r="25" spans="1:17" x14ac:dyDescent="0.2">
      <c r="A25" s="45">
        <v>20</v>
      </c>
      <c r="B25" s="34">
        <f>IF(EV!B26&lt;0,-Prob!B26,Prob!B26)</f>
        <v>6.3023003396239633E-4</v>
      </c>
      <c r="C25" s="34">
        <f>IF(EV!C26&lt;0,-Prob!C26,Prob!C26)</f>
        <v>9.1033227127901696E-4</v>
      </c>
      <c r="D25" s="34">
        <f>IF(EV!D26&lt;0,-Prob!D26,Prob!D26)</f>
        <v>9.1033227127901696E-4</v>
      </c>
      <c r="E25" s="34">
        <f>IF(EV!E26&lt;0,-Prob!E26,Prob!E26)</f>
        <v>9.1033227127901696E-4</v>
      </c>
      <c r="F25" s="34">
        <f>IF(EV!F26&lt;0,-Prob!F26,Prob!F26)</f>
        <v>9.1033227127901696E-4</v>
      </c>
      <c r="G25" s="34">
        <f>IF(EV!G26&lt;0,-Prob!G26,Prob!G26)</f>
        <v>9.1033227127901696E-4</v>
      </c>
      <c r="H25" s="34">
        <f>IF(EV!H26&lt;0,-Prob!H26,Prob!H26)</f>
        <v>9.1033227127901696E-4</v>
      </c>
      <c r="I25" s="34">
        <f>IF(EV!I26&lt;0,-Prob!I26,Prob!I26)</f>
        <v>9.1033227127901696E-4</v>
      </c>
      <c r="J25" s="34">
        <f>IF(EV!J26&lt;0,-Prob!J26,Prob!J26)</f>
        <v>9.1033227127901696E-4</v>
      </c>
      <c r="K25" s="34">
        <f>IF(EV!K26&lt;0,-Prob!K26,Prob!K26)</f>
        <v>3.3612268477994475E-3</v>
      </c>
    </row>
    <row r="26" spans="1:17" x14ac:dyDescent="0.2">
      <c r="A26" s="45">
        <v>21</v>
      </c>
      <c r="B26" s="34">
        <f>IF(EV!B27&lt;0,-Prob!B27,Prob!B27)</f>
        <v>2.5209201358495853E-3</v>
      </c>
      <c r="C26" s="34">
        <f>IF(EV!C27&lt;0,-Prob!C27,Prob!C27)</f>
        <v>3.6413290851160678E-3</v>
      </c>
      <c r="D26" s="34">
        <f>IF(EV!D27&lt;0,-Prob!D27,Prob!D27)</f>
        <v>3.6413290851160678E-3</v>
      </c>
      <c r="E26" s="34">
        <f>IF(EV!E27&lt;0,-Prob!E27,Prob!E27)</f>
        <v>3.6413290851160678E-3</v>
      </c>
      <c r="F26" s="34">
        <f>IF(EV!F27&lt;0,-Prob!F27,Prob!F27)</f>
        <v>3.6413290851160678E-3</v>
      </c>
      <c r="G26" s="34">
        <f>IF(EV!G27&lt;0,-Prob!G27,Prob!G27)</f>
        <v>3.6413290851160678E-3</v>
      </c>
      <c r="H26" s="34">
        <f>IF(EV!H27&lt;0,-Prob!H27,Prob!H27)</f>
        <v>3.6413290851160678E-3</v>
      </c>
      <c r="I26" s="34">
        <f>IF(EV!I27&lt;0,-Prob!I27,Prob!I27)</f>
        <v>3.6413290851160678E-3</v>
      </c>
      <c r="J26" s="34">
        <f>IF(EV!J27&lt;0,-Prob!J27,Prob!J27)</f>
        <v>3.6413290851160678E-3</v>
      </c>
      <c r="K26" s="34">
        <f>IF(EV!K27&lt;0,-Prob!K27,Prob!K27)</f>
        <v>1.344490739119779E-2</v>
      </c>
    </row>
    <row r="27" spans="1:17" x14ac:dyDescent="0.2">
      <c r="A27" s="45" t="s">
        <v>10</v>
      </c>
      <c r="B27" s="32" t="s">
        <v>1</v>
      </c>
      <c r="C27" s="35">
        <v>2</v>
      </c>
      <c r="D27" s="35">
        <v>3</v>
      </c>
      <c r="E27" s="35">
        <v>4</v>
      </c>
      <c r="F27" s="35">
        <v>5</v>
      </c>
      <c r="G27" s="35">
        <v>6</v>
      </c>
      <c r="H27" s="35">
        <v>7</v>
      </c>
      <c r="I27" s="35">
        <v>8</v>
      </c>
      <c r="J27" s="35">
        <v>9</v>
      </c>
      <c r="K27" s="47">
        <v>10</v>
      </c>
    </row>
    <row r="28" spans="1:17" x14ac:dyDescent="0.2">
      <c r="A28" s="45" t="s">
        <v>1</v>
      </c>
      <c r="B28" s="34">
        <f>IF(EV!B29&lt;0,-Prob!B29,Prob!B29)</f>
        <v>3.1511501698119817E-4</v>
      </c>
      <c r="C28" s="34">
        <f>IF(EV!C29&lt;0,-Prob!C29,Prob!C29)</f>
        <v>4.5516613563950848E-4</v>
      </c>
      <c r="D28" s="34">
        <f>IF(EV!D29&lt;0,-Prob!D29,Prob!D29)</f>
        <v>4.5516613563950848E-4</v>
      </c>
      <c r="E28" s="34">
        <f>IF(EV!E29&lt;0,-Prob!E29,Prob!E29)</f>
        <v>4.5516613563950848E-4</v>
      </c>
      <c r="F28" s="34">
        <f>IF(EV!F29&lt;0,-Prob!F29,Prob!F29)</f>
        <v>4.5516613563950848E-4</v>
      </c>
      <c r="G28" s="34">
        <f>IF(EV!G29&lt;0,-Prob!G29,Prob!G29)</f>
        <v>4.5516613563950848E-4</v>
      </c>
      <c r="H28" s="34">
        <f>IF(EV!H29&lt;0,-Prob!H29,Prob!H29)</f>
        <v>4.5516613563950848E-4</v>
      </c>
      <c r="I28" s="34">
        <f>IF(EV!I29&lt;0,-Prob!I29,Prob!I29)</f>
        <v>4.5516613563950848E-4</v>
      </c>
      <c r="J28" s="34">
        <f>IF(EV!J29&lt;0,-Prob!J29,Prob!J29)</f>
        <v>4.5516613563950848E-4</v>
      </c>
      <c r="K28" s="34">
        <f>IF(EV!K29&lt;0,-Prob!K29,Prob!K29)</f>
        <v>1.6806134238997238E-3</v>
      </c>
    </row>
    <row r="29" spans="1:17" x14ac:dyDescent="0.2">
      <c r="A29" s="45">
        <v>2</v>
      </c>
      <c r="B29" s="34">
        <f>IF(EV!B30&lt;0,-Prob!B30,Prob!B30)</f>
        <v>-3.1511501698119817E-4</v>
      </c>
      <c r="C29" s="34">
        <f>IF(EV!C30&lt;0,-Prob!C30,Prob!C30)</f>
        <v>-4.5516613563950848E-4</v>
      </c>
      <c r="D29" s="34">
        <f>IF(EV!D30&lt;0,-Prob!D30,Prob!D30)</f>
        <v>-4.5516613563950848E-4</v>
      </c>
      <c r="E29" s="34">
        <f>IF(EV!E30&lt;0,-Prob!E30,Prob!E30)</f>
        <v>4.5516613563950848E-4</v>
      </c>
      <c r="F29" s="34">
        <f>IF(EV!F30&lt;0,-Prob!F30,Prob!F30)</f>
        <v>4.5516613563950848E-4</v>
      </c>
      <c r="G29" s="34">
        <f>IF(EV!G30&lt;0,-Prob!G30,Prob!G30)</f>
        <v>4.5516613563950848E-4</v>
      </c>
      <c r="H29" s="34">
        <f>IF(EV!H30&lt;0,-Prob!H30,Prob!H30)</f>
        <v>-4.5516613563950848E-4</v>
      </c>
      <c r="I29" s="34">
        <f>IF(EV!I30&lt;0,-Prob!I30,Prob!I30)</f>
        <v>-4.5516613563950848E-4</v>
      </c>
      <c r="J29" s="34">
        <f>IF(EV!J30&lt;0,-Prob!J30,Prob!J30)</f>
        <v>-4.5516613563950848E-4</v>
      </c>
      <c r="K29" s="34">
        <f>IF(EV!K30&lt;0,-Prob!K30,Prob!K30)</f>
        <v>-1.6806134238997238E-3</v>
      </c>
    </row>
    <row r="30" spans="1:17" x14ac:dyDescent="0.2">
      <c r="A30" s="45">
        <v>3</v>
      </c>
      <c r="B30" s="34">
        <f>IF(EV!B31&lt;0,-Prob!B31,Prob!B31)</f>
        <v>-3.1511501698119817E-4</v>
      </c>
      <c r="C30" s="34">
        <f>IF(EV!C31&lt;0,-Prob!C31,Prob!C31)</f>
        <v>-4.5516613563950848E-4</v>
      </c>
      <c r="D30" s="34">
        <f>IF(EV!D31&lt;0,-Prob!D31,Prob!D31)</f>
        <v>-4.5516613563950848E-4</v>
      </c>
      <c r="E30" s="34">
        <f>IF(EV!E31&lt;0,-Prob!E31,Prob!E31)</f>
        <v>4.5516613563950848E-4</v>
      </c>
      <c r="F30" s="34">
        <f>IF(EV!F31&lt;0,-Prob!F31,Prob!F31)</f>
        <v>4.5516613563950848E-4</v>
      </c>
      <c r="G30" s="34">
        <f>IF(EV!G31&lt;0,-Prob!G31,Prob!G31)</f>
        <v>4.5516613563950848E-4</v>
      </c>
      <c r="H30" s="34">
        <f>IF(EV!H31&lt;0,-Prob!H31,Prob!H31)</f>
        <v>-4.5516613563950848E-4</v>
      </c>
      <c r="I30" s="34">
        <f>IF(EV!I31&lt;0,-Prob!I31,Prob!I31)</f>
        <v>-4.5516613563950848E-4</v>
      </c>
      <c r="J30" s="34">
        <f>IF(EV!J31&lt;0,-Prob!J31,Prob!J31)</f>
        <v>-4.5516613563950848E-4</v>
      </c>
      <c r="K30" s="34">
        <f>IF(EV!K31&lt;0,-Prob!K31,Prob!K31)</f>
        <v>-1.6806134238997238E-3</v>
      </c>
    </row>
    <row r="31" spans="1:17" x14ac:dyDescent="0.2">
      <c r="A31" s="45">
        <v>4</v>
      </c>
      <c r="B31" s="34">
        <f>IF(EV!B32&lt;0,-Prob!B32,Prob!B32)</f>
        <v>-3.1511501698119817E-4</v>
      </c>
      <c r="C31" s="34">
        <f>IF(EV!C32&lt;0,-Prob!C32,Prob!C32)</f>
        <v>-4.5516613563950848E-4</v>
      </c>
      <c r="D31" s="34">
        <f>IF(EV!D32&lt;0,-Prob!D32,Prob!D32)</f>
        <v>4.5516613563950848E-4</v>
      </c>
      <c r="E31" s="34">
        <f>IF(EV!E32&lt;0,-Prob!E32,Prob!E32)</f>
        <v>4.5516613563950848E-4</v>
      </c>
      <c r="F31" s="34">
        <f>IF(EV!F32&lt;0,-Prob!F32,Prob!F32)</f>
        <v>4.5516613563950848E-4</v>
      </c>
      <c r="G31" s="34">
        <f>IF(EV!G32&lt;0,-Prob!G32,Prob!G32)</f>
        <v>4.5516613563950848E-4</v>
      </c>
      <c r="H31" s="34">
        <f>IF(EV!H32&lt;0,-Prob!H32,Prob!H32)</f>
        <v>4.5516613563950848E-4</v>
      </c>
      <c r="I31" s="34">
        <f>IF(EV!I32&lt;0,-Prob!I32,Prob!I32)</f>
        <v>-4.5516613563950848E-4</v>
      </c>
      <c r="J31" s="34">
        <f>IF(EV!J32&lt;0,-Prob!J32,Prob!J32)</f>
        <v>-4.5516613563950848E-4</v>
      </c>
      <c r="K31" s="34">
        <f>IF(EV!K32&lt;0,-Prob!K32,Prob!K32)</f>
        <v>-1.6806134238997238E-3</v>
      </c>
    </row>
    <row r="32" spans="1:17" x14ac:dyDescent="0.2">
      <c r="A32" s="45">
        <v>5</v>
      </c>
      <c r="B32" s="34">
        <f>IF(EV!B33&lt;0,-Prob!B33,Prob!B33)</f>
        <v>3.1511501698119817E-4</v>
      </c>
      <c r="C32" s="34">
        <f>IF(EV!C33&lt;0,-Prob!C33,Prob!C33)</f>
        <v>4.5516613563950848E-4</v>
      </c>
      <c r="D32" s="34">
        <f>IF(EV!D33&lt;0,-Prob!D33,Prob!D33)</f>
        <v>4.5516613563950848E-4</v>
      </c>
      <c r="E32" s="34">
        <f>IF(EV!E33&lt;0,-Prob!E33,Prob!E33)</f>
        <v>4.5516613563950848E-4</v>
      </c>
      <c r="F32" s="34">
        <f>IF(EV!F33&lt;0,-Prob!F33,Prob!F33)</f>
        <v>4.5516613563950848E-4</v>
      </c>
      <c r="G32" s="34">
        <f>IF(EV!G33&lt;0,-Prob!G33,Prob!G33)</f>
        <v>4.5516613563950848E-4</v>
      </c>
      <c r="H32" s="34">
        <f>IF(EV!H33&lt;0,-Prob!H33,Prob!H33)</f>
        <v>4.5516613563950848E-4</v>
      </c>
      <c r="I32" s="34">
        <f>IF(EV!I33&lt;0,-Prob!I33,Prob!I33)</f>
        <v>4.5516613563950848E-4</v>
      </c>
      <c r="J32" s="34">
        <f>IF(EV!J33&lt;0,-Prob!J33,Prob!J33)</f>
        <v>4.5516613563950848E-4</v>
      </c>
      <c r="K32" s="34">
        <f>IF(EV!K33&lt;0,-Prob!K33,Prob!K33)</f>
        <v>1.6806134238997238E-3</v>
      </c>
    </row>
    <row r="33" spans="1:12" x14ac:dyDescent="0.2">
      <c r="A33" s="45">
        <v>6</v>
      </c>
      <c r="B33" s="34">
        <f>IF(EV!B34&lt;0,-Prob!B34,Prob!B34)</f>
        <v>-3.1511501698119817E-4</v>
      </c>
      <c r="C33" s="34">
        <f>IF(EV!C34&lt;0,-Prob!C34,Prob!C34)</f>
        <v>-4.5516613563950848E-4</v>
      </c>
      <c r="D33" s="34">
        <f>IF(EV!D34&lt;0,-Prob!D34,Prob!D34)</f>
        <v>-4.5516613563950848E-4</v>
      </c>
      <c r="E33" s="34">
        <f>IF(EV!E34&lt;0,-Prob!E34,Prob!E34)</f>
        <v>-4.5516613563950848E-4</v>
      </c>
      <c r="F33" s="34">
        <f>IF(EV!F34&lt;0,-Prob!F34,Prob!F34)</f>
        <v>4.5516613563950848E-4</v>
      </c>
      <c r="G33" s="34">
        <f>IF(EV!G34&lt;0,-Prob!G34,Prob!G34)</f>
        <v>4.5516613563950848E-4</v>
      </c>
      <c r="H33" s="34">
        <f>IF(EV!H34&lt;0,-Prob!H34,Prob!H34)</f>
        <v>-4.5516613563950848E-4</v>
      </c>
      <c r="I33" s="34">
        <f>IF(EV!I34&lt;0,-Prob!I34,Prob!I34)</f>
        <v>-4.5516613563950848E-4</v>
      </c>
      <c r="J33" s="34">
        <f>IF(EV!J34&lt;0,-Prob!J34,Prob!J34)</f>
        <v>-4.5516613563950848E-4</v>
      </c>
      <c r="K33" s="34">
        <f>IF(EV!K34&lt;0,-Prob!K34,Prob!K34)</f>
        <v>-1.6806134238997238E-3</v>
      </c>
    </row>
    <row r="34" spans="1:12" x14ac:dyDescent="0.2">
      <c r="A34" s="45">
        <v>7</v>
      </c>
      <c r="B34" s="34">
        <f>IF(EV!B35&lt;0,-Prob!B35,Prob!B35)</f>
        <v>-3.1511501698119817E-4</v>
      </c>
      <c r="C34" s="34">
        <f>IF(EV!C35&lt;0,-Prob!C35,Prob!C35)</f>
        <v>-4.5516613563950848E-4</v>
      </c>
      <c r="D34" s="34">
        <f>IF(EV!D35&lt;0,-Prob!D35,Prob!D35)</f>
        <v>-4.5516613563950848E-4</v>
      </c>
      <c r="E34" s="34">
        <f>IF(EV!E35&lt;0,-Prob!E35,Prob!E35)</f>
        <v>4.5516613563950848E-4</v>
      </c>
      <c r="F34" s="34">
        <f>IF(EV!F35&lt;0,-Prob!F35,Prob!F35)</f>
        <v>4.5516613563950848E-4</v>
      </c>
      <c r="G34" s="34">
        <f>IF(EV!G35&lt;0,-Prob!G35,Prob!G35)</f>
        <v>4.5516613563950848E-4</v>
      </c>
      <c r="H34" s="34">
        <f>IF(EV!H35&lt;0,-Prob!H35,Prob!H35)</f>
        <v>-4.5516613563950848E-4</v>
      </c>
      <c r="I34" s="34">
        <f>IF(EV!I35&lt;0,-Prob!I35,Prob!I35)</f>
        <v>-4.5516613563950848E-4</v>
      </c>
      <c r="J34" s="34">
        <f>IF(EV!J35&lt;0,-Prob!J35,Prob!J35)</f>
        <v>-4.5516613563950848E-4</v>
      </c>
      <c r="K34" s="34">
        <f>IF(EV!K35&lt;0,-Prob!K35,Prob!K35)</f>
        <v>-1.6806134238997238E-3</v>
      </c>
    </row>
    <row r="35" spans="1:12" x14ac:dyDescent="0.2">
      <c r="A35" s="45">
        <v>8</v>
      </c>
      <c r="B35" s="34">
        <f>IF(EV!B36&lt;0,-Prob!B36,Prob!B36)</f>
        <v>-3.1511501698119817E-4</v>
      </c>
      <c r="C35" s="34">
        <f>IF(EV!C36&lt;0,-Prob!C36,Prob!C36)</f>
        <v>4.5516613563950848E-4</v>
      </c>
      <c r="D35" s="34">
        <f>IF(EV!D36&lt;0,-Prob!D36,Prob!D36)</f>
        <v>4.5516613563950848E-4</v>
      </c>
      <c r="E35" s="34">
        <f>IF(EV!E36&lt;0,-Prob!E36,Prob!E36)</f>
        <v>4.5516613563950848E-4</v>
      </c>
      <c r="F35" s="34">
        <f>IF(EV!F36&lt;0,-Prob!F36,Prob!F36)</f>
        <v>4.5516613563950848E-4</v>
      </c>
      <c r="G35" s="34">
        <f>IF(EV!G36&lt;0,-Prob!G36,Prob!G36)</f>
        <v>4.5516613563950848E-4</v>
      </c>
      <c r="H35" s="34">
        <f>IF(EV!H36&lt;0,-Prob!H36,Prob!H36)</f>
        <v>4.5516613563950848E-4</v>
      </c>
      <c r="I35" s="34">
        <f>IF(EV!I36&lt;0,-Prob!I36,Prob!I36)</f>
        <v>-4.5516613563950848E-4</v>
      </c>
      <c r="J35" s="34">
        <f>IF(EV!J36&lt;0,-Prob!J36,Prob!J36)</f>
        <v>-4.5516613563950848E-4</v>
      </c>
      <c r="K35" s="34">
        <f>IF(EV!K36&lt;0,-Prob!K36,Prob!K36)</f>
        <v>-1.6806134238997238E-3</v>
      </c>
    </row>
    <row r="36" spans="1:12" x14ac:dyDescent="0.2">
      <c r="A36" s="45">
        <v>9</v>
      </c>
      <c r="B36" s="34">
        <f>IF(EV!B37&lt;0,-Prob!B37,Prob!B37)</f>
        <v>-3.1511501698119817E-4</v>
      </c>
      <c r="C36" s="34">
        <f>IF(EV!C37&lt;0,-Prob!C37,Prob!C37)</f>
        <v>4.5516613563950848E-4</v>
      </c>
      <c r="D36" s="34">
        <f>IF(EV!D37&lt;0,-Prob!D37,Prob!D37)</f>
        <v>4.5516613563950848E-4</v>
      </c>
      <c r="E36" s="34">
        <f>IF(EV!E37&lt;0,-Prob!E37,Prob!E37)</f>
        <v>4.5516613563950848E-4</v>
      </c>
      <c r="F36" s="34">
        <f>IF(EV!F37&lt;0,-Prob!F37,Prob!F37)</f>
        <v>4.5516613563950848E-4</v>
      </c>
      <c r="G36" s="34">
        <f>IF(EV!G37&lt;0,-Prob!G37,Prob!G37)</f>
        <v>4.5516613563950848E-4</v>
      </c>
      <c r="H36" s="34">
        <f>IF(EV!H37&lt;0,-Prob!H37,Prob!H37)</f>
        <v>4.5516613563950848E-4</v>
      </c>
      <c r="I36" s="34">
        <f>IF(EV!I37&lt;0,-Prob!I37,Prob!I37)</f>
        <v>4.5516613563950848E-4</v>
      </c>
      <c r="J36" s="34">
        <f>IF(EV!J37&lt;0,-Prob!J37,Prob!J37)</f>
        <v>-4.5516613563950848E-4</v>
      </c>
      <c r="K36" s="34">
        <f>IF(EV!K37&lt;0,-Prob!K37,Prob!K37)</f>
        <v>-1.6806134238997238E-3</v>
      </c>
    </row>
    <row r="37" spans="1:12" x14ac:dyDescent="0.2">
      <c r="A37" s="67">
        <v>10</v>
      </c>
      <c r="B37" s="68">
        <f>IF(EV!B38&lt;0,-Prob!B38,Prob!B38)</f>
        <v>5.0418402716991707E-3</v>
      </c>
      <c r="C37" s="68">
        <f>IF(EV!C38&lt;0,-Prob!C38,Prob!C38)</f>
        <v>7.2826581702321357E-3</v>
      </c>
      <c r="D37" s="68">
        <f>IF(EV!D38&lt;0,-Prob!D38,Prob!D38)</f>
        <v>7.2826581702321357E-3</v>
      </c>
      <c r="E37" s="68">
        <f>IF(EV!E38&lt;0,-Prob!E38,Prob!E38)</f>
        <v>7.2826581702321357E-3</v>
      </c>
      <c r="F37" s="68">
        <f>IF(EV!F38&lt;0,-Prob!F38,Prob!F38)</f>
        <v>7.2826581702321357E-3</v>
      </c>
      <c r="G37" s="68">
        <f>IF(EV!G38&lt;0,-Prob!G38,Prob!G38)</f>
        <v>7.2826581702321357E-3</v>
      </c>
      <c r="H37" s="68">
        <f>IF(EV!H38&lt;0,-Prob!H38,Prob!H38)</f>
        <v>7.2826581702321357E-3</v>
      </c>
      <c r="I37" s="68">
        <f>IF(EV!I38&lt;0,-Prob!I38,Prob!I38)</f>
        <v>7.2826581702321357E-3</v>
      </c>
      <c r="J37" s="68">
        <f>IF(EV!J38&lt;0,-Prob!J38,Prob!J38)</f>
        <v>7.2826581702321357E-3</v>
      </c>
      <c r="K37" s="68">
        <f>IF(EV!K38&lt;0,-Prob!K38,Prob!K38)</f>
        <v>2.688981478239558E-2</v>
      </c>
    </row>
    <row r="38" spans="1:12" ht="16" thickBot="1" x14ac:dyDescent="0.25">
      <c r="A38" s="74" t="s">
        <v>40</v>
      </c>
      <c r="B38" s="79" t="s">
        <v>1</v>
      </c>
      <c r="C38" s="80">
        <v>2</v>
      </c>
      <c r="D38" s="80">
        <v>3</v>
      </c>
      <c r="E38" s="80">
        <v>4</v>
      </c>
      <c r="F38" s="80">
        <v>5</v>
      </c>
      <c r="G38" s="80">
        <v>6</v>
      </c>
      <c r="H38" s="80">
        <v>7</v>
      </c>
      <c r="I38" s="80">
        <v>8</v>
      </c>
      <c r="J38" s="80">
        <v>9</v>
      </c>
      <c r="K38" s="81">
        <v>10</v>
      </c>
    </row>
    <row r="39" spans="1:12" x14ac:dyDescent="0.2">
      <c r="A39" s="78" t="s">
        <v>42</v>
      </c>
      <c r="B39" s="82">
        <f>-(SUMIF(B28:B37,"&lt;0")+SUMIF(B18:B26,"&lt;0") +SUMIF(B2:B16,"&lt;0"))</f>
        <v>3.6868456986800184E-2</v>
      </c>
      <c r="C39" s="83">
        <f t="shared" ref="C39:K39" si="0">-(SUMIF(C28:C37,"&lt;0")+SUMIF(C18:C26,"&lt;0") +SUMIF(C2:C16,"&lt;0"))</f>
        <v>4.3240782885753302E-2</v>
      </c>
      <c r="D39" s="83">
        <f t="shared" si="0"/>
        <v>3.823395539371871E-2</v>
      </c>
      <c r="E39" s="83">
        <f t="shared" si="0"/>
        <v>3.6868456986800184E-2</v>
      </c>
      <c r="F39" s="83">
        <f t="shared" si="0"/>
        <v>3.6413290851160678E-2</v>
      </c>
      <c r="G39" s="83">
        <f t="shared" si="0"/>
        <v>3.0040964952207563E-2</v>
      </c>
      <c r="H39" s="83">
        <f t="shared" si="0"/>
        <v>3.914428766499773E-2</v>
      </c>
      <c r="I39" s="83">
        <f t="shared" si="0"/>
        <v>4.3695949021392816E-2</v>
      </c>
      <c r="J39" s="83">
        <f t="shared" si="0"/>
        <v>5.3254437869822494E-2</v>
      </c>
      <c r="K39" s="84">
        <f t="shared" si="0"/>
        <v>0.19663177059626771</v>
      </c>
    </row>
    <row r="40" spans="1:12" ht="16" thickBot="1" x14ac:dyDescent="0.25">
      <c r="A40" s="78" t="s">
        <v>43</v>
      </c>
      <c r="B40" s="85">
        <f>B39</f>
        <v>3.6868456986800184E-2</v>
      </c>
      <c r="C40" s="86">
        <f t="shared" ref="C40:K40" si="1">C39</f>
        <v>4.3240782885753302E-2</v>
      </c>
      <c r="D40" s="86">
        <f t="shared" si="1"/>
        <v>3.823395539371871E-2</v>
      </c>
      <c r="E40" s="86">
        <f t="shared" si="1"/>
        <v>3.6868456986800184E-2</v>
      </c>
      <c r="F40" s="86">
        <f t="shared" si="1"/>
        <v>3.6413290851160678E-2</v>
      </c>
      <c r="G40" s="86">
        <f t="shared" si="1"/>
        <v>3.0040964952207563E-2</v>
      </c>
      <c r="H40" s="86">
        <f t="shared" si="1"/>
        <v>3.914428766499773E-2</v>
      </c>
      <c r="I40" s="86">
        <f t="shared" si="1"/>
        <v>4.3695949021392816E-2</v>
      </c>
      <c r="J40" s="86">
        <f t="shared" si="1"/>
        <v>5.3254437869822494E-2</v>
      </c>
      <c r="K40" s="87">
        <f t="shared" si="1"/>
        <v>0.19663177059626771</v>
      </c>
    </row>
    <row r="41" spans="1:12" x14ac:dyDescent="0.2">
      <c r="A41" s="78" t="s">
        <v>41</v>
      </c>
      <c r="B41" s="82">
        <f>SUMIF(B28:B37,"&gt;0")+SUMIF(B18:B26,"&gt;0") +SUMIF(B2:B16,"&gt;0")</f>
        <v>1.6385980883022306E-2</v>
      </c>
      <c r="C41" s="83">
        <f t="shared" ref="C41:K41" si="2">SUMIF(C28:C37,"&gt;0")+SUMIF(C18:C26,"&gt;0") +SUMIF(C2:C16,"&gt;0")</f>
        <v>3.3682294037323632E-2</v>
      </c>
      <c r="D41" s="83">
        <f t="shared" si="2"/>
        <v>3.8689121529358217E-2</v>
      </c>
      <c r="E41" s="83">
        <f t="shared" si="2"/>
        <v>4.005461993627675E-2</v>
      </c>
      <c r="F41" s="83">
        <f t="shared" si="2"/>
        <v>4.0509786071916257E-2</v>
      </c>
      <c r="G41" s="83">
        <f t="shared" si="2"/>
        <v>4.6882111970869375E-2</v>
      </c>
      <c r="H41" s="83">
        <f t="shared" si="2"/>
        <v>3.7778789258079204E-2</v>
      </c>
      <c r="I41" s="83">
        <f t="shared" si="2"/>
        <v>3.3227127901684125E-2</v>
      </c>
      <c r="J41" s="83">
        <f t="shared" si="2"/>
        <v>2.3668639053254441E-2</v>
      </c>
      <c r="K41" s="84">
        <f t="shared" si="2"/>
        <v>8.7391898042785632E-2</v>
      </c>
    </row>
    <row r="42" spans="1:12" ht="16" thickBot="1" x14ac:dyDescent="0.25">
      <c r="A42" s="78" t="s">
        <v>44</v>
      </c>
      <c r="B42" s="85">
        <f>B41</f>
        <v>1.6385980883022306E-2</v>
      </c>
      <c r="C42" s="86">
        <f t="shared" ref="C42:K42" si="3">C41</f>
        <v>3.3682294037323632E-2</v>
      </c>
      <c r="D42" s="86">
        <f t="shared" si="3"/>
        <v>3.8689121529358217E-2</v>
      </c>
      <c r="E42" s="86">
        <f t="shared" si="3"/>
        <v>4.005461993627675E-2</v>
      </c>
      <c r="F42" s="86">
        <f t="shared" si="3"/>
        <v>4.0509786071916257E-2</v>
      </c>
      <c r="G42" s="86">
        <f t="shared" si="3"/>
        <v>4.6882111970869375E-2</v>
      </c>
      <c r="H42" s="86">
        <f t="shared" si="3"/>
        <v>3.7778789258079204E-2</v>
      </c>
      <c r="I42" s="86">
        <f t="shared" si="3"/>
        <v>3.3227127901684125E-2</v>
      </c>
      <c r="J42" s="86">
        <f t="shared" si="3"/>
        <v>2.3668639053254441E-2</v>
      </c>
      <c r="K42" s="87">
        <f t="shared" si="3"/>
        <v>8.7391898042785632E-2</v>
      </c>
    </row>
    <row r="43" spans="1:12" ht="16" thickBot="1" x14ac:dyDescent="0.25">
      <c r="A43" s="78" t="s">
        <v>2</v>
      </c>
      <c r="B43" s="89">
        <f>B41+B39</f>
        <v>5.3254437869822494E-2</v>
      </c>
      <c r="C43" s="75">
        <f t="shared" ref="C43:K43" si="4">C41+C39</f>
        <v>7.6923076923076927E-2</v>
      </c>
      <c r="D43" s="75">
        <f t="shared" si="4"/>
        <v>7.6923076923076927E-2</v>
      </c>
      <c r="E43" s="75">
        <f t="shared" si="4"/>
        <v>7.6923076923076927E-2</v>
      </c>
      <c r="F43" s="75">
        <f t="shared" si="4"/>
        <v>7.6923076923076927E-2</v>
      </c>
      <c r="G43" s="75">
        <f t="shared" si="4"/>
        <v>7.6923076923076941E-2</v>
      </c>
      <c r="H43" s="75">
        <f t="shared" si="4"/>
        <v>7.6923076923076927E-2</v>
      </c>
      <c r="I43" s="75">
        <f t="shared" si="4"/>
        <v>7.6923076923076941E-2</v>
      </c>
      <c r="J43" s="75">
        <f t="shared" si="4"/>
        <v>7.6923076923076927E-2</v>
      </c>
      <c r="K43" s="90">
        <f t="shared" si="4"/>
        <v>0.28402366863905337</v>
      </c>
      <c r="L43" s="76">
        <f>SUM(B43:K43)-C46</f>
        <v>1.0000000000000002</v>
      </c>
    </row>
    <row r="44" spans="1:12" ht="16" thickBot="1" x14ac:dyDescent="0.25">
      <c r="A44" s="88" t="s">
        <v>45</v>
      </c>
      <c r="B44" s="91">
        <f>B41-B39</f>
        <v>-2.0482476103777878E-2</v>
      </c>
      <c r="C44" s="69">
        <f t="shared" ref="C44:K44" si="5">C41-C39</f>
        <v>-9.5584888484296707E-3</v>
      </c>
      <c r="D44" s="69">
        <f t="shared" si="5"/>
        <v>4.5516613563950648E-4</v>
      </c>
      <c r="E44" s="69">
        <f t="shared" si="5"/>
        <v>3.1861629494765661E-3</v>
      </c>
      <c r="F44" s="69">
        <f t="shared" si="5"/>
        <v>4.0964952207555791E-3</v>
      </c>
      <c r="G44" s="69">
        <f t="shared" si="5"/>
        <v>1.6841147018661812E-2</v>
      </c>
      <c r="H44" s="69">
        <f t="shared" si="5"/>
        <v>-1.3654984069185264E-3</v>
      </c>
      <c r="I44" s="69">
        <f t="shared" si="5"/>
        <v>-1.0468821119708691E-2</v>
      </c>
      <c r="J44" s="69">
        <f t="shared" si="5"/>
        <v>-2.9585798816568053E-2</v>
      </c>
      <c r="K44" s="70">
        <f t="shared" si="5"/>
        <v>-0.10923987255348208</v>
      </c>
      <c r="L44" s="77">
        <f>SUM(B44:K44)</f>
        <v>-0.15612198452435144</v>
      </c>
    </row>
    <row r="45" spans="1:12" x14ac:dyDescent="0.2">
      <c r="B45" s="36"/>
      <c r="C45" s="36"/>
      <c r="D45" s="36"/>
      <c r="E45" s="36"/>
      <c r="F45" s="36"/>
      <c r="G45" s="36"/>
      <c r="H45" s="36"/>
      <c r="I45" s="36"/>
      <c r="J45" s="36"/>
      <c r="K45" s="36"/>
    </row>
    <row r="46" spans="1:12" x14ac:dyDescent="0.2">
      <c r="A46" s="329" t="s">
        <v>11</v>
      </c>
      <c r="B46" s="330"/>
      <c r="C46" s="34">
        <f>IF(EV!H41&lt;0,-Prob!C40,Prob!C40)</f>
        <v>-4.7337278106508882E-2</v>
      </c>
    </row>
    <row r="47" spans="1:12" x14ac:dyDescent="0.2">
      <c r="C47" s="73">
        <f>SUM(B44:K44)</f>
        <v>-0.15612198452435144</v>
      </c>
    </row>
    <row r="48" spans="1:12" x14ac:dyDescent="0.2">
      <c r="B48" s="40" t="s">
        <v>2</v>
      </c>
      <c r="C48" s="73">
        <f>C47+C46</f>
        <v>-0.20345926263086034</v>
      </c>
    </row>
  </sheetData>
  <sheetProtection sheet="1" objects="1" scenarios="1"/>
  <mergeCells count="8">
    <mergeCell ref="A46:B46"/>
    <mergeCell ref="M6:N6"/>
    <mergeCell ref="M7:N7"/>
    <mergeCell ref="M2:R2"/>
    <mergeCell ref="M12:S12"/>
    <mergeCell ref="M3:N3"/>
    <mergeCell ref="M4:N4"/>
    <mergeCell ref="M5:N5"/>
  </mergeCells>
  <phoneticPr fontId="16" type="noConversion"/>
  <conditionalFormatting sqref="B2:K16 B18:K26 B28:K37 B39:K45">
    <cfRule type="containsText" dxfId="743" priority="19" operator="containsText" text="R">
      <formula>NOT(ISERROR(SEARCH("R",B2)))</formula>
    </cfRule>
    <cfRule type="containsText" dxfId="742" priority="20" operator="containsText" text="D">
      <formula>NOT(ISERROR(SEARCH("D",B2)))</formula>
    </cfRule>
    <cfRule type="containsText" dxfId="741" priority="21" operator="containsText" text="S">
      <formula>NOT(ISERROR(SEARCH("S",B2)))</formula>
    </cfRule>
    <cfRule type="containsText" dxfId="740" priority="22" operator="containsText" text="H">
      <formula>NOT(ISERROR(SEARCH("H",B2)))</formula>
    </cfRule>
  </conditionalFormatting>
  <conditionalFormatting sqref="B2:K16 B18:K26 B28:K37 B39:K45">
    <cfRule type="containsText" dxfId="739" priority="18" operator="containsText" text="P">
      <formula>NOT(ISERROR(SEARCH("P",B2)))</formula>
    </cfRule>
  </conditionalFormatting>
  <conditionalFormatting sqref="B2:K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K2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K37 B39:K4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K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K3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K3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ntainsText" dxfId="738" priority="8" operator="containsText" text="R">
      <formula>NOT(ISERROR(SEARCH("R",C46)))</formula>
    </cfRule>
    <cfRule type="containsText" dxfId="737" priority="9" operator="containsText" text="D">
      <formula>NOT(ISERROR(SEARCH("D",C46)))</formula>
    </cfRule>
    <cfRule type="containsText" dxfId="736" priority="10" operator="containsText" text="S">
      <formula>NOT(ISERROR(SEARCH("S",C46)))</formula>
    </cfRule>
    <cfRule type="containsText" dxfId="735" priority="11" operator="containsText" text="H">
      <formula>NOT(ISERROR(SEARCH("H",C46)))</formula>
    </cfRule>
  </conditionalFormatting>
  <conditionalFormatting sqref="C46">
    <cfRule type="containsText" dxfId="734" priority="7" operator="containsText" text="P">
      <formula>NOT(ISERROR(SEARCH("P",C46)))</formula>
    </cfRule>
  </conditionalFormatting>
  <conditionalFormatting sqref="C4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K4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K4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K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2:W48"/>
  <sheetViews>
    <sheetView tabSelected="1" topLeftCell="A25" zoomScale="90" zoomScaleNormal="90" zoomScalePageLayoutView="90" workbookViewId="0">
      <selection activeCell="E47" sqref="E47"/>
    </sheetView>
  </sheetViews>
  <sheetFormatPr baseColWidth="10" defaultColWidth="8.83203125" defaultRowHeight="16" x14ac:dyDescent="0.2"/>
  <cols>
    <col min="2" max="3" width="8.83203125" customWidth="1"/>
    <col min="18" max="18" width="8.6640625" style="183" customWidth="1"/>
    <col min="21" max="21" width="8.6640625" style="183" customWidth="1"/>
  </cols>
  <sheetData>
    <row r="2" spans="1:23" x14ac:dyDescent="0.2">
      <c r="A2" t="s">
        <v>40</v>
      </c>
      <c r="B2" s="149" t="s">
        <v>125</v>
      </c>
      <c r="C2" s="150">
        <f>'WL Prob'!P15</f>
        <v>0.36155785529229473</v>
      </c>
      <c r="D2" s="149" t="s">
        <v>126</v>
      </c>
      <c r="E2" s="150">
        <f>'WL Prob'!R15</f>
        <v>0.63844214470770522</v>
      </c>
      <c r="F2" t="s">
        <v>47</v>
      </c>
      <c r="G2">
        <f>(K2-E2*I2)/C2</f>
        <v>1.7523982954085515</v>
      </c>
      <c r="H2" t="s">
        <v>156</v>
      </c>
      <c r="I2">
        <v>-1</v>
      </c>
      <c r="J2" s="149" t="s">
        <v>127</v>
      </c>
      <c r="K2" s="150">
        <f>Rules!C21</f>
        <v>-4.8487754019161805E-3</v>
      </c>
    </row>
    <row r="4" spans="1:23" x14ac:dyDescent="0.2">
      <c r="A4" s="356" t="s">
        <v>128</v>
      </c>
      <c r="B4" s="356"/>
      <c r="C4" s="356"/>
      <c r="D4" s="356"/>
      <c r="E4" s="356"/>
      <c r="F4" s="356"/>
      <c r="G4" s="356"/>
      <c r="H4" s="356"/>
      <c r="I4" s="356"/>
      <c r="J4" s="356"/>
      <c r="K4" s="356"/>
      <c r="L4" s="356"/>
      <c r="M4" s="356"/>
      <c r="N4" s="356"/>
      <c r="O4" s="356"/>
      <c r="P4" s="356"/>
      <c r="Q4" s="356"/>
      <c r="R4" s="356"/>
      <c r="S4" s="356"/>
      <c r="T4" s="356"/>
      <c r="U4" s="356"/>
      <c r="V4" s="356"/>
      <c r="W4" s="356"/>
    </row>
    <row r="5" spans="1:23" x14ac:dyDescent="0.2">
      <c r="A5" t="s">
        <v>123</v>
      </c>
      <c r="B5">
        <f>$C$2</f>
        <v>0.36155785529229473</v>
      </c>
      <c r="C5" t="s">
        <v>124</v>
      </c>
      <c r="D5">
        <f>$E$2</f>
        <v>0.63844214470770522</v>
      </c>
      <c r="E5" t="s">
        <v>47</v>
      </c>
      <c r="F5">
        <f>G2</f>
        <v>1.7523982954085515</v>
      </c>
      <c r="G5" t="s">
        <v>156</v>
      </c>
      <c r="H5">
        <f>I2</f>
        <v>-1</v>
      </c>
      <c r="I5" t="s">
        <v>48</v>
      </c>
      <c r="J5">
        <f>K2</f>
        <v>-4.8487754019161805E-3</v>
      </c>
    </row>
    <row r="6" spans="1:23" ht="17" thickBot="1" x14ac:dyDescent="0.25">
      <c r="D6">
        <f>1/(1-B5*D5)</f>
        <v>1.3001090847938426</v>
      </c>
      <c r="E6">
        <f>1/(1-D6*B5*D5)</f>
        <v>1.4287940852974832</v>
      </c>
      <c r="F6">
        <f>1/(1-E6*D5*B5)</f>
        <v>1.492122924023271</v>
      </c>
      <c r="G6">
        <f>1/(1-F6*D5*B5)</f>
        <v>1.5253956184087116</v>
      </c>
      <c r="H6">
        <f>1/(1-G6*D5*B5)</f>
        <v>1.5434786163143615</v>
      </c>
      <c r="I6">
        <f>1/(1-H6*D5*B5)</f>
        <v>1.5534873264799012</v>
      </c>
      <c r="J6">
        <f>1/(1-I6*D5*B5)</f>
        <v>1.5590830264501134</v>
      </c>
      <c r="K6">
        <f>1/(1-J6*D5*B5)</f>
        <v>1.5622290917621391</v>
      </c>
    </row>
    <row r="7" spans="1:23" ht="17" thickBot="1" x14ac:dyDescent="0.25">
      <c r="A7" s="103"/>
      <c r="B7" s="103">
        <v>1</v>
      </c>
      <c r="C7" s="154">
        <v>0</v>
      </c>
      <c r="D7" s="151">
        <v>-1</v>
      </c>
      <c r="E7" s="118">
        <v>-2</v>
      </c>
      <c r="F7" s="118">
        <v>-3</v>
      </c>
      <c r="G7" s="118">
        <v>-4</v>
      </c>
      <c r="H7" s="118">
        <v>-5</v>
      </c>
      <c r="I7" s="118">
        <v>-6</v>
      </c>
      <c r="J7" s="118">
        <v>-7</v>
      </c>
      <c r="K7" s="118">
        <v>-8</v>
      </c>
      <c r="L7" s="118">
        <v>-9</v>
      </c>
      <c r="M7" s="105">
        <v>-10</v>
      </c>
      <c r="N7" t="s">
        <v>136</v>
      </c>
      <c r="R7" s="188" t="s">
        <v>49</v>
      </c>
      <c r="S7" s="164" t="s">
        <v>130</v>
      </c>
      <c r="T7" s="165" t="s">
        <v>137</v>
      </c>
      <c r="U7" s="184" t="s">
        <v>48</v>
      </c>
      <c r="V7" s="175" t="s">
        <v>47</v>
      </c>
      <c r="W7" s="168" t="s">
        <v>156</v>
      </c>
    </row>
    <row r="8" spans="1:23" x14ac:dyDescent="0.2">
      <c r="A8" s="101">
        <v>1</v>
      </c>
      <c r="B8" s="95">
        <f>C8*B5</f>
        <v>0.36155785529229473</v>
      </c>
      <c r="C8" s="95">
        <v>1</v>
      </c>
      <c r="D8" s="152">
        <f>C8*D5</f>
        <v>0.63844214470770522</v>
      </c>
      <c r="E8" s="110"/>
      <c r="F8" s="110"/>
      <c r="G8" s="110"/>
      <c r="H8" s="110"/>
      <c r="I8" s="110"/>
      <c r="J8" s="110"/>
      <c r="K8" s="110"/>
      <c r="L8" s="110"/>
      <c r="M8" s="57"/>
      <c r="N8">
        <f>B8+D8</f>
        <v>1</v>
      </c>
      <c r="R8" s="189">
        <f>B8-D8</f>
        <v>-0.27688428941541049</v>
      </c>
      <c r="S8" s="109">
        <f>SUM(C8)*$B$5*$F$5</f>
        <v>0.63359336930578902</v>
      </c>
      <c r="T8" s="57">
        <f>SUM(C8)*$D$5*$H$5</f>
        <v>-0.63844214470770522</v>
      </c>
      <c r="U8" s="185">
        <f>S8+T8</f>
        <v>-4.8487754019161944E-3</v>
      </c>
      <c r="V8" s="109">
        <f>(U8+W8*D8)/B8</f>
        <v>1.7523982954085515</v>
      </c>
      <c r="W8" s="57">
        <f>COUNT(D8:M8)</f>
        <v>1</v>
      </c>
    </row>
    <row r="9" spans="1:23" x14ac:dyDescent="0.2">
      <c r="A9" s="99">
        <v>2</v>
      </c>
      <c r="B9" s="97">
        <f>C9*B5</f>
        <v>0.47006465234408989</v>
      </c>
      <c r="C9" s="97">
        <f>1/(1-B5*D5*C8)</f>
        <v>1.3001090847938426</v>
      </c>
      <c r="D9" s="144">
        <f>C9*D5</f>
        <v>0.83004443244975268</v>
      </c>
      <c r="E9" s="1">
        <f>D9*D5</f>
        <v>0.52993534765590999</v>
      </c>
      <c r="F9" s="1"/>
      <c r="G9" s="1"/>
      <c r="H9" s="1"/>
      <c r="I9" s="1"/>
      <c r="J9" s="1"/>
      <c r="K9" s="1"/>
      <c r="L9" s="1"/>
      <c r="M9" s="9"/>
      <c r="N9">
        <f>B9+E9</f>
        <v>0.99999999999999989</v>
      </c>
      <c r="R9" s="190">
        <f>B9-E9</f>
        <v>-5.9870695311820099E-2</v>
      </c>
      <c r="S9" s="93">
        <f>SUM(C9:D9)*$B$5*$F$5</f>
        <v>1.3496511441289469</v>
      </c>
      <c r="T9" s="9">
        <f>SUM(C9:D9)*$D$5*$H$5</f>
        <v>-1.3599797801056628</v>
      </c>
      <c r="U9" s="186">
        <f>S9+T9</f>
        <v>-1.032863597671585E-2</v>
      </c>
      <c r="V9" s="93">
        <f>(U9+W9*E9)/B9</f>
        <v>2.2327610768036088</v>
      </c>
      <c r="W9" s="9">
        <f>COUNT(D9:M9)</f>
        <v>2</v>
      </c>
    </row>
    <row r="10" spans="1:23" x14ac:dyDescent="0.2">
      <c r="A10" s="99">
        <v>3</v>
      </c>
      <c r="B10" s="97">
        <f>C10*B5</f>
        <v>0.51659172513447404</v>
      </c>
      <c r="C10" s="97">
        <f>1/(1-D5*B5*C9)</f>
        <v>1.4287940852974832</v>
      </c>
      <c r="D10" s="144">
        <f>C10*D5*C9</f>
        <v>1.1859625756183128</v>
      </c>
      <c r="E10" s="1">
        <f>D10*(D5)</f>
        <v>0.75716849032082967</v>
      </c>
      <c r="F10" s="1">
        <f>E10*D5</f>
        <v>0.48340827486552584</v>
      </c>
      <c r="G10" s="1"/>
      <c r="H10" s="1"/>
      <c r="I10" s="1"/>
      <c r="J10" s="1"/>
      <c r="K10" s="1"/>
      <c r="L10" s="1"/>
      <c r="M10" s="9"/>
      <c r="N10">
        <f>B10+F10</f>
        <v>0.99999999999999989</v>
      </c>
      <c r="R10" s="190">
        <f>B10-F10</f>
        <v>3.31834502689482E-2</v>
      </c>
      <c r="S10" s="93">
        <f>SUM(C10:E10)*$B$5*$F$5</f>
        <v>2.1364294176189458</v>
      </c>
      <c r="T10" s="9">
        <f>SUM(C10:E10)*$D$5*$H$5</f>
        <v>-2.1527791253493644</v>
      </c>
      <c r="U10" s="186">
        <f t="shared" ref="U10:U17" si="0">S10+T10</f>
        <v>-1.6349707730418661E-2</v>
      </c>
      <c r="V10" s="93">
        <f>(U10+W10*F10)/B10</f>
        <v>2.7756447637501487</v>
      </c>
      <c r="W10" s="9">
        <f t="shared" ref="W10:W17" si="1">COUNT(D10:M10)</f>
        <v>3</v>
      </c>
    </row>
    <row r="11" spans="1:23" x14ac:dyDescent="0.2">
      <c r="A11" s="99">
        <v>4</v>
      </c>
      <c r="B11" s="97">
        <f>C11*B5</f>
        <v>0.53948876424232151</v>
      </c>
      <c r="C11" s="97">
        <f>1/(1-D5*B5*C10)</f>
        <v>1.492122924023271</v>
      </c>
      <c r="D11" s="144">
        <f>C11*D5*C10</f>
        <v>1.3611180529473579</v>
      </c>
      <c r="E11" s="1">
        <f>D11*D5*C9</f>
        <v>1.1297884617558021</v>
      </c>
      <c r="F11" s="1">
        <f>E11*D5</f>
        <v>0.7213045685893934</v>
      </c>
      <c r="G11" s="1">
        <f>F11*D5</f>
        <v>0.46051123575767838</v>
      </c>
      <c r="H11" s="1"/>
      <c r="I11" s="1"/>
      <c r="J11" s="1"/>
      <c r="K11" s="1"/>
      <c r="L11" s="1"/>
      <c r="M11" s="9"/>
      <c r="N11">
        <f>B11+G11</f>
        <v>0.99999999999999989</v>
      </c>
      <c r="R11" s="190">
        <f>B11-G11</f>
        <v>7.8977528484643122E-2</v>
      </c>
      <c r="S11" s="93">
        <f>SUM(C11:F11)*$B$5*$F$5</f>
        <v>2.9806348340350377</v>
      </c>
      <c r="T11" s="9">
        <f>SUM(C11:F11)*$D$5*$H$5</f>
        <v>-3.0034450930521084</v>
      </c>
      <c r="U11" s="186">
        <f t="shared" si="0"/>
        <v>-2.2810259017070678E-2</v>
      </c>
      <c r="V11" s="93">
        <f>(U11+W11*G11)/B11</f>
        <v>3.3721456397125249</v>
      </c>
      <c r="W11" s="9">
        <f t="shared" si="1"/>
        <v>4</v>
      </c>
    </row>
    <row r="12" spans="1:23" x14ac:dyDescent="0.2">
      <c r="A12" s="99">
        <v>5</v>
      </c>
      <c r="B12" s="97">
        <f>C12*B5</f>
        <v>0.55151876826411739</v>
      </c>
      <c r="C12" s="97">
        <f>1/(1-D5*B5*C11)</f>
        <v>1.5253956184087116</v>
      </c>
      <c r="D12" s="144">
        <f>C12*D5*C11</f>
        <v>1.4531439732763247</v>
      </c>
      <c r="E12" s="1">
        <f>D12*D5*C10</f>
        <v>1.3255613620793159</v>
      </c>
      <c r="F12" s="1">
        <f>E12*D5*C9</f>
        <v>1.1002748284644468</v>
      </c>
      <c r="G12" s="1">
        <f>F12*D5</f>
        <v>0.70246182125274392</v>
      </c>
      <c r="H12" s="1">
        <f>G12*D5</f>
        <v>0.4484812317358825</v>
      </c>
      <c r="I12" s="1"/>
      <c r="J12" s="1"/>
      <c r="K12" s="1"/>
      <c r="L12" s="1"/>
      <c r="M12" s="9"/>
      <c r="N12">
        <f>B12+H12</f>
        <v>0.99999999999999989</v>
      </c>
      <c r="R12" s="190">
        <f>B12-H12</f>
        <v>0.10303753652823489</v>
      </c>
      <c r="S12" s="93">
        <f>SUM(C12:G12)*$B$5*$F$5</f>
        <v>3.8692518129931615</v>
      </c>
      <c r="T12" s="9">
        <f>SUM(C12:G12)*$D$5*$H$5</f>
        <v>-3.8988624969484191</v>
      </c>
      <c r="U12" s="186">
        <f t="shared" si="0"/>
        <v>-2.9610683955257677E-2</v>
      </c>
      <c r="V12" s="93">
        <f>(U12+W12*H12)/B12</f>
        <v>4.0121852637741373</v>
      </c>
      <c r="W12" s="9">
        <f t="shared" si="1"/>
        <v>5</v>
      </c>
    </row>
    <row r="13" spans="1:23" x14ac:dyDescent="0.2">
      <c r="A13" s="99">
        <v>6</v>
      </c>
      <c r="B13" s="97">
        <f>C13*B5</f>
        <v>0.55805681820413922</v>
      </c>
      <c r="C13" s="97">
        <f>1/(1-D5*B5*C12)</f>
        <v>1.5434786163143615</v>
      </c>
      <c r="D13" s="144">
        <f>C13*D5*C12</f>
        <v>1.503158093121767</v>
      </c>
      <c r="E13" s="1">
        <f>D13*D5*C11</f>
        <v>1.4319597470589887</v>
      </c>
      <c r="F13" s="1">
        <f>E13*D5*C10</f>
        <v>1.3062370609256351</v>
      </c>
      <c r="G13" s="1">
        <f>F13*D5*C9</f>
        <v>1.0842347998808517</v>
      </c>
      <c r="H13" s="1">
        <f>G13*D5</f>
        <v>0.69222119100266055</v>
      </c>
      <c r="I13" s="1">
        <f>H13*D5</f>
        <v>0.44194318179586067</v>
      </c>
      <c r="J13" s="1"/>
      <c r="K13" s="1"/>
      <c r="L13" s="1"/>
      <c r="M13" s="9"/>
      <c r="N13">
        <f>B13+I13</f>
        <v>0.99999999999999989</v>
      </c>
      <c r="R13" s="190">
        <f>B13-I13</f>
        <v>0.11611363640827854</v>
      </c>
      <c r="S13" s="93">
        <f>SUM(C13:H13)*$B$5*$F$5</f>
        <v>4.7907828958630123</v>
      </c>
      <c r="T13" s="9">
        <f>SUM(C13:H13)*$D$5*$H$5</f>
        <v>-4.8274458904376445</v>
      </c>
      <c r="U13" s="186">
        <f t="shared" si="0"/>
        <v>-3.6662994574632179E-2</v>
      </c>
      <c r="V13" s="93">
        <f>(U13+W13*I13)/B13</f>
        <v>4.6858957921448718</v>
      </c>
      <c r="W13" s="9">
        <f t="shared" si="1"/>
        <v>6</v>
      </c>
    </row>
    <row r="14" spans="1:23" x14ac:dyDescent="0.2">
      <c r="A14" s="99">
        <v>7</v>
      </c>
      <c r="B14" s="97">
        <f>C14*B5</f>
        <v>0.56167554598583402</v>
      </c>
      <c r="C14" s="97">
        <f>1/(1-D5*B5*C13)</f>
        <v>1.5534873264799014</v>
      </c>
      <c r="D14" s="144">
        <f>C14*D5*C13</f>
        <v>1.5308402746012661</v>
      </c>
      <c r="E14" s="1">
        <f>D14*D5*C12</f>
        <v>1.4908499047031667</v>
      </c>
      <c r="F14" s="1">
        <f>E14*D5*C11</f>
        <v>1.4202345463264097</v>
      </c>
      <c r="G14" s="1">
        <f>F14*D5*C10</f>
        <v>1.2955413051439915</v>
      </c>
      <c r="H14" s="1">
        <f>G14*D5*C9</f>
        <v>1.0753568473434563</v>
      </c>
      <c r="I14" s="1">
        <f>H14*D5</f>
        <v>0.68655313194407253</v>
      </c>
      <c r="J14" s="1">
        <f>I14*D5</f>
        <v>0.43832445401416581</v>
      </c>
      <c r="K14" s="1"/>
      <c r="L14" s="1"/>
      <c r="M14" s="9"/>
      <c r="N14">
        <f>B14+J14</f>
        <v>0.99999999999999978</v>
      </c>
      <c r="R14" s="190">
        <f>B14-J14</f>
        <v>0.12335109197166821</v>
      </c>
      <c r="S14" s="93">
        <f>SUM(C14:I14)*$B$5*$F$5</f>
        <v>5.7358341832646618</v>
      </c>
      <c r="T14" s="9">
        <f>SUM(C14:I14)*$D$5*$H$5</f>
        <v>-5.7797294843277971</v>
      </c>
      <c r="U14" s="186">
        <f t="shared" si="0"/>
        <v>-4.3895301063135328E-2</v>
      </c>
      <c r="V14" s="93">
        <f>(U14+W14*J14)/B14</f>
        <v>5.3845603545508505</v>
      </c>
      <c r="W14" s="9">
        <f t="shared" si="1"/>
        <v>7</v>
      </c>
    </row>
    <row r="15" spans="1:23" x14ac:dyDescent="0.2">
      <c r="A15" s="99">
        <v>8</v>
      </c>
      <c r="B15" s="97">
        <f>C15*B5</f>
        <v>0.56369871526592308</v>
      </c>
      <c r="C15" s="97">
        <f>1/(1-D5*B5*C14)</f>
        <v>1.5590830264501134</v>
      </c>
      <c r="D15" s="144">
        <f>C15*D5*C14</f>
        <v>1.5463169124015661</v>
      </c>
      <c r="E15" s="1">
        <f>D15*D5*C13</f>
        <v>1.5237743922669982</v>
      </c>
      <c r="F15" s="1">
        <f>E15*D5*C12</f>
        <v>1.4839686054719774</v>
      </c>
      <c r="G15" s="1">
        <f>F15*D5*C11</f>
        <v>1.4136791856151043</v>
      </c>
      <c r="H15" s="1">
        <f>G15*D5*C10</f>
        <v>1.2895614896314187</v>
      </c>
      <c r="I15" s="1">
        <f>H15*D5*C9</f>
        <v>1.0703933347701684</v>
      </c>
      <c r="J15" s="1">
        <f>I15*D5</f>
        <v>0.68338421633149904</v>
      </c>
      <c r="K15" s="1">
        <f>J15*D5</f>
        <v>0.43630128473407664</v>
      </c>
      <c r="L15" s="1"/>
      <c r="M15" s="9"/>
      <c r="N15">
        <f>B15+K15</f>
        <v>0.99999999999999978</v>
      </c>
      <c r="R15" s="190">
        <f>B15-K15</f>
        <v>0.12739743053184643</v>
      </c>
      <c r="S15" s="93">
        <f>SUM(C15:J15)*$B$5*$F$5</f>
        <v>6.6971840253316195</v>
      </c>
      <c r="T15" s="9">
        <f>SUM(C15:J15)*$D$5*$H$5</f>
        <v>-6.7484363627727681</v>
      </c>
      <c r="U15" s="186">
        <f t="shared" si="0"/>
        <v>-5.1252337441148654E-2</v>
      </c>
      <c r="V15" s="93">
        <f>(U15+W15*K15)/B15</f>
        <v>6.101056907339327</v>
      </c>
      <c r="W15" s="9">
        <f t="shared" si="1"/>
        <v>8</v>
      </c>
    </row>
    <row r="16" spans="1:23" x14ac:dyDescent="0.2">
      <c r="A16" s="99">
        <v>9</v>
      </c>
      <c r="B16" s="97">
        <f>C16*B5</f>
        <v>0.56483619989274847</v>
      </c>
      <c r="C16" s="97">
        <f>1/(1-D5*B5*C15)</f>
        <v>1.5622290917621391</v>
      </c>
      <c r="D16" s="144">
        <f>C16*D5*C15</f>
        <v>1.5550183284155601</v>
      </c>
      <c r="E16" s="1">
        <f>D16*D5*C14</f>
        <v>1.542285497006745</v>
      </c>
      <c r="F16" s="1">
        <f>E16*D5*C13</f>
        <v>1.5198017476597043</v>
      </c>
      <c r="G16" s="1">
        <f>F16*D5*C12</f>
        <v>1.4800997388550821</v>
      </c>
      <c r="H16" s="1">
        <f>G16*D5*C11</f>
        <v>1.4099935711162137</v>
      </c>
      <c r="I16" s="1">
        <f>H16*D5*C10</f>
        <v>1.2861994633868796</v>
      </c>
      <c r="J16" s="1">
        <f>I16*D5*C9</f>
        <v>1.0676027036041389</v>
      </c>
      <c r="K16" s="1">
        <f>J16*D5</f>
        <v>0.68160255978477091</v>
      </c>
      <c r="L16" s="1">
        <f>K16*D5</f>
        <v>0.43516380010725103</v>
      </c>
      <c r="M16" s="9"/>
      <c r="N16">
        <f>B16+L16</f>
        <v>0.99999999999999956</v>
      </c>
      <c r="R16" s="190">
        <f>B16-L16</f>
        <v>0.12967239978549744</v>
      </c>
      <c r="S16" s="93">
        <f>SUM(C16:K16)*$B$5*$F$5</f>
        <v>7.6695417362840868</v>
      </c>
      <c r="T16" s="9">
        <f>SUM(C16:K16)*$D$5*$H$5</f>
        <v>-7.7282353513318727</v>
      </c>
      <c r="U16" s="186">
        <f t="shared" si="0"/>
        <v>-5.8693615047785919E-2</v>
      </c>
      <c r="V16" s="93">
        <f>(U16+W16*L16)/B16</f>
        <v>6.829910311431866</v>
      </c>
      <c r="W16" s="9">
        <f t="shared" si="1"/>
        <v>9</v>
      </c>
    </row>
    <row r="17" spans="1:23" ht="17" thickBot="1" x14ac:dyDescent="0.25">
      <c r="A17" s="100">
        <v>10</v>
      </c>
      <c r="B17" s="145">
        <f>C17*B5</f>
        <v>0.56547774518477134</v>
      </c>
      <c r="C17" s="145">
        <f>1/(1-D5*B5*C16)</f>
        <v>1.5640034835576213</v>
      </c>
      <c r="D17" s="153">
        <f>C17*D5*C16</f>
        <v>1.5599259573593367</v>
      </c>
      <c r="E17" s="111">
        <f>D17*D5*C15</f>
        <v>1.552725824564462</v>
      </c>
      <c r="F17" s="111">
        <f>E17*D5*C14</f>
        <v>1.5400117646803977</v>
      </c>
      <c r="G17" s="111">
        <f>F17*D5*C13</f>
        <v>1.5175611622622538</v>
      </c>
      <c r="H17" s="111">
        <f>G17*D5*C12</f>
        <v>1.4779176846057329</v>
      </c>
      <c r="I17" s="111">
        <f>H17*D5*C11</f>
        <v>1.4079148716997887</v>
      </c>
      <c r="J17" s="111">
        <f>I17*D5*C10</f>
        <v>1.2843032688731475</v>
      </c>
      <c r="K17" s="111">
        <f>J17*D5*C9</f>
        <v>1.0660287779051738</v>
      </c>
      <c r="L17" s="111">
        <f>K17*D5</f>
        <v>0.68059769928591307</v>
      </c>
      <c r="M17" s="10">
        <f>L17*D5</f>
        <v>0.43452225481522816</v>
      </c>
      <c r="N17">
        <f>B17+M17</f>
        <v>0.99999999999999956</v>
      </c>
      <c r="R17" s="191">
        <f>B17-M17</f>
        <v>0.13095549036954318</v>
      </c>
      <c r="S17" s="94">
        <f>SUM(C17:L17)*$B$5*$F$5</f>
        <v>8.6491770619577206</v>
      </c>
      <c r="T17" s="10">
        <f>SUM(C17:L17)*$D$5*$H$5</f>
        <v>-8.7153676488806688</v>
      </c>
      <c r="U17" s="186">
        <f t="shared" si="0"/>
        <v>-6.6190586922948214E-2</v>
      </c>
      <c r="V17" s="94">
        <f>(U17+W17*M17)/B17</f>
        <v>7.5671094002667569</v>
      </c>
      <c r="W17" s="10">
        <f t="shared" si="1"/>
        <v>10</v>
      </c>
    </row>
    <row r="20" spans="1:23" x14ac:dyDescent="0.2">
      <c r="A20" s="356" t="s">
        <v>129</v>
      </c>
      <c r="B20" s="356"/>
      <c r="C20" s="356"/>
      <c r="D20" s="356"/>
      <c r="E20" s="356"/>
      <c r="F20" s="356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</row>
    <row r="21" spans="1:23" x14ac:dyDescent="0.2">
      <c r="A21" t="s">
        <v>123</v>
      </c>
      <c r="B21">
        <f>$C$2</f>
        <v>0.36155785529229473</v>
      </c>
      <c r="C21" t="s">
        <v>124</v>
      </c>
      <c r="D21">
        <f>$E$2</f>
        <v>0.63844214470770522</v>
      </c>
      <c r="E21" t="s">
        <v>47</v>
      </c>
      <c r="F21">
        <f>G2</f>
        <v>1.7523982954085515</v>
      </c>
      <c r="G21" t="s">
        <v>156</v>
      </c>
      <c r="H21">
        <f>I2</f>
        <v>-1</v>
      </c>
      <c r="I21" t="s">
        <v>48</v>
      </c>
      <c r="J21">
        <f>K2</f>
        <v>-4.8487754019161805E-3</v>
      </c>
    </row>
    <row r="22" spans="1:23" ht="17" thickBot="1" x14ac:dyDescent="0.25">
      <c r="E22">
        <f>1/(1-B21*D21)</f>
        <v>1.3001090847938426</v>
      </c>
      <c r="F22">
        <f>1/(1-E22*B21*D21)</f>
        <v>1.4287940852974832</v>
      </c>
      <c r="G22">
        <f>1/(1-F22*D21*B21)</f>
        <v>1.492122924023271</v>
      </c>
      <c r="H22">
        <f>1/(1-G22*D21*B21)</f>
        <v>1.5253956184087116</v>
      </c>
      <c r="I22">
        <f>1/(1-H22*D21*B21)</f>
        <v>1.5434786163143615</v>
      </c>
      <c r="J22">
        <f>1/(1-I22*D21*B21)</f>
        <v>1.5534873264799012</v>
      </c>
      <c r="K22">
        <f>1/(1-J22*D21*B21)</f>
        <v>1.5590830264501134</v>
      </c>
      <c r="L22">
        <f>1/(1-K22*D21*B21)</f>
        <v>1.5622290917621391</v>
      </c>
    </row>
    <row r="23" spans="1:23" ht="17" thickBot="1" x14ac:dyDescent="0.25">
      <c r="A23" s="103"/>
      <c r="B23" s="117">
        <v>2</v>
      </c>
      <c r="C23" s="103">
        <v>1</v>
      </c>
      <c r="D23" s="154">
        <v>0</v>
      </c>
      <c r="E23" s="151">
        <v>-1</v>
      </c>
      <c r="F23" s="118">
        <v>-2</v>
      </c>
      <c r="G23" s="118">
        <v>-3</v>
      </c>
      <c r="H23" s="118">
        <v>-4</v>
      </c>
      <c r="I23" s="118">
        <v>-5</v>
      </c>
      <c r="J23" s="118">
        <v>-6</v>
      </c>
      <c r="K23" s="118">
        <v>-7</v>
      </c>
      <c r="L23" s="118">
        <v>-8</v>
      </c>
      <c r="M23" s="118">
        <v>-9</v>
      </c>
      <c r="N23" s="105">
        <v>-10</v>
      </c>
      <c r="O23" t="s">
        <v>136</v>
      </c>
      <c r="R23" s="188" t="s">
        <v>49</v>
      </c>
      <c r="S23" s="164" t="s">
        <v>130</v>
      </c>
      <c r="T23" s="165" t="s">
        <v>137</v>
      </c>
      <c r="U23" s="187" t="s">
        <v>48</v>
      </c>
      <c r="V23" s="175" t="s">
        <v>47</v>
      </c>
      <c r="W23" s="168" t="s">
        <v>156</v>
      </c>
    </row>
    <row r="24" spans="1:23" x14ac:dyDescent="0.2">
      <c r="A24" s="101">
        <v>1</v>
      </c>
      <c r="B24" s="109">
        <f>C24*B21</f>
        <v>0.16995556755024729</v>
      </c>
      <c r="C24" s="95">
        <f>D24*B21</f>
        <v>0.47006465234408989</v>
      </c>
      <c r="D24" s="95">
        <f>1/(1-B21*D21)</f>
        <v>1.3001090847938426</v>
      </c>
      <c r="E24" s="152">
        <f>D24*D21</f>
        <v>0.83004443244975268</v>
      </c>
      <c r="F24" s="110"/>
      <c r="G24" s="110"/>
      <c r="H24" s="110"/>
      <c r="I24" s="110"/>
      <c r="J24" s="110"/>
      <c r="K24" s="110"/>
      <c r="L24" s="110"/>
      <c r="M24" s="110"/>
      <c r="N24" s="57"/>
      <c r="O24">
        <f>E24+B24</f>
        <v>1</v>
      </c>
      <c r="R24" s="192">
        <f>B24-E24</f>
        <v>-0.66008886489950536</v>
      </c>
      <c r="S24" s="109">
        <f>SUM(C24:D24)*$B$21*$F$21</f>
        <v>1.1215703423698427</v>
      </c>
      <c r="T24" s="57">
        <f>SUM(C24:D24)*$D$21*$H$21</f>
        <v>-1.1301535172435953</v>
      </c>
      <c r="U24" s="185">
        <f>S24+T24</f>
        <v>-8.583174873752597E-3</v>
      </c>
      <c r="V24" s="109">
        <f>(U24+W24*D24)/B24</f>
        <v>7.5991974169263434</v>
      </c>
      <c r="W24" s="57">
        <f>COUNT(E24:N24)</f>
        <v>1</v>
      </c>
    </row>
    <row r="25" spans="1:23" x14ac:dyDescent="0.2">
      <c r="A25" s="99">
        <v>2</v>
      </c>
      <c r="B25" s="93">
        <f>C25*B21</f>
        <v>0.24283150967917017</v>
      </c>
      <c r="C25" s="97">
        <f>D25*B21</f>
        <v>0.67162559497665331</v>
      </c>
      <c r="D25" s="97">
        <f>1/(1-B21*D21*2)</f>
        <v>1.8575881705949662</v>
      </c>
      <c r="E25" s="144">
        <f>D25*D21</f>
        <v>1.1859625756183128</v>
      </c>
      <c r="F25" s="1">
        <f>E25*D21</f>
        <v>0.75716849032082967</v>
      </c>
      <c r="G25" s="1"/>
      <c r="H25" s="1"/>
      <c r="I25" s="1"/>
      <c r="J25" s="1"/>
      <c r="K25" s="1"/>
      <c r="L25" s="1"/>
      <c r="M25" s="1"/>
      <c r="N25" s="9"/>
      <c r="O25">
        <f>F25+B25</f>
        <v>0.99999999999999978</v>
      </c>
      <c r="R25" s="193">
        <f>B25-F25</f>
        <v>-0.51433698064165956</v>
      </c>
      <c r="S25" s="93">
        <f>SUM(C25:E25)*$B$21*$F$21</f>
        <v>2.3539110955796825</v>
      </c>
      <c r="T25" s="9">
        <f>SUM(C25:E25)*$D$21*$H$21</f>
        <v>-2.3719251512366255</v>
      </c>
      <c r="U25" s="186">
        <f>S25+T25</f>
        <v>-1.8014055656943029E-2</v>
      </c>
      <c r="V25" s="93">
        <f>(U25+W25*E25)/B25</f>
        <v>9.6935982430355843</v>
      </c>
      <c r="W25" s="9">
        <f>COUNT(E25:N25)</f>
        <v>2</v>
      </c>
    </row>
    <row r="26" spans="1:23" x14ac:dyDescent="0.2">
      <c r="A26" s="99">
        <v>3</v>
      </c>
      <c r="B26" s="93">
        <f>C26*B21</f>
        <v>0.27869543141060632</v>
      </c>
      <c r="C26" s="97">
        <f>D26*B21</f>
        <v>0.77081835543387711</v>
      </c>
      <c r="D26" s="97">
        <f>1/(1-B21*D21-D21*B21*E22)</f>
        <v>2.1319364083812351</v>
      </c>
      <c r="E26" s="144">
        <f>D26*D21*E22</f>
        <v>1.7696019461137664</v>
      </c>
      <c r="F26" s="1">
        <f>E26*(D21)</f>
        <v>1.1297884617558021</v>
      </c>
      <c r="G26" s="1">
        <f>F26*D21</f>
        <v>0.7213045685893934</v>
      </c>
      <c r="H26" s="1"/>
      <c r="I26" s="1"/>
      <c r="J26" s="1"/>
      <c r="K26" s="1"/>
      <c r="L26" s="1"/>
      <c r="M26" s="1"/>
      <c r="N26" s="9"/>
      <c r="O26">
        <f>G26+B26</f>
        <v>0.99999999999999978</v>
      </c>
      <c r="R26" s="193">
        <f>B26-G26</f>
        <v>-0.44260913717878708</v>
      </c>
      <c r="S26" s="93">
        <f>SUM(C26:F26)*$B$21*$F$21</f>
        <v>3.6762007085290125</v>
      </c>
      <c r="T26" s="9">
        <f>SUM(C26:F26)*$D$21*$H$21</f>
        <v>-3.7043340073158242</v>
      </c>
      <c r="U26" s="186">
        <f t="shared" ref="U26:U33" si="2">S26+T26</f>
        <v>-2.81332987868117E-2</v>
      </c>
      <c r="V26" s="93">
        <f>(U26+W26*F26)/B26</f>
        <v>12.060592703180838</v>
      </c>
      <c r="W26" s="9">
        <f>COUNT(E26:N26)</f>
        <v>3</v>
      </c>
    </row>
    <row r="27" spans="1:23" x14ac:dyDescent="0.2">
      <c r="A27" s="99">
        <v>4</v>
      </c>
      <c r="B27" s="93">
        <f>C27*B21</f>
        <v>0.29753817874725591</v>
      </c>
      <c r="C27" s="97">
        <f>D27*B21</f>
        <v>0.82293379715596748</v>
      </c>
      <c r="D27" s="97">
        <f>1/(1-B21*D21-D21*B21*F22)</f>
        <v>2.2760777704322921</v>
      </c>
      <c r="E27" s="144">
        <f>D27*D21*F22</f>
        <v>2.0762435141028965</v>
      </c>
      <c r="F27" s="1">
        <f>E27*D21*E22</f>
        <v>1.7233743692910186</v>
      </c>
      <c r="G27" s="1">
        <f>F27*D21</f>
        <v>1.1002748284644468</v>
      </c>
      <c r="H27" s="1">
        <f>G27*D21</f>
        <v>0.70246182125274392</v>
      </c>
      <c r="I27" s="1"/>
      <c r="J27" s="1"/>
      <c r="K27" s="1"/>
      <c r="L27" s="1"/>
      <c r="M27" s="1"/>
      <c r="N27" s="9"/>
      <c r="O27">
        <f>H27+B27</f>
        <v>0.99999999999999978</v>
      </c>
      <c r="R27" s="193">
        <f>B27-H27</f>
        <v>-0.40492364250548801</v>
      </c>
      <c r="S27" s="93">
        <f>SUM(C27:G27)*$B$21*$F$21</f>
        <v>5.06805271316908</v>
      </c>
      <c r="T27" s="9">
        <f>SUM(C27:G27)*$D$21*$H$21</f>
        <v>-5.1068376034815426</v>
      </c>
      <c r="U27" s="186">
        <f t="shared" si="2"/>
        <v>-3.8784890312462572E-2</v>
      </c>
      <c r="V27" s="93">
        <f>(U27+W27*G27)/B27</f>
        <v>14.661360239254865</v>
      </c>
      <c r="W27" s="9">
        <f t="shared" ref="W27:W33" si="3">COUNT(E27:N27)</f>
        <v>4</v>
      </c>
    </row>
    <row r="28" spans="1:23" x14ac:dyDescent="0.2">
      <c r="A28" s="99">
        <v>5</v>
      </c>
      <c r="B28" s="93">
        <f>C28*B21</f>
        <v>0.30777880899733934</v>
      </c>
      <c r="C28" s="97">
        <f>D28*B21</f>
        <v>0.8512574253117009</v>
      </c>
      <c r="D28" s="97">
        <f>1/(1-B21*D21-D21*B21*G22)</f>
        <v>2.3544155184334681</v>
      </c>
      <c r="E28" s="144">
        <f>D28*D21*G22</f>
        <v>2.2428966491780953</v>
      </c>
      <c r="F28" s="1">
        <f>E28*D21*F22</f>
        <v>2.0459756169819632</v>
      </c>
      <c r="G28" s="1">
        <f>F28*D21*E22</f>
        <v>1.6982506698038262</v>
      </c>
      <c r="H28" s="1">
        <f>G28*D21</f>
        <v>1.0842347998808517</v>
      </c>
      <c r="I28" s="1">
        <f>H28*D21</f>
        <v>0.69222119100266055</v>
      </c>
      <c r="J28" s="1"/>
      <c r="K28" s="1"/>
      <c r="L28" s="1"/>
      <c r="M28" s="1"/>
      <c r="N28" s="9"/>
      <c r="O28">
        <f>I28+B28</f>
        <v>0.99999999999999989</v>
      </c>
      <c r="R28" s="193">
        <f>B28-I28</f>
        <v>-0.38444238200532121</v>
      </c>
      <c r="S28" s="93">
        <f>SUM(C28:H28)*$B$21*$F$21</f>
        <v>6.5114584947403316</v>
      </c>
      <c r="T28" s="9">
        <f>SUM(C28:H28)*$D$21*$H$21</f>
        <v>-6.5612895083042648</v>
      </c>
      <c r="U28" s="186">
        <f t="shared" si="2"/>
        <v>-4.9831013563933269E-2</v>
      </c>
      <c r="V28" s="93">
        <f>(U28+W28*H28)/B28</f>
        <v>17.45195844814241</v>
      </c>
      <c r="W28" s="9">
        <f t="shared" si="3"/>
        <v>5</v>
      </c>
    </row>
    <row r="29" spans="1:23" x14ac:dyDescent="0.2">
      <c r="A29" s="99">
        <v>6</v>
      </c>
      <c r="B29" s="93">
        <f>C29*B21</f>
        <v>0.3134468680559272</v>
      </c>
      <c r="C29" s="97">
        <f>D29*B21</f>
        <v>0.86693419453582865</v>
      </c>
      <c r="D29" s="97">
        <f>1/(1-B21*D21-D21*B21*H22)</f>
        <v>2.397774469137095</v>
      </c>
      <c r="E29" s="144">
        <f>D29*D21*H22</f>
        <v>2.3351370473603605</v>
      </c>
      <c r="F29" s="1">
        <f>E29*D21*G22</f>
        <v>2.2245313190855041</v>
      </c>
      <c r="G29" s="1">
        <f>F29*D21*F22</f>
        <v>2.0292227195263286</v>
      </c>
      <c r="H29" s="1">
        <f>G29*D21*E22</f>
        <v>1.684345020543375</v>
      </c>
      <c r="I29" s="1">
        <f>H29*D21</f>
        <v>1.075356847343456</v>
      </c>
      <c r="J29" s="1">
        <f>I29*D21</f>
        <v>0.68655313194407241</v>
      </c>
      <c r="K29" s="1"/>
      <c r="L29" s="1"/>
      <c r="M29" s="1"/>
      <c r="N29" s="9"/>
      <c r="O29">
        <f>J29+B29</f>
        <v>0.99999999999999956</v>
      </c>
      <c r="R29" s="193">
        <f>B29-J29</f>
        <v>-0.37310626388814522</v>
      </c>
      <c r="S29" s="93">
        <f>SUM(C29:I29)*$B$21*$F$21</f>
        <v>7.9917042699222263</v>
      </c>
      <c r="T29" s="9">
        <f>SUM(C29:I29)*$D$21*$H$21</f>
        <v>-8.0528633365422646</v>
      </c>
      <c r="U29" s="186">
        <f t="shared" si="2"/>
        <v>-6.1159066620038338E-2</v>
      </c>
      <c r="V29" s="93">
        <f>(U29+W29*I29)/B29</f>
        <v>20.389363138573067</v>
      </c>
      <c r="W29" s="9">
        <f t="shared" si="3"/>
        <v>6</v>
      </c>
    </row>
    <row r="30" spans="1:23" x14ac:dyDescent="0.2">
      <c r="A30" s="99">
        <v>7</v>
      </c>
      <c r="B30" s="93">
        <f>C30*B21</f>
        <v>0.31661578366850052</v>
      </c>
      <c r="C30" s="97">
        <f>D30*B21</f>
        <v>0.87569881011861395</v>
      </c>
      <c r="D30" s="97">
        <f>1/(1-B21*D21-D21*B21*I22)</f>
        <v>2.4220157225201802</v>
      </c>
      <c r="E30" s="144">
        <f>D30*D21*I22</f>
        <v>2.3867070883370651</v>
      </c>
      <c r="F30" s="1">
        <f>E30*D21*H22</f>
        <v>2.3243587814074766</v>
      </c>
      <c r="G30" s="1">
        <f>F30*D21*G22</f>
        <v>2.214263574755583</v>
      </c>
      <c r="H30" s="1">
        <f>G30*D21*F22</f>
        <v>2.0198564589150241</v>
      </c>
      <c r="I30" s="1">
        <f>H30*D21*E22</f>
        <v>1.6765706080700884</v>
      </c>
      <c r="J30" s="1">
        <f>I30*D21</f>
        <v>1.0703933347701686</v>
      </c>
      <c r="K30" s="1">
        <f>J30*D21</f>
        <v>0.68338421633149915</v>
      </c>
      <c r="L30" s="1"/>
      <c r="M30" s="1"/>
      <c r="N30" s="9"/>
      <c r="O30">
        <f>K30+B30</f>
        <v>0.99999999999999967</v>
      </c>
      <c r="R30" s="193">
        <f>B30-K30</f>
        <v>-0.36676843266299863</v>
      </c>
      <c r="S30" s="93">
        <f>SUM(C30:J30)*$B$21*$F$21</f>
        <v>9.4974786772604052</v>
      </c>
      <c r="T30" s="9">
        <f>SUM(C30:J30)*$D$21*$H$21</f>
        <v>-9.570161162938847</v>
      </c>
      <c r="U30" s="186">
        <f t="shared" si="2"/>
        <v>-7.2682485678441822E-2</v>
      </c>
      <c r="V30" s="93">
        <f>(U30+W30*J30)/B30</f>
        <v>23.435568409569935</v>
      </c>
      <c r="W30" s="9">
        <f t="shared" si="3"/>
        <v>7</v>
      </c>
    </row>
    <row r="31" spans="1:23" x14ac:dyDescent="0.2">
      <c r="A31" s="99">
        <v>8</v>
      </c>
      <c r="B31" s="93">
        <f>C31*B21</f>
        <v>0.31839744021522842</v>
      </c>
      <c r="C31" s="97">
        <f>D31*B21</f>
        <v>0.88062653197736762</v>
      </c>
      <c r="D31" s="97">
        <f>1/(1-B21*D21-D21*B21*J22)</f>
        <v>2.4356448603929279</v>
      </c>
      <c r="E31" s="144">
        <f>D31*D21*J22</f>
        <v>2.4157012656375332</v>
      </c>
      <c r="F31" s="1">
        <f>E31*D21*I22</f>
        <v>2.3804846848816772</v>
      </c>
      <c r="G31" s="1">
        <f>F31*D21*H22</f>
        <v>2.3182989267300149</v>
      </c>
      <c r="H31" s="1">
        <f>G31*D21*G22</f>
        <v>2.2084907501865243</v>
      </c>
      <c r="I31" s="1">
        <f>H31*D21*F22</f>
        <v>2.0145904747183221</v>
      </c>
      <c r="J31" s="1">
        <f>I31*D21*E22</f>
        <v>1.6721996072062475</v>
      </c>
      <c r="K31" s="1">
        <f>J31*D21</f>
        <v>1.0676027036041389</v>
      </c>
      <c r="L31" s="1">
        <f>K31*D21</f>
        <v>0.68160255978477091</v>
      </c>
      <c r="M31" s="1"/>
      <c r="N31" s="9"/>
      <c r="O31">
        <f>L31+B31</f>
        <v>0.99999999999999933</v>
      </c>
      <c r="R31" s="193">
        <f>B31-L31</f>
        <v>-0.36320511956954249</v>
      </c>
      <c r="S31" s="93">
        <f>SUM(C31:K31)*$B$21*$F$21</f>
        <v>11.020494848753335</v>
      </c>
      <c r="T31" s="9">
        <f>SUM(C31:K31)*$D$21*$H$21</f>
        <v>-11.104832701591233</v>
      </c>
      <c r="U31" s="186">
        <f t="shared" si="2"/>
        <v>-8.4337852837897742E-2</v>
      </c>
      <c r="V31" s="93">
        <f>(U31+W31*K31)/B31</f>
        <v>26.559521867634519</v>
      </c>
      <c r="W31" s="9">
        <f t="shared" si="3"/>
        <v>8</v>
      </c>
    </row>
    <row r="32" spans="1:23" x14ac:dyDescent="0.2">
      <c r="A32" s="99">
        <v>9</v>
      </c>
      <c r="B32" s="93">
        <f>C32*B21</f>
        <v>0.31940230071408621</v>
      </c>
      <c r="C32" s="97">
        <f>D32*B21</f>
        <v>0.88340578427170768</v>
      </c>
      <c r="D32" s="97">
        <f>1/(1-B21*D21-D21*B21*K22)</f>
        <v>2.4433317416310447</v>
      </c>
      <c r="E32" s="144">
        <f>D32*D21*K22</f>
        <v>2.4320540826378858</v>
      </c>
      <c r="F32" s="1">
        <f>E32*D21*J22</f>
        <v>2.4121398899589468</v>
      </c>
      <c r="G32" s="1">
        <f>F32*D21*I22</f>
        <v>2.3769752276567391</v>
      </c>
      <c r="H32" s="1">
        <f>G32*D21*H22</f>
        <v>2.3148811475820747</v>
      </c>
      <c r="I32" s="1">
        <f>H32*D21*G22</f>
        <v>2.2052348570196094</v>
      </c>
      <c r="J32" s="1">
        <f>I32*D21*F22</f>
        <v>2.0116204412870236</v>
      </c>
      <c r="K32" s="1">
        <f>J32*D21*E22</f>
        <v>1.6697343474924085</v>
      </c>
      <c r="L32" s="1">
        <f>K32*D21</f>
        <v>1.066028777905174</v>
      </c>
      <c r="M32" s="1">
        <f>L32*D21</f>
        <v>0.68059769928591329</v>
      </c>
      <c r="N32" s="9"/>
      <c r="O32">
        <f>M32+B32</f>
        <v>0.99999999999999956</v>
      </c>
      <c r="R32" s="193">
        <f>B32-M32</f>
        <v>-0.36119539857182709</v>
      </c>
      <c r="S32" s="93">
        <f>SUM(C32:L32)*$B$21*$F$21</f>
        <v>12.554910040159815</v>
      </c>
      <c r="T32" s="9">
        <f>SUM(C32:L32)*$D$21*$H$21</f>
        <v>-12.650990494793831</v>
      </c>
      <c r="U32" s="186">
        <f t="shared" si="2"/>
        <v>-9.6080454634016377E-2</v>
      </c>
      <c r="V32" s="93">
        <f>(U32+W32*L32)/B32</f>
        <v>29.73735168869328</v>
      </c>
      <c r="W32" s="9">
        <f t="shared" si="3"/>
        <v>9</v>
      </c>
    </row>
    <row r="33" spans="1:23" ht="17" thickBot="1" x14ac:dyDescent="0.25">
      <c r="A33" s="100">
        <v>10</v>
      </c>
      <c r="B33" s="94">
        <f>C33*B21</f>
        <v>0.31997005295084224</v>
      </c>
      <c r="C33" s="145">
        <f>D33*B21</f>
        <v>0.88497607856471106</v>
      </c>
      <c r="D33" s="145">
        <f>1/(1-B21*D21-D21*B21*L22)</f>
        <v>2.447674875848759</v>
      </c>
      <c r="E33" s="153">
        <f>D33*D21*L22</f>
        <v>2.441293522778845</v>
      </c>
      <c r="F33" s="111">
        <f>E33*D21*K22</f>
        <v>2.430025271569646</v>
      </c>
      <c r="G33" s="111">
        <f>F33*D21*J22</f>
        <v>2.4101276912410694</v>
      </c>
      <c r="H33" s="111">
        <f>G33*D21*I22</f>
        <v>2.3749923631780132</v>
      </c>
      <c r="I33" s="111">
        <f>H33*D21*H22</f>
        <v>2.3129500817692694</v>
      </c>
      <c r="J33" s="111">
        <f>I33*D21*G22</f>
        <v>2.2033952577615463</v>
      </c>
      <c r="K33" s="111">
        <f>J33*D21*F22</f>
        <v>2.0099423545020643</v>
      </c>
      <c r="L33" s="111">
        <f>K33*D21*E22</f>
        <v>1.6683414608993854</v>
      </c>
      <c r="M33" s="111">
        <f>L33*D21</f>
        <v>1.0651395004013897</v>
      </c>
      <c r="N33" s="10">
        <f>M33*D21</f>
        <v>0.68002994704915687</v>
      </c>
      <c r="O33">
        <f>N33+B33</f>
        <v>0.99999999999999911</v>
      </c>
      <c r="R33" s="194">
        <f>B33-N33</f>
        <v>-0.36005989409831463</v>
      </c>
      <c r="S33" s="94">
        <f>SUM(C33:M33)*$B$21*$F$21</f>
        <v>14.09672919393793</v>
      </c>
      <c r="T33" s="10">
        <f>SUM(C33:M33)*$D$21*$H$21</f>
        <v>-14.204608911552294</v>
      </c>
      <c r="U33" s="186">
        <f t="shared" si="2"/>
        <v>-0.1078797176143631</v>
      </c>
      <c r="V33" s="94">
        <f>(U33+W33*M33)/B33</f>
        <v>32.951569027053168</v>
      </c>
      <c r="W33" s="10">
        <f t="shared" si="3"/>
        <v>10</v>
      </c>
    </row>
    <row r="35" spans="1:23" x14ac:dyDescent="0.2">
      <c r="A35" s="356" t="s">
        <v>141</v>
      </c>
      <c r="B35" s="356"/>
      <c r="C35" s="356"/>
      <c r="D35" s="356"/>
      <c r="E35" s="356"/>
      <c r="F35" s="356"/>
      <c r="G35" s="356"/>
      <c r="H35" s="356"/>
      <c r="I35" s="356"/>
      <c r="J35" s="356"/>
      <c r="K35" s="356"/>
      <c r="L35" s="356"/>
      <c r="M35" s="356"/>
      <c r="N35" s="356"/>
      <c r="O35" s="356"/>
      <c r="P35" s="356"/>
      <c r="Q35" s="356"/>
      <c r="R35" s="356"/>
      <c r="S35" s="356"/>
      <c r="T35" s="356"/>
      <c r="U35" s="356"/>
      <c r="V35" s="356"/>
      <c r="W35" s="356"/>
    </row>
    <row r="36" spans="1:23" x14ac:dyDescent="0.2">
      <c r="A36" t="s">
        <v>123</v>
      </c>
      <c r="B36">
        <f>$C$2</f>
        <v>0.36155785529229473</v>
      </c>
      <c r="C36" t="s">
        <v>124</v>
      </c>
      <c r="D36">
        <f>$E$2</f>
        <v>0.63844214470770522</v>
      </c>
      <c r="E36" t="s">
        <v>47</v>
      </c>
      <c r="F36">
        <f>G2</f>
        <v>1.7523982954085515</v>
      </c>
      <c r="G36" t="s">
        <v>189</v>
      </c>
      <c r="H36">
        <f>I2</f>
        <v>-1</v>
      </c>
      <c r="I36" t="s">
        <v>48</v>
      </c>
      <c r="J36">
        <f>K2</f>
        <v>-4.8487754019161805E-3</v>
      </c>
    </row>
    <row r="37" spans="1:23" ht="17" thickBot="1" x14ac:dyDescent="0.25">
      <c r="F37">
        <f>1/(1-B36*D36)</f>
        <v>1.3001090847938426</v>
      </c>
      <c r="G37">
        <f>1/(1-F37*B36*D36)</f>
        <v>1.4287940852974832</v>
      </c>
      <c r="H37">
        <f>1/(1-G37*D36*B36)</f>
        <v>1.492122924023271</v>
      </c>
      <c r="I37">
        <f>1/(1-H37*D36*B36)</f>
        <v>1.5253956184087116</v>
      </c>
      <c r="J37">
        <f>1/(1-I37*D36*B36)</f>
        <v>1.5434786163143615</v>
      </c>
      <c r="K37">
        <f>1/(1-J37*D36*B36)</f>
        <v>1.5534873264799012</v>
      </c>
      <c r="L37">
        <f>1/(1-K37*D36*B36)</f>
        <v>1.5590830264501134</v>
      </c>
      <c r="M37">
        <f>1/(1-L37*D36*B36)</f>
        <v>1.5622290917621391</v>
      </c>
    </row>
    <row r="38" spans="1:23" ht="17" thickBot="1" x14ac:dyDescent="0.25">
      <c r="A38" s="103"/>
      <c r="B38" s="103">
        <v>3</v>
      </c>
      <c r="C38" s="154">
        <v>2</v>
      </c>
      <c r="D38" s="114">
        <v>1</v>
      </c>
      <c r="E38" s="154">
        <v>0</v>
      </c>
      <c r="F38" s="151">
        <v>-1</v>
      </c>
      <c r="G38" s="118">
        <v>-2</v>
      </c>
      <c r="H38" s="118">
        <v>-3</v>
      </c>
      <c r="I38" s="118">
        <v>-4</v>
      </c>
      <c r="J38" s="118">
        <v>-5</v>
      </c>
      <c r="K38" s="118">
        <v>-6</v>
      </c>
      <c r="L38" s="118">
        <v>-7</v>
      </c>
      <c r="M38" s="118">
        <v>-8</v>
      </c>
      <c r="N38" s="118">
        <v>-9</v>
      </c>
      <c r="O38" s="105">
        <v>-10</v>
      </c>
      <c r="P38" t="s">
        <v>136</v>
      </c>
      <c r="R38" s="188" t="s">
        <v>49</v>
      </c>
      <c r="S38" s="164" t="s">
        <v>130</v>
      </c>
      <c r="T38" s="165" t="s">
        <v>137</v>
      </c>
      <c r="U38" s="187" t="s">
        <v>48</v>
      </c>
      <c r="V38" s="175" t="s">
        <v>47</v>
      </c>
      <c r="W38" s="168" t="s">
        <v>156</v>
      </c>
    </row>
    <row r="39" spans="1:23" x14ac:dyDescent="0.2">
      <c r="A39" s="101">
        <v>1</v>
      </c>
      <c r="B39" s="101">
        <f>C39*$B$36</f>
        <v>8.779763983699089E-2</v>
      </c>
      <c r="C39" s="95">
        <f>D39*$B$36</f>
        <v>0.24283150967917019</v>
      </c>
      <c r="D39" s="171">
        <f>E39*$B$36/(1-$B$36*$D$36)</f>
        <v>0.67162559497665342</v>
      </c>
      <c r="E39" s="171">
        <f>1/(1-D36*B36*F37)</f>
        <v>1.4287940852974832</v>
      </c>
      <c r="F39" s="152">
        <f>E39*D36</f>
        <v>0.91220236016300904</v>
      </c>
      <c r="G39" s="110"/>
      <c r="H39" s="110"/>
      <c r="I39" s="110"/>
      <c r="J39" s="110"/>
      <c r="K39" s="110"/>
      <c r="L39" s="110"/>
      <c r="M39" s="110"/>
      <c r="N39" s="110"/>
      <c r="O39" s="57"/>
      <c r="P39">
        <f>F39+B39</f>
        <v>0.99999999999999989</v>
      </c>
      <c r="R39" s="192">
        <f>B39-F39</f>
        <v>-0.82440472032601819</v>
      </c>
      <c r="S39" s="109">
        <f>SUM(C39:E39)*$B$36*$H$36</f>
        <v>-0.84722087465063511</v>
      </c>
      <c r="T39" s="57">
        <f>SUM(C39:E39)*$D$36*$H$36</f>
        <v>-1.4960303153026715</v>
      </c>
      <c r="U39" s="185">
        <f>S39+T39</f>
        <v>-2.3432511899533068</v>
      </c>
      <c r="V39" s="109">
        <f>(U39+W39*D39)/B39</f>
        <v>-19.039527692091379</v>
      </c>
      <c r="W39" s="57">
        <f>COUNT(F39:O39)</f>
        <v>1</v>
      </c>
    </row>
    <row r="40" spans="1:23" x14ac:dyDescent="0.2">
      <c r="A40" s="99">
        <v>2</v>
      </c>
      <c r="B40" s="99">
        <f>C40*$B$36</f>
        <v>0.1310048710759128</v>
      </c>
      <c r="C40" s="97">
        <f>D40*$B$36</f>
        <v>0.36233446226746852</v>
      </c>
      <c r="D40" s="172">
        <f>E40*$B$36/(1-$B$36*$D$36)</f>
        <v>1.0021479466254328</v>
      </c>
      <c r="E40" s="172">
        <f>1/(1-D36*B36-B36*D36*F37)</f>
        <v>2.1319364083812351</v>
      </c>
      <c r="F40" s="144">
        <f>E40*D36</f>
        <v>1.3611180529473579</v>
      </c>
      <c r="G40" s="1">
        <f>F40*D36</f>
        <v>0.86899512892408703</v>
      </c>
      <c r="H40" s="1"/>
      <c r="I40" s="1"/>
      <c r="J40" s="1"/>
      <c r="K40" s="1"/>
      <c r="L40" s="1"/>
      <c r="M40" s="1"/>
      <c r="N40" s="1"/>
      <c r="O40" s="9"/>
      <c r="P40">
        <f>G40+B40</f>
        <v>0.99999999999999978</v>
      </c>
      <c r="R40" s="193">
        <f>B40-G40</f>
        <v>-0.73799025784817429</v>
      </c>
      <c r="S40" s="93">
        <f>SUM(C40:F40)*$B$36*$H$36</f>
        <v>-1.7562806128005293</v>
      </c>
      <c r="T40" s="9">
        <f>SUM(C40:F40)*$D$36*$H$36</f>
        <v>-3.1012562574209648</v>
      </c>
      <c r="U40" s="186">
        <f>S40+T40</f>
        <v>-4.8575368702214945</v>
      </c>
      <c r="V40" s="93">
        <f>(U40+W40*E40)/B40</f>
        <v>-4.5316181649079024</v>
      </c>
      <c r="W40" s="9">
        <f>COUNT(F40:O40)</f>
        <v>2</v>
      </c>
    </row>
    <row r="41" spans="1:23" x14ac:dyDescent="0.2">
      <c r="A41" s="99">
        <v>3</v>
      </c>
      <c r="B41" s="99">
        <f>C41*$B$36</f>
        <v>0.15370576105241443</v>
      </c>
      <c r="C41" s="97">
        <f>D41*$B$36</f>
        <v>0.42512078994426455</v>
      </c>
      <c r="D41" s="172">
        <f>E41*$B$36/(1-$B$36*$D$36)</f>
        <v>1.1758029419678451</v>
      </c>
      <c r="E41" s="172">
        <f>1/(1-2*D36*B36*F37)</f>
        <v>2.5013643040471609</v>
      </c>
      <c r="F41" s="144">
        <f>E41*D36*F37</f>
        <v>2.0762435141028961</v>
      </c>
      <c r="G41" s="1">
        <f>F41*(D36)</f>
        <v>1.3255613620793156</v>
      </c>
      <c r="H41" s="1">
        <f>G41*D36</f>
        <v>0.84629423894758526</v>
      </c>
      <c r="I41" s="1"/>
      <c r="J41" s="1"/>
      <c r="K41" s="1"/>
      <c r="L41" s="1"/>
      <c r="M41" s="1"/>
      <c r="N41" s="1"/>
      <c r="O41" s="9"/>
      <c r="P41">
        <f>H41+B41</f>
        <v>0.99999999999999967</v>
      </c>
      <c r="R41" s="193">
        <f>B41-H41</f>
        <v>-0.69258847789517086</v>
      </c>
      <c r="S41" s="93">
        <f>SUM(C41:G41)*$B$36*$H$36</f>
        <v>-2.7131637392279848</v>
      </c>
      <c r="T41" s="9">
        <f>SUM(C41:G41)*$D$36*$H$36</f>
        <v>-4.7909291729134971</v>
      </c>
      <c r="U41" s="186">
        <f t="shared" ref="U41:U48" si="4">S41+T41</f>
        <v>-7.5040929121414823</v>
      </c>
      <c r="V41" s="93">
        <f>(U41+W41*F41)/B41</f>
        <v>-8.2974272473618544</v>
      </c>
      <c r="W41" s="9">
        <f t="shared" ref="W41:W48" si="5">COUNT(F41:O41)</f>
        <v>3</v>
      </c>
    </row>
    <row r="42" spans="1:23" x14ac:dyDescent="0.2">
      <c r="A42" s="99">
        <v>4</v>
      </c>
      <c r="B42" s="99">
        <f>C42*$B$36</f>
        <v>0.16604320932594807</v>
      </c>
      <c r="C42" s="97">
        <f>D42*$B$36</f>
        <v>0.45924381643350976</v>
      </c>
      <c r="D42" s="172">
        <f>E42*$B$36/(1-$B$36*$D$36)</f>
        <v>1.2701807185526162</v>
      </c>
      <c r="E42" s="172">
        <f>1/(1-B36*D36*F37-D36*B36*G37)</f>
        <v>2.7021404656116048</v>
      </c>
      <c r="F42" s="144">
        <f>E42*D36*G37</f>
        <v>2.4648989102228782</v>
      </c>
      <c r="G42" s="1">
        <f>F42*D36*F37</f>
        <v>2.0459756169819627</v>
      </c>
      <c r="H42" s="1">
        <f>G42*D36</f>
        <v>1.3062370609256346</v>
      </c>
      <c r="I42" s="1">
        <f>H42*D36</f>
        <v>0.8339567906740516</v>
      </c>
      <c r="J42" s="1"/>
      <c r="K42" s="1"/>
      <c r="L42" s="1"/>
      <c r="M42" s="1"/>
      <c r="N42" s="1"/>
      <c r="O42" s="9"/>
      <c r="P42">
        <f>I42+B42</f>
        <v>0.99999999999999967</v>
      </c>
      <c r="R42" s="193">
        <f>B42-I42</f>
        <v>-0.66791358134810352</v>
      </c>
      <c r="S42" s="93">
        <f>SUM(C42:H42)*$B$36*$H$36</f>
        <v>-3.7054895270049211</v>
      </c>
      <c r="T42" s="9">
        <f>SUM(C42:H42)*$D$36*$H$36</f>
        <v>-6.5431870617232839</v>
      </c>
      <c r="U42" s="186">
        <f t="shared" si="4"/>
        <v>-10.248676588728205</v>
      </c>
      <c r="V42" s="93">
        <f>(U42+W42*G42)/B42</f>
        <v>-12.435161481052427</v>
      </c>
      <c r="W42" s="9">
        <f t="shared" si="5"/>
        <v>4</v>
      </c>
    </row>
    <row r="43" spans="1:23" x14ac:dyDescent="0.2">
      <c r="A43" s="99">
        <v>5</v>
      </c>
      <c r="B43" s="99">
        <f>C43*$B$36</f>
        <v>0.17287183058645028</v>
      </c>
      <c r="C43" s="97">
        <f>D43*$B$36</f>
        <v>0.47813047913644491</v>
      </c>
      <c r="D43" s="172">
        <f>E43*$B$36/(1-$B$36*$D$36)</f>
        <v>1.3224176217936385</v>
      </c>
      <c r="E43" s="172">
        <f>1/(1-B36*D36*F37-D36*B36*H37)</f>
        <v>2.8132675264968054</v>
      </c>
      <c r="F43" s="144">
        <f>E43*D36*H37</f>
        <v>2.6800147463433142</v>
      </c>
      <c r="G43" s="1">
        <f>F43*D36*G37</f>
        <v>2.4447157768860395</v>
      </c>
      <c r="H43" s="1">
        <f>G43*D36*F37</f>
        <v>2.0292227195263286</v>
      </c>
      <c r="I43" s="1">
        <f>H43*D36</f>
        <v>1.2955413051439915</v>
      </c>
      <c r="J43" s="1">
        <f>I43*D36</f>
        <v>0.8271281694135495</v>
      </c>
      <c r="K43" s="1"/>
      <c r="L43" s="1"/>
      <c r="M43" s="1"/>
      <c r="N43" s="1"/>
      <c r="O43" s="9"/>
      <c r="P43">
        <f>J43+B43</f>
        <v>0.99999999999999978</v>
      </c>
      <c r="R43" s="193">
        <f>B43-J43</f>
        <v>-0.65425633882709922</v>
      </c>
      <c r="S43" s="93">
        <f>SUM(C43:I43)*$B$36*$H$36</f>
        <v>-4.7231424100090829</v>
      </c>
      <c r="T43" s="9">
        <f>SUM(C43:I43)*$D$36*$H$36</f>
        <v>-8.3401677653174797</v>
      </c>
      <c r="U43" s="186">
        <f t="shared" si="4"/>
        <v>-13.063310175326563</v>
      </c>
      <c r="V43" s="93">
        <f>(U43+W43*H43)/B43</f>
        <v>-16.874909971153915</v>
      </c>
      <c r="W43" s="9">
        <f t="shared" si="5"/>
        <v>5</v>
      </c>
    </row>
    <row r="44" spans="1:23" x14ac:dyDescent="0.2">
      <c r="A44" s="99">
        <v>6</v>
      </c>
      <c r="B44" s="99">
        <f>C44*$B$36</f>
        <v>0.17668959682725349</v>
      </c>
      <c r="C44" s="97">
        <f>D44*$B$36</f>
        <v>0.48868969167994447</v>
      </c>
      <c r="D44" s="172">
        <f>E44*$B$36/(1-$B$36*$D$36)</f>
        <v>1.3516223877500113</v>
      </c>
      <c r="E44" s="172">
        <f>1/(1-B36*D36*F37-D36*B36*I37)</f>
        <v>2.8753967800170095</v>
      </c>
      <c r="F44" s="144">
        <f>E44*D36*I37</f>
        <v>2.8002823590388739</v>
      </c>
      <c r="G44" s="1">
        <f>F44*D36*H37</f>
        <v>2.6676446322524128</v>
      </c>
      <c r="H44" s="1">
        <f>G44*D36*G37</f>
        <v>2.4334317296168333</v>
      </c>
      <c r="I44" s="1">
        <f>H44*D36*F37</f>
        <v>2.0198564589150241</v>
      </c>
      <c r="J44" s="1">
        <f>I44*D36</f>
        <v>1.2895614896314189</v>
      </c>
      <c r="K44" s="1">
        <f>J44*D36</f>
        <v>0.82331040317274629</v>
      </c>
      <c r="L44" s="1"/>
      <c r="M44" s="1"/>
      <c r="N44" s="1"/>
      <c r="O44" s="9"/>
      <c r="P44">
        <f>K44+B44</f>
        <v>0.99999999999999978</v>
      </c>
      <c r="R44" s="193">
        <f>B44-K44</f>
        <v>-0.64662080634549279</v>
      </c>
      <c r="S44" s="93">
        <f>SUM(C44:J44)*$B$36*$H$36</f>
        <v>-5.7583459501734051</v>
      </c>
      <c r="T44" s="9">
        <f>SUM(C44:J44)*$D$36*$H$36</f>
        <v>-10.168139578728123</v>
      </c>
      <c r="U44" s="186">
        <f t="shared" si="4"/>
        <v>-15.926485528901528</v>
      </c>
      <c r="V44" s="93">
        <f>(U44+W44*I44)/B44</f>
        <v>-21.54822266719961</v>
      </c>
      <c r="W44" s="9">
        <f t="shared" si="5"/>
        <v>6</v>
      </c>
    </row>
    <row r="45" spans="1:23" x14ac:dyDescent="0.2">
      <c r="A45" s="99">
        <v>7</v>
      </c>
      <c r="B45" s="99">
        <f>C45*$B$36</f>
        <v>0.17883605607338035</v>
      </c>
      <c r="C45" s="97">
        <f>D45*$B$36</f>
        <v>0.49462638815799942</v>
      </c>
      <c r="D45" s="172">
        <f>E45*$B$36/(1-$B$36*$D$36)</f>
        <v>1.3680421567887882</v>
      </c>
      <c r="E45" s="172">
        <f>1/(1-B36*D36*F37-D36*B36*J37)</f>
        <v>2.9103276537955334</v>
      </c>
      <c r="F45" s="144">
        <f>E45*D36*J37</f>
        <v>2.8679003096930988</v>
      </c>
      <c r="G45" s="1">
        <f>F45*D36*I37</f>
        <v>2.7929817201326212</v>
      </c>
      <c r="H45" s="1">
        <f>G45*D36*H37</f>
        <v>2.6606897942420904</v>
      </c>
      <c r="I45" s="1">
        <f>H45*D36*G37</f>
        <v>2.4270875099692657</v>
      </c>
      <c r="J45" s="1">
        <f>I45*D36*F37</f>
        <v>2.0145904747183225</v>
      </c>
      <c r="K45" s="1">
        <f>J45*D36</f>
        <v>1.2861994633868798</v>
      </c>
      <c r="L45" s="1">
        <f>K45*D36</f>
        <v>0.82116394392661918</v>
      </c>
      <c r="M45" s="1"/>
      <c r="N45" s="1"/>
      <c r="O45" s="9"/>
      <c r="P45">
        <f>L45+B45</f>
        <v>0.99999999999999956</v>
      </c>
      <c r="R45" s="193">
        <f>B45-L45</f>
        <v>-0.6423278878532388</v>
      </c>
      <c r="S45" s="93">
        <f>SUM(C45:K45)*$B$36*$H$36</f>
        <v>-6.805403015809202</v>
      </c>
      <c r="T45" s="9">
        <f>SUM(C45:K45)*$D$36*$H$36</f>
        <v>-12.017042455075396</v>
      </c>
      <c r="U45" s="186">
        <f t="shared" si="4"/>
        <v>-18.822445470884599</v>
      </c>
      <c r="V45" s="93">
        <f>(U45+W45*J45)/B45</f>
        <v>-26.3946334508713</v>
      </c>
      <c r="W45" s="9">
        <f t="shared" si="5"/>
        <v>7</v>
      </c>
    </row>
    <row r="46" spans="1:23" x14ac:dyDescent="0.2">
      <c r="A46" s="99">
        <v>8</v>
      </c>
      <c r="B46" s="99">
        <f>C46*$B$36</f>
        <v>0.18004666656551041</v>
      </c>
      <c r="C46" s="97">
        <f>D46*$B$36</f>
        <v>0.49797470565244678</v>
      </c>
      <c r="D46" s="172">
        <f>E46*$B$36/(1-$B$36*$D$36)</f>
        <v>1.37730296372587</v>
      </c>
      <c r="E46" s="172">
        <f>1/(1-B36*D36*F37-D36*B36*K37)</f>
        <v>2.9300287882903322</v>
      </c>
      <c r="F46" s="144">
        <f>E46*D36*K37</f>
        <v>2.9060370694131086</v>
      </c>
      <c r="G46" s="1">
        <f>F46*D36*J37</f>
        <v>2.8636722743160261</v>
      </c>
      <c r="H46" s="1">
        <f>G46*D36*I37</f>
        <v>2.7888641343572975</v>
      </c>
      <c r="I46" s="1">
        <f>H46*D36*H37</f>
        <v>2.6567672413766887</v>
      </c>
      <c r="J46" s="1">
        <f>I46*D36*G37</f>
        <v>2.423509347987582</v>
      </c>
      <c r="K46" s="1">
        <f>J46*D36*F37</f>
        <v>2.0116204412870227</v>
      </c>
      <c r="L46" s="1">
        <f>K46*D36</f>
        <v>1.2843032688731471</v>
      </c>
      <c r="M46" s="1">
        <f>L46*D36</f>
        <v>0.81995333343448862</v>
      </c>
      <c r="N46" s="1"/>
      <c r="O46" s="9"/>
      <c r="P46">
        <f>M46+B46</f>
        <v>0.999999999999999</v>
      </c>
      <c r="R46" s="193">
        <f>B46-M46</f>
        <v>-0.63990666686897824</v>
      </c>
      <c r="S46" s="93">
        <f>SUM(C46:L46)*$B$36*$H$36</f>
        <v>-7.8602967837500701</v>
      </c>
      <c r="T46" s="9">
        <f>SUM(C46:L46)*$D$36*$H$36</f>
        <v>-13.87978345152945</v>
      </c>
      <c r="U46" s="186">
        <f t="shared" si="4"/>
        <v>-21.740080235279521</v>
      </c>
      <c r="V46" s="93">
        <f>(U46+W46*K46)/B46</f>
        <v>-31.364739001866624</v>
      </c>
      <c r="W46" s="9">
        <f t="shared" si="5"/>
        <v>8</v>
      </c>
    </row>
    <row r="47" spans="1:23" x14ac:dyDescent="0.2">
      <c r="A47" s="99">
        <v>9</v>
      </c>
      <c r="B47" s="99">
        <f>C47*$B$36</f>
        <v>0.18073066878823524</v>
      </c>
      <c r="C47" s="97">
        <f>D47*$B$36</f>
        <v>0.49986652521247782</v>
      </c>
      <c r="D47" s="172">
        <f>E47*$B$36/(1-$B$36*$D$36)</f>
        <v>1.3825353754473679</v>
      </c>
      <c r="E47" s="172">
        <f>1/(1-B36*D36*F37-D36*B36*L37)</f>
        <v>2.9411600479913229</v>
      </c>
      <c r="F47" s="144">
        <f>E47*D36*L37</f>
        <v>2.927584568452303</v>
      </c>
      <c r="G47" s="1">
        <f>F47*D36*K37</f>
        <v>2.9036128633836338</v>
      </c>
      <c r="H47" s="1">
        <f>G47*D36*J37</f>
        <v>2.8612834088514711</v>
      </c>
      <c r="I47" s="1">
        <f>H47*D36*I37</f>
        <v>2.7865376735832577</v>
      </c>
      <c r="J47" s="1">
        <f>I47*D36*H37</f>
        <v>2.6545509753719481</v>
      </c>
      <c r="K47" s="1">
        <f>J47*D36*G37</f>
        <v>2.4214876649073087</v>
      </c>
      <c r="L47" s="1">
        <f>K47*D36*F37</f>
        <v>2.0099423545020638</v>
      </c>
      <c r="M47" s="1">
        <f>L47*D36</f>
        <v>1.2832319075471523</v>
      </c>
      <c r="N47" s="1">
        <f>M47*D36</f>
        <v>0.8192693312117636</v>
      </c>
      <c r="O47" s="9"/>
      <c r="P47">
        <f>N47+B47</f>
        <v>0.99999999999999889</v>
      </c>
      <c r="R47" s="193">
        <f>B47-N47</f>
        <v>-0.6385386624235283</v>
      </c>
      <c r="S47" s="93">
        <f>SUM(C47:M47)*$B$36*$H$36</f>
        <v>-8.9202806953545668</v>
      </c>
      <c r="T47" s="9">
        <f>SUM(C47:M47)*$D$36*$H$36</f>
        <v>-15.751512669895737</v>
      </c>
      <c r="U47" s="186">
        <f t="shared" si="4"/>
        <v>-24.671793365250302</v>
      </c>
      <c r="V47" s="93">
        <f>(U47+W47*L47)/B47</f>
        <v>-36.420560045867575</v>
      </c>
      <c r="W47" s="9">
        <f t="shared" si="5"/>
        <v>9</v>
      </c>
    </row>
    <row r="48" spans="1:23" ht="17" thickBot="1" x14ac:dyDescent="0.25">
      <c r="A48" s="100">
        <v>10</v>
      </c>
      <c r="B48" s="100">
        <f>C48*$B$36</f>
        <v>0.18111752200222467</v>
      </c>
      <c r="C48" s="145">
        <f>D48*$B$36</f>
        <v>0.50093648734530627</v>
      </c>
      <c r="D48" s="173">
        <f>E48*$B$36/(1-$B$36*$D$36)</f>
        <v>1.3854946864322266</v>
      </c>
      <c r="E48" s="173">
        <f>1/(1-B36*D36*F37-D36*B36*M37)</f>
        <v>2.9474555883390208</v>
      </c>
      <c r="F48" s="153">
        <f>E48*D36*M37</f>
        <v>2.9397712529100519</v>
      </c>
      <c r="G48" s="111">
        <f>F48*D36*L37</f>
        <v>2.9262021836169563</v>
      </c>
      <c r="H48" s="111">
        <f>G48*D36*K37</f>
        <v>2.9022417978187605</v>
      </c>
      <c r="I48" s="111">
        <f>H48*D36*J37</f>
        <v>2.8599323309572067</v>
      </c>
      <c r="J48" s="111">
        <f>I48*D36*I37</f>
        <v>2.7852218900992916</v>
      </c>
      <c r="K48" s="111">
        <f>J48*D36*H37</f>
        <v>2.6532975150782465</v>
      </c>
      <c r="L48" s="111">
        <f>K48*D36*G37</f>
        <v>2.4203442554690233</v>
      </c>
      <c r="M48" s="111">
        <f>L48*D36*F37</f>
        <v>2.0089932738638048</v>
      </c>
      <c r="N48" s="111">
        <f>M48*D36</f>
        <v>1.2826259744689616</v>
      </c>
      <c r="O48" s="10">
        <f>N48*D36</f>
        <v>0.81888247799777425</v>
      </c>
      <c r="P48">
        <f>O48+B48</f>
        <v>0.99999999999999889</v>
      </c>
      <c r="R48" s="194">
        <f>B48-O48</f>
        <v>-0.63776495599554961</v>
      </c>
      <c r="S48" s="94">
        <f>SUM(C48:N48)*$B$36*$H$36</f>
        <v>-9.9835225112138897</v>
      </c>
      <c r="T48" s="10">
        <f>SUM(C48:N48)*$D$36*$H$36</f>
        <v>-17.62899472518496</v>
      </c>
      <c r="U48" s="186">
        <f t="shared" si="4"/>
        <v>-27.612517236398851</v>
      </c>
      <c r="V48" s="94">
        <f>(U48+W48*M48)/B48</f>
        <v>-41.534272413844107</v>
      </c>
      <c r="W48" s="10">
        <f t="shared" si="5"/>
        <v>10</v>
      </c>
    </row>
  </sheetData>
  <mergeCells count="3">
    <mergeCell ref="A4:W4"/>
    <mergeCell ref="A20:W20"/>
    <mergeCell ref="A35:W35"/>
  </mergeCells>
  <phoneticPr fontId="16" type="noConversion"/>
  <conditionalFormatting sqref="R24">
    <cfRule type="cellIs" dxfId="733" priority="35" operator="lessThanOrEqual">
      <formula>0</formula>
    </cfRule>
    <cfRule type="cellIs" dxfId="732" priority="36" operator="greaterThan">
      <formula>0</formula>
    </cfRule>
  </conditionalFormatting>
  <conditionalFormatting sqref="R25:R33">
    <cfRule type="cellIs" dxfId="731" priority="33" operator="lessThanOrEqual">
      <formula>0</formula>
    </cfRule>
    <cfRule type="cellIs" dxfId="730" priority="34" operator="greaterThan">
      <formula>0</formula>
    </cfRule>
  </conditionalFormatting>
  <conditionalFormatting sqref="R8:R17 U8:U17">
    <cfRule type="cellIs" dxfId="729" priority="31" operator="lessThanOrEqual">
      <formula>0</formula>
    </cfRule>
    <cfRule type="cellIs" dxfId="728" priority="32" operator="greaterThan">
      <formula>0</formula>
    </cfRule>
  </conditionalFormatting>
  <conditionalFormatting sqref="R39">
    <cfRule type="cellIs" dxfId="727" priority="21" operator="lessThanOrEqual">
      <formula>0</formula>
    </cfRule>
    <cfRule type="cellIs" dxfId="726" priority="22" operator="greaterThan">
      <formula>0</formula>
    </cfRule>
  </conditionalFormatting>
  <conditionalFormatting sqref="R40:R48">
    <cfRule type="cellIs" dxfId="725" priority="19" operator="lessThanOrEqual">
      <formula>0</formula>
    </cfRule>
    <cfRule type="cellIs" dxfId="724" priority="20" operator="greaterThan">
      <formula>0</formula>
    </cfRule>
  </conditionalFormatting>
  <conditionalFormatting sqref="S8:T17">
    <cfRule type="cellIs" dxfId="723" priority="17" operator="lessThanOrEqual">
      <formula>0</formula>
    </cfRule>
    <cfRule type="cellIs" dxfId="722" priority="18" operator="greaterThan">
      <formula>0</formula>
    </cfRule>
  </conditionalFormatting>
  <conditionalFormatting sqref="S24:T33">
    <cfRule type="cellIs" dxfId="721" priority="15" operator="lessThanOrEqual">
      <formula>0</formula>
    </cfRule>
    <cfRule type="cellIs" dxfId="720" priority="16" operator="greaterThan">
      <formula>0</formula>
    </cfRule>
  </conditionalFormatting>
  <conditionalFormatting sqref="S39:T48">
    <cfRule type="cellIs" dxfId="719" priority="13" operator="lessThanOrEqual">
      <formula>0</formula>
    </cfRule>
    <cfRule type="cellIs" dxfId="718" priority="14" operator="greaterThan">
      <formula>0</formula>
    </cfRule>
  </conditionalFormatting>
  <conditionalFormatting sqref="U24:U33">
    <cfRule type="cellIs" dxfId="717" priority="11" operator="lessThanOrEqual">
      <formula>0</formula>
    </cfRule>
    <cfRule type="cellIs" dxfId="716" priority="12" operator="greaterThan">
      <formula>0</formula>
    </cfRule>
  </conditionalFormatting>
  <conditionalFormatting sqref="U39:U48">
    <cfRule type="cellIs" dxfId="715" priority="9" operator="lessThanOrEqual">
      <formula>0</formula>
    </cfRule>
    <cfRule type="cellIs" dxfId="714" priority="10" operator="greaterThan">
      <formula>0</formula>
    </cfRule>
  </conditionalFormatting>
  <pageMargins left="0.7" right="0.7" top="0.75" bottom="0.75" header="0.3" footer="0.3"/>
  <pageSetup paperSize="9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46"/>
  <sheetViews>
    <sheetView workbookViewId="0">
      <selection activeCell="K9" sqref="K9"/>
    </sheetView>
  </sheetViews>
  <sheetFormatPr baseColWidth="10" defaultColWidth="8.83203125" defaultRowHeight="16" x14ac:dyDescent="0.2"/>
  <cols>
    <col min="3" max="4" width="9" customWidth="1"/>
    <col min="7" max="7" width="9" customWidth="1"/>
    <col min="10" max="10" width="8.83203125" customWidth="1"/>
    <col min="13" max="13" width="9" customWidth="1"/>
  </cols>
  <sheetData>
    <row r="1" spans="1:32" ht="17" thickBot="1" x14ac:dyDescent="0.25">
      <c r="A1" s="317" t="s">
        <v>66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</row>
    <row r="2" spans="1:32" ht="17" thickBot="1" x14ac:dyDescent="0.25">
      <c r="A2" s="4" t="s">
        <v>3</v>
      </c>
      <c r="B2" s="21">
        <v>1</v>
      </c>
      <c r="C2" s="19">
        <v>2</v>
      </c>
      <c r="D2" s="19">
        <v>3</v>
      </c>
      <c r="E2" s="19">
        <v>4</v>
      </c>
      <c r="F2" s="19">
        <v>5</v>
      </c>
      <c r="G2" s="19">
        <v>6</v>
      </c>
      <c r="H2" s="19">
        <v>7</v>
      </c>
      <c r="I2" s="19">
        <v>8</v>
      </c>
      <c r="J2" s="19">
        <v>9</v>
      </c>
      <c r="K2" s="19">
        <v>10</v>
      </c>
      <c r="L2" s="20">
        <v>11</v>
      </c>
    </row>
    <row r="3" spans="1:32" x14ac:dyDescent="0.2">
      <c r="A3" s="23" t="s">
        <v>0</v>
      </c>
      <c r="B3" s="22">
        <f t="shared" ref="B3:B9" si="0">L3</f>
        <v>0.16652461265724483</v>
      </c>
      <c r="C3" s="2">
        <f>C14</f>
        <v>0.35360813639536137</v>
      </c>
      <c r="D3" s="2">
        <f t="shared" ref="D3:J3" si="1">D14</f>
        <v>0.3738748853821432</v>
      </c>
      <c r="E3" s="2">
        <f t="shared" si="1"/>
        <v>0.39446844550254284</v>
      </c>
      <c r="F3" s="2">
        <f t="shared" si="1"/>
        <v>0.41640366958226238</v>
      </c>
      <c r="G3" s="2">
        <f t="shared" si="1"/>
        <v>0.42315049208499772</v>
      </c>
      <c r="H3" s="2">
        <f t="shared" si="1"/>
        <v>0.2623124083615333</v>
      </c>
      <c r="I3" s="2">
        <f t="shared" si="1"/>
        <v>0.2447412422511914</v>
      </c>
      <c r="J3" s="2">
        <f t="shared" si="1"/>
        <v>0.2284251594344453</v>
      </c>
      <c r="K3" s="2">
        <f>(SUM(M14:T14)+Rules!$B$5*U14)/(8+Rules!$B$5)</f>
        <v>0.22978483300250749</v>
      </c>
      <c r="L3" s="8">
        <f t="shared" ref="L3:L9" si="2">SUM(C24:K24)/9</f>
        <v>0.16652461265724483</v>
      </c>
    </row>
    <row r="4" spans="1:32" x14ac:dyDescent="0.2">
      <c r="A4" s="24">
        <v>17</v>
      </c>
      <c r="B4" s="22">
        <f t="shared" si="0"/>
        <v>0.18891729969077325</v>
      </c>
      <c r="C4" s="2">
        <f t="shared" ref="C4:J4" si="3">C15</f>
        <v>0.13980913952773527</v>
      </c>
      <c r="D4" s="2">
        <f t="shared" si="3"/>
        <v>0.13503398781113993</v>
      </c>
      <c r="E4" s="2">
        <f t="shared" si="3"/>
        <v>0.13048973584959825</v>
      </c>
      <c r="F4" s="2">
        <f t="shared" si="3"/>
        <v>0.12225128527055079</v>
      </c>
      <c r="G4" s="2">
        <f t="shared" si="3"/>
        <v>0.16543817650334638</v>
      </c>
      <c r="H4" s="2">
        <f t="shared" si="3"/>
        <v>0.36856619379423861</v>
      </c>
      <c r="I4" s="2">
        <f t="shared" si="3"/>
        <v>0.12856654444917001</v>
      </c>
      <c r="J4" s="2">
        <f t="shared" si="3"/>
        <v>0.119995441485892</v>
      </c>
      <c r="K4" s="2">
        <f>(SUM(M15:T15)+Rules!$B$5*U15)/(8+Rules!$B$5)</f>
        <v>0.12070970006616517</v>
      </c>
      <c r="L4" s="8">
        <f t="shared" si="2"/>
        <v>0.18891729969077325</v>
      </c>
    </row>
    <row r="5" spans="1:32" x14ac:dyDescent="0.2">
      <c r="A5" s="24">
        <v>18</v>
      </c>
      <c r="B5" s="22">
        <f t="shared" si="0"/>
        <v>0.18891729969077325</v>
      </c>
      <c r="C5" s="2">
        <f t="shared" ref="C5:J5" si="4">C16</f>
        <v>0.13490735037469442</v>
      </c>
      <c r="D5" s="2">
        <f t="shared" si="4"/>
        <v>0.13048232645474483</v>
      </c>
      <c r="E5" s="2">
        <f t="shared" si="4"/>
        <v>0.12593807449320316</v>
      </c>
      <c r="F5" s="2">
        <f t="shared" si="4"/>
        <v>0.12225128527055079</v>
      </c>
      <c r="G5" s="2">
        <f t="shared" si="4"/>
        <v>0.10626657887021028</v>
      </c>
      <c r="H5" s="2">
        <f t="shared" si="4"/>
        <v>0.13779696302500785</v>
      </c>
      <c r="I5" s="2">
        <f t="shared" si="4"/>
        <v>0.35933577521840082</v>
      </c>
      <c r="J5" s="2">
        <f t="shared" si="4"/>
        <v>0.119995441485892</v>
      </c>
      <c r="K5" s="2">
        <f>(SUM(M16:T16)+Rules!$B$5*U16)/(8+Rules!$B$5)</f>
        <v>0.12070970006616517</v>
      </c>
      <c r="L5" s="8">
        <f t="shared" si="2"/>
        <v>0.18891729969077325</v>
      </c>
    </row>
    <row r="6" spans="1:32" x14ac:dyDescent="0.2">
      <c r="A6" s="24">
        <v>19</v>
      </c>
      <c r="B6" s="22">
        <f t="shared" si="0"/>
        <v>0.18891729969077325</v>
      </c>
      <c r="C6" s="2">
        <f t="shared" ref="C6:J6" si="5">C17</f>
        <v>0.12965543342500779</v>
      </c>
      <c r="D6" s="2">
        <f t="shared" si="5"/>
        <v>0.12558053730170399</v>
      </c>
      <c r="E6" s="2">
        <f t="shared" si="5"/>
        <v>0.12138641313680808</v>
      </c>
      <c r="F6" s="2">
        <f t="shared" si="5"/>
        <v>0.11769962391415568</v>
      </c>
      <c r="G6" s="2">
        <f t="shared" si="5"/>
        <v>0.10626657887021028</v>
      </c>
      <c r="H6" s="2">
        <f t="shared" si="5"/>
        <v>7.8625365391871746E-2</v>
      </c>
      <c r="I6" s="2">
        <f t="shared" si="5"/>
        <v>0.12856654444917001</v>
      </c>
      <c r="J6" s="2">
        <f t="shared" si="5"/>
        <v>0.35076467225512281</v>
      </c>
      <c r="K6" s="2">
        <f>(SUM(M17:T17)+Rules!$B$5*U17)/(8+Rules!$B$5)</f>
        <v>0.12070970006616517</v>
      </c>
      <c r="L6" s="8">
        <f t="shared" si="2"/>
        <v>0.18891729969077325</v>
      </c>
    </row>
    <row r="7" spans="1:32" x14ac:dyDescent="0.2">
      <c r="A7" s="24">
        <v>20</v>
      </c>
      <c r="B7" s="22">
        <f t="shared" si="0"/>
        <v>0.18891729969077325</v>
      </c>
      <c r="C7" s="2">
        <f t="shared" ref="C7:J7" si="6">C18</f>
        <v>0.12402645577124111</v>
      </c>
      <c r="D7" s="2">
        <f t="shared" si="6"/>
        <v>0.12032862035201736</v>
      </c>
      <c r="E7" s="2">
        <f t="shared" si="6"/>
        <v>0.1164846239837672</v>
      </c>
      <c r="F7" s="2">
        <f t="shared" si="6"/>
        <v>0.11314796255776062</v>
      </c>
      <c r="G7" s="2">
        <f t="shared" si="6"/>
        <v>0.1017149175138152</v>
      </c>
      <c r="H7" s="2">
        <f t="shared" si="6"/>
        <v>7.8625365391871746E-2</v>
      </c>
      <c r="I7" s="2">
        <f t="shared" si="6"/>
        <v>6.9394946816033906E-2</v>
      </c>
      <c r="J7" s="2">
        <f t="shared" si="6"/>
        <v>0.119995441485892</v>
      </c>
      <c r="K7" s="2">
        <f>(SUM(M18:T18)+Rules!$B$5*U18)/(8+Rules!$B$5)</f>
        <v>0.37070970006616516</v>
      </c>
      <c r="L7" s="8">
        <f t="shared" si="2"/>
        <v>0.18891729969077325</v>
      </c>
    </row>
    <row r="8" spans="1:32" x14ac:dyDescent="0.2">
      <c r="A8" s="25">
        <v>21</v>
      </c>
      <c r="B8" s="22">
        <f t="shared" si="0"/>
        <v>7.780618857966215E-2</v>
      </c>
      <c r="C8" s="2">
        <f t="shared" ref="C8:J9" si="7">C19</f>
        <v>0.11799348450596003</v>
      </c>
      <c r="D8" s="2">
        <f t="shared" si="7"/>
        <v>0.11469964269825064</v>
      </c>
      <c r="E8" s="2">
        <f t="shared" si="7"/>
        <v>0.11123270703408054</v>
      </c>
      <c r="F8" s="2">
        <f t="shared" si="7"/>
        <v>0.10824617340471974</v>
      </c>
      <c r="G8" s="2">
        <f t="shared" si="7"/>
        <v>9.7163256157420108E-2</v>
      </c>
      <c r="H8" s="2">
        <f t="shared" si="7"/>
        <v>7.4073704035476653E-2</v>
      </c>
      <c r="I8" s="2">
        <f t="shared" si="7"/>
        <v>6.9394946816033906E-2</v>
      </c>
      <c r="J8" s="2">
        <f t="shared" si="7"/>
        <v>6.0823843852755896E-2</v>
      </c>
      <c r="K8" s="2">
        <f>(SUM(M19:T19)+Rules!$B$5*U19)/(8+Rules!$B$5)</f>
        <v>3.7376366732831838E-2</v>
      </c>
      <c r="L8" s="8">
        <f t="shared" si="2"/>
        <v>7.780618857966215E-2</v>
      </c>
    </row>
    <row r="9" spans="1:32" ht="17" thickBot="1" x14ac:dyDescent="0.25">
      <c r="A9" s="139">
        <v>22</v>
      </c>
      <c r="B9" s="22">
        <f t="shared" si="0"/>
        <v>0</v>
      </c>
      <c r="C9" s="2">
        <f t="shared" si="7"/>
        <v>0</v>
      </c>
      <c r="D9" s="2">
        <f t="shared" si="7"/>
        <v>0</v>
      </c>
      <c r="E9" s="2">
        <f t="shared" si="7"/>
        <v>0</v>
      </c>
      <c r="F9" s="2">
        <f t="shared" si="7"/>
        <v>0</v>
      </c>
      <c r="G9" s="2">
        <f t="shared" si="7"/>
        <v>0</v>
      </c>
      <c r="H9" s="2">
        <f t="shared" si="7"/>
        <v>0</v>
      </c>
      <c r="I9" s="2">
        <f t="shared" si="7"/>
        <v>0</v>
      </c>
      <c r="J9" s="2">
        <f t="shared" si="7"/>
        <v>0</v>
      </c>
      <c r="K9" s="2">
        <f>(SUM(M20:T20)+Rules!$B$5*U20)/(8+Rules!$B$5)</f>
        <v>0</v>
      </c>
      <c r="L9" s="8">
        <f t="shared" si="2"/>
        <v>0</v>
      </c>
    </row>
    <row r="10" spans="1:32" ht="17" thickBot="1" x14ac:dyDescent="0.25">
      <c r="A10" s="4" t="s">
        <v>2</v>
      </c>
      <c r="B10" s="21">
        <f>SUM(B3:B9)</f>
        <v>1</v>
      </c>
      <c r="C10" s="21">
        <f t="shared" ref="C10:L10" si="8">SUM(C3:C9)</f>
        <v>1</v>
      </c>
      <c r="D10" s="21">
        <f t="shared" si="8"/>
        <v>0.99999999999999989</v>
      </c>
      <c r="E10" s="21">
        <f t="shared" si="8"/>
        <v>1.0000000000000002</v>
      </c>
      <c r="F10" s="21">
        <f t="shared" si="8"/>
        <v>1</v>
      </c>
      <c r="G10" s="21">
        <f t="shared" si="8"/>
        <v>1</v>
      </c>
      <c r="H10" s="21">
        <f t="shared" si="8"/>
        <v>0.99999999999999989</v>
      </c>
      <c r="I10" s="21">
        <f t="shared" si="8"/>
        <v>1</v>
      </c>
      <c r="J10" s="21">
        <f t="shared" si="8"/>
        <v>1</v>
      </c>
      <c r="K10" s="21">
        <f t="shared" si="8"/>
        <v>1</v>
      </c>
      <c r="L10" s="21">
        <f t="shared" si="8"/>
        <v>1</v>
      </c>
    </row>
    <row r="12" spans="1:32" ht="17" thickBot="1" x14ac:dyDescent="0.25">
      <c r="A12" s="317" t="s">
        <v>67</v>
      </c>
      <c r="B12" s="317"/>
      <c r="C12" s="317"/>
      <c r="D12" s="317"/>
      <c r="E12" s="317"/>
      <c r="F12" s="317"/>
      <c r="G12" s="317"/>
      <c r="H12" s="317"/>
      <c r="I12" s="317"/>
      <c r="J12" s="317"/>
      <c r="K12" s="317"/>
      <c r="L12" s="317"/>
    </row>
    <row r="13" spans="1:32" ht="17" thickBot="1" x14ac:dyDescent="0.25">
      <c r="A13" s="4" t="s">
        <v>3</v>
      </c>
      <c r="B13" s="21">
        <v>1</v>
      </c>
      <c r="C13" s="19">
        <v>2</v>
      </c>
      <c r="D13" s="19">
        <v>3</v>
      </c>
      <c r="E13" s="19">
        <v>4</v>
      </c>
      <c r="F13" s="19">
        <v>5</v>
      </c>
      <c r="G13" s="19">
        <v>6</v>
      </c>
      <c r="H13" s="19">
        <v>7</v>
      </c>
      <c r="I13" s="19">
        <v>8</v>
      </c>
      <c r="J13" s="19">
        <v>9</v>
      </c>
      <c r="K13" s="19">
        <v>10</v>
      </c>
      <c r="L13" s="19">
        <v>11</v>
      </c>
      <c r="M13" s="19">
        <v>12</v>
      </c>
      <c r="N13" s="19">
        <v>13</v>
      </c>
      <c r="O13" s="19">
        <v>14</v>
      </c>
      <c r="P13" s="19">
        <v>15</v>
      </c>
      <c r="Q13" s="19">
        <v>16</v>
      </c>
      <c r="R13" s="19">
        <v>17</v>
      </c>
      <c r="S13" s="19">
        <v>18</v>
      </c>
      <c r="T13" s="19">
        <v>19</v>
      </c>
      <c r="U13" s="19">
        <v>20</v>
      </c>
      <c r="V13" s="19">
        <v>21</v>
      </c>
      <c r="W13" s="19">
        <v>22</v>
      </c>
      <c r="X13" s="19">
        <v>23</v>
      </c>
      <c r="Y13" s="19">
        <v>24</v>
      </c>
      <c r="Z13" s="19">
        <v>25</v>
      </c>
      <c r="AA13" s="19">
        <v>26</v>
      </c>
      <c r="AB13" s="19">
        <v>27</v>
      </c>
      <c r="AC13" s="19">
        <v>28</v>
      </c>
      <c r="AD13" s="19">
        <v>29</v>
      </c>
      <c r="AE13" s="19">
        <v>30</v>
      </c>
      <c r="AF13" s="20">
        <v>31</v>
      </c>
    </row>
    <row r="14" spans="1:32" x14ac:dyDescent="0.2">
      <c r="A14" s="23" t="s">
        <v>0</v>
      </c>
      <c r="B14" s="22">
        <f>L14</f>
        <v>0.2121090766176992</v>
      </c>
      <c r="C14" s="2">
        <f>(SUM(E14:L14)+Rules!$B$5*M14+D24)/(9+Rules!$B$5)</f>
        <v>0.35360813639536137</v>
      </c>
      <c r="D14" s="2">
        <f>(SUM(F14:M14)+Rules!$B$5*N14+E24)/(9+Rules!$B$5)</f>
        <v>0.3738748853821432</v>
      </c>
      <c r="E14" s="2">
        <f>(SUM(G14:N14)+Rules!$B$5*O14+F24)/(9+Rules!$B$5)</f>
        <v>0.39446844550254284</v>
      </c>
      <c r="F14" s="2">
        <f>(SUM(H14:O14)+Rules!$B$5*P14+G24)/(9+Rules!$B$5)</f>
        <v>0.41640366958226238</v>
      </c>
      <c r="G14" s="2">
        <f>(SUM(I14:P14)+Rules!$B$5*Q14+H24)/(9+Rules!$B$5)</f>
        <v>0.42315049208499772</v>
      </c>
      <c r="H14" s="2">
        <f>(SUM(J14:Q14)+Rules!$B$5*R14+I24)/(9+Rules!$B$5)</f>
        <v>0.2623124083615333</v>
      </c>
      <c r="I14" s="2">
        <f>(SUM(K14:R14)+Rules!$B$5*S14+J24)/(9+Rules!$B$5)</f>
        <v>0.2447412422511914</v>
      </c>
      <c r="J14" s="2">
        <f>(SUM(L14:S14)+Rules!$B$5*T14+K24)/(9+Rules!$B$5)</f>
        <v>0.2284251594344453</v>
      </c>
      <c r="K14" s="2">
        <f>(SUM(M14:T14)+Rules!$B$5*U14+L24)/(9+Rules!$B$5)</f>
        <v>0.2121090766176992</v>
      </c>
      <c r="L14" s="2">
        <f>(SUM(M14:U14)+Rules!$B$5*V14)/(9+Rules!$B$5)</f>
        <v>0.2121090766176992</v>
      </c>
      <c r="M14" s="2">
        <f>(SUM(N14:V14)+Rules!$B$5*W14)/(9+Rules!$B$5)</f>
        <v>0.48267271400214923</v>
      </c>
      <c r="N14" s="2">
        <f>(SUM(O14:W14)+Rules!$B$5*X14)/(9+Rules!$B$5)</f>
        <v>0.51962466300199572</v>
      </c>
      <c r="O14" s="2">
        <f>(SUM(P14:X14)+Rules!$B$5*Y14)/(9+Rules!$B$5)</f>
        <v>0.55393718707328177</v>
      </c>
      <c r="P14" s="2">
        <f>(SUM(Q14:Y14)+Rules!$B$5*Z14)/(9+Rules!$B$5)</f>
        <v>0.58579881656804733</v>
      </c>
      <c r="Q14" s="2">
        <f>(SUM(R14:Z14)+Rules!$B$5*AA14)/(9+Rules!$B$5)</f>
        <v>0.61538461538461542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f>IF(Rules!$B$14=Rules!$E$14,1,0)</f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8">
        <v>1</v>
      </c>
    </row>
    <row r="15" spans="1:32" x14ac:dyDescent="0.2">
      <c r="A15" s="24">
        <v>17</v>
      </c>
      <c r="B15" s="22">
        <f t="shared" ref="B15:B20" si="9">L15</f>
        <v>0.11142433852261401</v>
      </c>
      <c r="C15" s="2">
        <f>(SUM(E15:L15)+Rules!$B$5*M15+D25)/(9+Rules!$B$5)</f>
        <v>0.13980913952773527</v>
      </c>
      <c r="D15" s="2">
        <f>(SUM(F15:M15)+Rules!$B$5*N15+E25)/(9+Rules!$B$5)</f>
        <v>0.13503398781113993</v>
      </c>
      <c r="E15" s="2">
        <f>(SUM(G15:N15)+Rules!$B$5*O15+F25)/(9+Rules!$B$5)</f>
        <v>0.13048973584959825</v>
      </c>
      <c r="F15" s="2">
        <f>(SUM(H15:O15)+Rules!$B$5*P15+G25)/(9+Rules!$B$5)</f>
        <v>0.12225128527055079</v>
      </c>
      <c r="G15" s="2">
        <f>(SUM(I15:P15)+Rules!$B$5*Q15+H25)/(9+Rules!$B$5)</f>
        <v>0.16543817650334638</v>
      </c>
      <c r="H15" s="2">
        <f>(SUM(J15:Q15)+Rules!$B$5*R15+I25)/(9+Rules!$B$5)</f>
        <v>0.36856619379423861</v>
      </c>
      <c r="I15" s="2">
        <f>(SUM(K15:R15)+Rules!$B$5*S15+J25)/(9+Rules!$B$5)</f>
        <v>0.12856654444917001</v>
      </c>
      <c r="J15" s="2">
        <f>(SUM(L15:S15)+Rules!$B$5*T15+K25)/(9+Rules!$B$5)</f>
        <v>0.119995441485892</v>
      </c>
      <c r="K15" s="2">
        <f>(SUM(M15:T15)+Rules!$B$5*U15+L25)/(9+Rules!$B$5)</f>
        <v>0.11142433852261401</v>
      </c>
      <c r="L15" s="2">
        <f>(SUM(M15:U15)+Rules!$B$5*V15)/(9+Rules!$B$5)</f>
        <v>0.11142433852261401</v>
      </c>
      <c r="M15" s="2">
        <f>(SUM(N15:V15)+Rules!$B$5*W15)/(9+Rules!$B$5)</f>
        <v>0.10346545719957015</v>
      </c>
      <c r="N15" s="2">
        <f>(SUM(O15:W15)+Rules!$B$5*X15)/(9+Rules!$B$5)</f>
        <v>9.6075067399600853E-2</v>
      </c>
      <c r="O15" s="2">
        <f>(SUM(P15:X15)+Rules!$B$5*Y15)/(9+Rules!$B$5)</f>
        <v>8.9212562585343644E-2</v>
      </c>
      <c r="P15" s="2">
        <f>(SUM(Q15:Y15)+Rules!$B$5*Z15)/(9+Rules!$B$5)</f>
        <v>8.2840236686390525E-2</v>
      </c>
      <c r="Q15" s="2">
        <f>(SUM(R15:Z15)+Rules!$B$5*AA15)/(9+Rules!$B$5)</f>
        <v>7.6923076923076927E-2</v>
      </c>
      <c r="R15" s="1">
        <v>1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9">
        <v>0</v>
      </c>
    </row>
    <row r="16" spans="1:32" x14ac:dyDescent="0.2">
      <c r="A16" s="24">
        <v>18</v>
      </c>
      <c r="B16" s="22">
        <f t="shared" si="9"/>
        <v>0.11142433852261401</v>
      </c>
      <c r="C16" s="2">
        <f>(SUM(E16:L16)+Rules!$B$5*M16+D26)/(9+Rules!$B$5)</f>
        <v>0.13490735037469442</v>
      </c>
      <c r="D16" s="2">
        <f>(SUM(F16:M16)+Rules!$B$5*N16+E26)/(9+Rules!$B$5)</f>
        <v>0.13048232645474483</v>
      </c>
      <c r="E16" s="2">
        <f>(SUM(G16:N16)+Rules!$B$5*O16+F26)/(9+Rules!$B$5)</f>
        <v>0.12593807449320316</v>
      </c>
      <c r="F16" s="2">
        <f>(SUM(H16:O16)+Rules!$B$5*P16+G26)/(9+Rules!$B$5)</f>
        <v>0.12225128527055079</v>
      </c>
      <c r="G16" s="2">
        <f>(SUM(I16:P16)+Rules!$B$5*Q16+H26)/(9+Rules!$B$5)</f>
        <v>0.10626657887021028</v>
      </c>
      <c r="H16" s="2">
        <f>(SUM(J16:Q16)+Rules!$B$5*R16+I26)/(9+Rules!$B$5)</f>
        <v>0.13779696302500785</v>
      </c>
      <c r="I16" s="2">
        <f>(SUM(K16:R16)+Rules!$B$5*S16+J26)/(9+Rules!$B$5)</f>
        <v>0.35933577521840082</v>
      </c>
      <c r="J16" s="2">
        <f>(SUM(L16:S16)+Rules!$B$5*T16+K26)/(9+Rules!$B$5)</f>
        <v>0.119995441485892</v>
      </c>
      <c r="K16" s="2">
        <f>(SUM(M16:T16)+Rules!$B$5*U16+L26)/(9+Rules!$B$5)</f>
        <v>0.11142433852261401</v>
      </c>
      <c r="L16" s="2">
        <f>(SUM(M16:U16)+Rules!$B$5*V16)/(9+Rules!$B$5)</f>
        <v>0.11142433852261401</v>
      </c>
      <c r="M16" s="2">
        <f>(SUM(N16:V16)+Rules!$B$5*W16)/(9+Rules!$B$5)</f>
        <v>0.10346545719957015</v>
      </c>
      <c r="N16" s="2">
        <f>(SUM(O16:W16)+Rules!$B$5*X16)/(9+Rules!$B$5)</f>
        <v>9.6075067399600853E-2</v>
      </c>
      <c r="O16" s="2">
        <f>(SUM(P16:X16)+Rules!$B$5*Y16)/(9+Rules!$B$5)</f>
        <v>8.9212562585343644E-2</v>
      </c>
      <c r="P16" s="2">
        <f>(SUM(Q16:Y16)+Rules!$B$5*Z16)/(9+Rules!$B$5)</f>
        <v>8.2840236686390525E-2</v>
      </c>
      <c r="Q16" s="2">
        <f>(SUM(R16:Z16)+Rules!$B$5*AA16)/(9+Rules!$B$5)</f>
        <v>7.6923076923076927E-2</v>
      </c>
      <c r="R16" s="1">
        <v>0</v>
      </c>
      <c r="S16" s="1">
        <v>1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9">
        <v>0</v>
      </c>
    </row>
    <row r="17" spans="1:32" x14ac:dyDescent="0.2">
      <c r="A17" s="24">
        <v>19</v>
      </c>
      <c r="B17" s="22">
        <f t="shared" si="9"/>
        <v>0.11142433852261401</v>
      </c>
      <c r="C17" s="2">
        <f>(SUM(E17:L17)+Rules!$B$5*M17+D27)/(9+Rules!$B$5)</f>
        <v>0.12965543342500779</v>
      </c>
      <c r="D17" s="2">
        <f>(SUM(F17:M17)+Rules!$B$5*N17+E27)/(9+Rules!$B$5)</f>
        <v>0.12558053730170399</v>
      </c>
      <c r="E17" s="2">
        <f>(SUM(G17:N17)+Rules!$B$5*O17+F27)/(9+Rules!$B$5)</f>
        <v>0.12138641313680808</v>
      </c>
      <c r="F17" s="2">
        <f>(SUM(H17:O17)+Rules!$B$5*P17+G27)/(9+Rules!$B$5)</f>
        <v>0.11769962391415568</v>
      </c>
      <c r="G17" s="2">
        <f>(SUM(I17:P17)+Rules!$B$5*Q17+H27)/(9+Rules!$B$5)</f>
        <v>0.10626657887021028</v>
      </c>
      <c r="H17" s="2">
        <f>(SUM(J17:Q17)+Rules!$B$5*R17+I27)/(9+Rules!$B$5)</f>
        <v>7.8625365391871746E-2</v>
      </c>
      <c r="I17" s="2">
        <f>(SUM(K17:R17)+Rules!$B$5*S17+J27)/(9+Rules!$B$5)</f>
        <v>0.12856654444917001</v>
      </c>
      <c r="J17" s="2">
        <f>(SUM(L17:S17)+Rules!$B$5*T17+K27)/(9+Rules!$B$5)</f>
        <v>0.35076467225512281</v>
      </c>
      <c r="K17" s="2">
        <f>(SUM(M17:T17)+Rules!$B$5*U17+L27)/(9+Rules!$B$5)</f>
        <v>0.11142433852261401</v>
      </c>
      <c r="L17" s="2">
        <f>(SUM(M17:U17)+Rules!$B$5*V17)/(9+Rules!$B$5)</f>
        <v>0.11142433852261401</v>
      </c>
      <c r="M17" s="2">
        <f>(SUM(N17:V17)+Rules!$B$5*W17)/(9+Rules!$B$5)</f>
        <v>0.10346545719957015</v>
      </c>
      <c r="N17" s="2">
        <f>(SUM(O17:W17)+Rules!$B$5*X17)/(9+Rules!$B$5)</f>
        <v>9.6075067399600853E-2</v>
      </c>
      <c r="O17" s="2">
        <f>(SUM(P17:X17)+Rules!$B$5*Y17)/(9+Rules!$B$5)</f>
        <v>8.9212562585343644E-2</v>
      </c>
      <c r="P17" s="2">
        <f>(SUM(Q17:Y17)+Rules!$B$5*Z17)/(9+Rules!$B$5)</f>
        <v>8.2840236686390525E-2</v>
      </c>
      <c r="Q17" s="2">
        <f>(SUM(R17:Z17)+Rules!$B$5*AA17)/(9+Rules!$B$5)</f>
        <v>7.6923076923076927E-2</v>
      </c>
      <c r="R17" s="1">
        <v>0</v>
      </c>
      <c r="S17" s="1">
        <v>0</v>
      </c>
      <c r="T17" s="1">
        <v>1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9">
        <v>0</v>
      </c>
    </row>
    <row r="18" spans="1:32" x14ac:dyDescent="0.2">
      <c r="A18" s="24">
        <v>20</v>
      </c>
      <c r="B18" s="22">
        <f t="shared" si="9"/>
        <v>0.11142433852261401</v>
      </c>
      <c r="C18" s="2">
        <f>(SUM(E18:L18)+Rules!$B$5*M18+D28)/(9+Rules!$B$5)</f>
        <v>0.12402645577124111</v>
      </c>
      <c r="D18" s="2">
        <f>(SUM(F18:M18)+Rules!$B$5*N18+E28)/(9+Rules!$B$5)</f>
        <v>0.12032862035201736</v>
      </c>
      <c r="E18" s="2">
        <f>(SUM(G18:N18)+Rules!$B$5*O18+F28)/(9+Rules!$B$5)</f>
        <v>0.1164846239837672</v>
      </c>
      <c r="F18" s="2">
        <f>(SUM(H18:O18)+Rules!$B$5*P18+G28)/(9+Rules!$B$5)</f>
        <v>0.11314796255776062</v>
      </c>
      <c r="G18" s="2">
        <f>(SUM(I18:P18)+Rules!$B$5*Q18+H28)/(9+Rules!$B$5)</f>
        <v>0.1017149175138152</v>
      </c>
      <c r="H18" s="2">
        <f>(SUM(J18:Q18)+Rules!$B$5*R18+I28)/(9+Rules!$B$5)</f>
        <v>7.8625365391871746E-2</v>
      </c>
      <c r="I18" s="2">
        <f>(SUM(K18:R18)+Rules!$B$5*S18+J28)/(9+Rules!$B$5)</f>
        <v>6.9394946816033906E-2</v>
      </c>
      <c r="J18" s="2">
        <f>(SUM(L18:S18)+Rules!$B$5*T18+K28)/(9+Rules!$B$5)</f>
        <v>0.119995441485892</v>
      </c>
      <c r="K18" s="2">
        <f>(SUM(M18:T18)+Rules!$B$5*U18+L28)/(9+Rules!$B$5)</f>
        <v>0.34219356929184475</v>
      </c>
      <c r="L18" s="2">
        <f>(SUM(M18:U18)+Rules!$B$5*V18)/(9+Rules!$B$5)</f>
        <v>0.11142433852261401</v>
      </c>
      <c r="M18" s="2">
        <f>(SUM(N18:V18)+Rules!$B$5*W18)/(9+Rules!$B$5)</f>
        <v>0.10346545719957015</v>
      </c>
      <c r="N18" s="2">
        <f>(SUM(O18:W18)+Rules!$B$5*X18)/(9+Rules!$B$5)</f>
        <v>9.6075067399600853E-2</v>
      </c>
      <c r="O18" s="2">
        <f>(SUM(P18:X18)+Rules!$B$5*Y18)/(9+Rules!$B$5)</f>
        <v>8.9212562585343644E-2</v>
      </c>
      <c r="P18" s="2">
        <f>(SUM(Q18:Y18)+Rules!$B$5*Z18)/(9+Rules!$B$5)</f>
        <v>8.2840236686390525E-2</v>
      </c>
      <c r="Q18" s="2">
        <f>(SUM(R18:Z18)+Rules!$B$5*AA18)/(9+Rules!$B$5)</f>
        <v>7.6923076923076927E-2</v>
      </c>
      <c r="R18" s="1">
        <v>0</v>
      </c>
      <c r="S18" s="1">
        <v>0</v>
      </c>
      <c r="T18" s="1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9">
        <v>0</v>
      </c>
    </row>
    <row r="19" spans="1:32" x14ac:dyDescent="0.2">
      <c r="A19" s="25">
        <v>21</v>
      </c>
      <c r="B19" s="22">
        <f t="shared" si="9"/>
        <v>0.34219356929184475</v>
      </c>
      <c r="C19" s="2">
        <f>(SUM(E19:L19)+Rules!$B$5*M19+D29)/(9+Rules!$B$5)</f>
        <v>0.11799348450596003</v>
      </c>
      <c r="D19" s="2">
        <f>(SUM(F19:M19)+Rules!$B$5*N19+E29)/(9+Rules!$B$5)</f>
        <v>0.11469964269825064</v>
      </c>
      <c r="E19" s="2">
        <f>(SUM(G19:N19)+Rules!$B$5*O19+F29)/(9+Rules!$B$5)</f>
        <v>0.11123270703408054</v>
      </c>
      <c r="F19" s="2">
        <f>(SUM(H19:O19)+Rules!$B$5*P19+G29)/(9+Rules!$B$5)</f>
        <v>0.10824617340471974</v>
      </c>
      <c r="G19" s="2">
        <f>(SUM(I19:P19)+Rules!$B$5*Q19+H29)/(9+Rules!$B$5)</f>
        <v>9.7163256157420108E-2</v>
      </c>
      <c r="H19" s="2">
        <f>(SUM(J19:Q19)+Rules!$B$5*R19+I29)/(9+Rules!$B$5)</f>
        <v>7.4073704035476653E-2</v>
      </c>
      <c r="I19" s="2">
        <f>(SUM(K19:R19)+Rules!$B$5*S19+J29)/(9+Rules!$B$5)</f>
        <v>6.9394946816033906E-2</v>
      </c>
      <c r="J19" s="2">
        <f>(SUM(L19:S19)+Rules!$B$5*T19+K29)/(9+Rules!$B$5)</f>
        <v>6.0823843852755896E-2</v>
      </c>
      <c r="K19" s="2">
        <f>(SUM(M19:T19)+Rules!$B$5*U19+L29)/(9+Rules!$B$5)</f>
        <v>0.11142433852261401</v>
      </c>
      <c r="L19" s="2">
        <f>(SUM(M19:U19)+Rules!$B$5*V19)/(9+Rules!$B$5)</f>
        <v>0.34219356929184475</v>
      </c>
      <c r="M19" s="2">
        <f>(SUM(N19:V19)+Rules!$B$5*W19)/(9+Rules!$B$5)</f>
        <v>0.10346545719957015</v>
      </c>
      <c r="N19" s="2">
        <f>(SUM(O19:W19)+Rules!$B$5*X19)/(9+Rules!$B$5)</f>
        <v>9.6075067399600853E-2</v>
      </c>
      <c r="O19" s="2">
        <f>(SUM(P19:X19)+Rules!$B$5*Y19)/(9+Rules!$B$5)</f>
        <v>8.9212562585343644E-2</v>
      </c>
      <c r="P19" s="2">
        <f>(SUM(Q19:Y19)+Rules!$B$5*Z19)/(9+Rules!$B$5)</f>
        <v>8.2840236686390525E-2</v>
      </c>
      <c r="Q19" s="2">
        <f>(SUM(R19:Z19)+Rules!$B$5*AA19)/(9+Rules!$B$5)</f>
        <v>7.6923076923076927E-2</v>
      </c>
      <c r="R19" s="26">
        <v>0</v>
      </c>
      <c r="S19" s="26">
        <v>0</v>
      </c>
      <c r="T19" s="26">
        <v>0</v>
      </c>
      <c r="U19" s="26">
        <v>0</v>
      </c>
      <c r="V19" s="26">
        <v>1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  <c r="AE19" s="26">
        <v>0</v>
      </c>
      <c r="AF19" s="27">
        <v>0</v>
      </c>
    </row>
    <row r="20" spans="1:32" ht="17" thickBot="1" x14ac:dyDescent="0.25">
      <c r="A20" s="139">
        <v>22</v>
      </c>
      <c r="B20" s="22">
        <f t="shared" si="9"/>
        <v>0</v>
      </c>
      <c r="C20" s="2">
        <f>(SUM(E20:L20)+Rules!$B$5*M20+D30)/(9+Rules!$B$5)</f>
        <v>0</v>
      </c>
      <c r="D20" s="2">
        <f>(SUM(F20:M20)+Rules!$B$5*N20+E30)/(9+Rules!$B$5)</f>
        <v>0</v>
      </c>
      <c r="E20" s="2">
        <f>(SUM(G20:N20)+Rules!$B$5*O20+F30)/(9+Rules!$B$5)</f>
        <v>0</v>
      </c>
      <c r="F20" s="2">
        <f>(SUM(H20:O20)+Rules!$B$5*P20+G30)/(9+Rules!$B$5)</f>
        <v>0</v>
      </c>
      <c r="G20" s="2">
        <f>(SUM(I20:P20)+Rules!$B$5*Q20+H30)/(9+Rules!$B$5)</f>
        <v>0</v>
      </c>
      <c r="H20" s="2">
        <f>(SUM(J20:Q20)+Rules!$B$5*R20+I30)/(9+Rules!$B$5)</f>
        <v>0</v>
      </c>
      <c r="I20" s="2">
        <f>(SUM(K20:R20)+Rules!$B$5*S20+J30)/(9+Rules!$B$5)</f>
        <v>0</v>
      </c>
      <c r="J20" s="2">
        <f>(SUM(L20:S20)+Rules!$B$5*T20+K30)/(9+Rules!$B$5)</f>
        <v>0</v>
      </c>
      <c r="K20" s="2">
        <f>(SUM(M20:T20)+Rules!$B$5*U20+L30)/(9+Rules!$B$5)</f>
        <v>0</v>
      </c>
      <c r="L20" s="2">
        <f>(SUM(M20:U20)+Rules!$B$5*V20)/(9+Rules!$B$5)</f>
        <v>0</v>
      </c>
      <c r="M20" s="2">
        <f>(SUM(N20:V20)+Rules!$B$5*W20)/(9+Rules!$B$5)</f>
        <v>0</v>
      </c>
      <c r="N20" s="2">
        <f>(SUM(O20:W20)+Rules!$B$5*X20)/(9+Rules!$B$5)</f>
        <v>0</v>
      </c>
      <c r="O20" s="2">
        <f>(SUM(P20:X20)+Rules!$B$5*Y20)/(9+Rules!$B$5)</f>
        <v>0</v>
      </c>
      <c r="P20" s="2">
        <f>(SUM(Q20:Y20)+Rules!$B$5*Z20)/(9+Rules!$B$5)</f>
        <v>0</v>
      </c>
      <c r="Q20" s="2">
        <f>(SUM(R20:Z20)+Rules!$B$5*AA20)/(9+Rules!$B$5)</f>
        <v>0</v>
      </c>
      <c r="R20" s="120">
        <v>0</v>
      </c>
      <c r="S20" s="120">
        <v>0</v>
      </c>
      <c r="T20" s="120">
        <v>0</v>
      </c>
      <c r="U20" s="120">
        <v>0</v>
      </c>
      <c r="V20" s="120">
        <v>0</v>
      </c>
      <c r="W20" s="120">
        <f>IF(Rules!$B$14=Rules!$E$14,0,1)</f>
        <v>0</v>
      </c>
      <c r="X20" s="120">
        <v>0</v>
      </c>
      <c r="Y20" s="120">
        <v>0</v>
      </c>
      <c r="Z20" s="120">
        <v>0</v>
      </c>
      <c r="AA20" s="120">
        <v>0</v>
      </c>
      <c r="AB20" s="120">
        <v>0</v>
      </c>
      <c r="AC20" s="120">
        <v>0</v>
      </c>
      <c r="AD20" s="120">
        <v>0</v>
      </c>
      <c r="AE20" s="120">
        <v>0</v>
      </c>
      <c r="AF20" s="102">
        <v>0</v>
      </c>
    </row>
    <row r="21" spans="1:32" ht="17" thickBot="1" x14ac:dyDescent="0.25">
      <c r="A21" s="4" t="s">
        <v>2</v>
      </c>
      <c r="B21" s="21">
        <f>SUM(B14:B20)</f>
        <v>1</v>
      </c>
      <c r="C21" s="21">
        <f t="shared" ref="C21:Q21" si="10">SUM(C14:C20)</f>
        <v>1</v>
      </c>
      <c r="D21" s="21">
        <f t="shared" si="10"/>
        <v>0.99999999999999989</v>
      </c>
      <c r="E21" s="21">
        <f t="shared" si="10"/>
        <v>1.0000000000000002</v>
      </c>
      <c r="F21" s="21">
        <f t="shared" si="10"/>
        <v>1</v>
      </c>
      <c r="G21" s="21">
        <f t="shared" si="10"/>
        <v>1</v>
      </c>
      <c r="H21" s="21">
        <f t="shared" si="10"/>
        <v>0.99999999999999989</v>
      </c>
      <c r="I21" s="21">
        <f t="shared" si="10"/>
        <v>1</v>
      </c>
      <c r="J21" s="21">
        <f t="shared" si="10"/>
        <v>1</v>
      </c>
      <c r="K21" s="21">
        <f t="shared" si="10"/>
        <v>1</v>
      </c>
      <c r="L21" s="21">
        <f t="shared" si="10"/>
        <v>1</v>
      </c>
      <c r="M21" s="21">
        <f t="shared" si="10"/>
        <v>0.99999999999999989</v>
      </c>
      <c r="N21" s="21">
        <f t="shared" si="10"/>
        <v>0.99999999999999978</v>
      </c>
      <c r="O21" s="21">
        <f t="shared" si="10"/>
        <v>0.99999999999999978</v>
      </c>
      <c r="P21" s="21">
        <f t="shared" si="10"/>
        <v>0.99999999999999989</v>
      </c>
      <c r="Q21" s="21">
        <f t="shared" si="10"/>
        <v>0.99999999999999978</v>
      </c>
      <c r="R21" s="19">
        <f t="shared" ref="R21:AF21" si="11">SUM(R14:R19)</f>
        <v>1</v>
      </c>
      <c r="S21" s="19">
        <f t="shared" si="11"/>
        <v>1</v>
      </c>
      <c r="T21" s="19">
        <f t="shared" si="11"/>
        <v>1</v>
      </c>
      <c r="U21" s="19">
        <f t="shared" si="11"/>
        <v>1</v>
      </c>
      <c r="V21" s="19">
        <f t="shared" si="11"/>
        <v>1</v>
      </c>
      <c r="W21" s="19">
        <f t="shared" si="11"/>
        <v>1</v>
      </c>
      <c r="X21" s="19">
        <f t="shared" si="11"/>
        <v>1</v>
      </c>
      <c r="Y21" s="19">
        <f t="shared" si="11"/>
        <v>1</v>
      </c>
      <c r="Z21" s="19">
        <f t="shared" si="11"/>
        <v>1</v>
      </c>
      <c r="AA21" s="19">
        <f t="shared" si="11"/>
        <v>1</v>
      </c>
      <c r="AB21" s="19">
        <f t="shared" si="11"/>
        <v>1</v>
      </c>
      <c r="AC21" s="19">
        <f t="shared" si="11"/>
        <v>1</v>
      </c>
      <c r="AD21" s="19">
        <f t="shared" si="11"/>
        <v>1</v>
      </c>
      <c r="AE21" s="19">
        <f t="shared" si="11"/>
        <v>1</v>
      </c>
      <c r="AF21" s="20">
        <f t="shared" si="11"/>
        <v>1</v>
      </c>
    </row>
    <row r="22" spans="1:32" ht="17" thickBot="1" x14ac:dyDescent="0.25"/>
    <row r="23" spans="1:32" ht="17" thickBot="1" x14ac:dyDescent="0.25">
      <c r="A23" s="141" t="s">
        <v>4</v>
      </c>
      <c r="B23" s="117">
        <v>11</v>
      </c>
      <c r="C23" s="118">
        <v>12</v>
      </c>
      <c r="D23" s="118">
        <v>13</v>
      </c>
      <c r="E23" s="118">
        <v>14</v>
      </c>
      <c r="F23" s="118">
        <v>15</v>
      </c>
      <c r="G23" s="118">
        <v>16</v>
      </c>
      <c r="H23" s="118">
        <v>17</v>
      </c>
      <c r="I23" s="118">
        <v>18</v>
      </c>
      <c r="J23" s="118">
        <v>19</v>
      </c>
      <c r="K23" s="118">
        <v>20</v>
      </c>
      <c r="L23" s="118">
        <v>21</v>
      </c>
      <c r="M23" s="118">
        <v>22</v>
      </c>
      <c r="N23" s="118">
        <v>23</v>
      </c>
      <c r="O23" s="118">
        <v>24</v>
      </c>
      <c r="P23" s="118">
        <v>25</v>
      </c>
      <c r="Q23" s="118">
        <v>26</v>
      </c>
      <c r="R23" s="118">
        <v>27</v>
      </c>
      <c r="S23" s="118">
        <v>28</v>
      </c>
      <c r="T23" s="118">
        <v>29</v>
      </c>
      <c r="U23" s="118">
        <v>30</v>
      </c>
      <c r="V23" s="118">
        <v>31</v>
      </c>
      <c r="W23" s="105">
        <v>32</v>
      </c>
    </row>
    <row r="24" spans="1:32" x14ac:dyDescent="0.2">
      <c r="A24" s="141" t="s">
        <v>0</v>
      </c>
      <c r="B24" s="109">
        <f t="shared" ref="B24:B30" si="12">L14</f>
        <v>0.2121090766176992</v>
      </c>
      <c r="C24" s="110">
        <f>(SUM(D24:L24)+Rules!$B$5*M24)/(9+Rules!$B$5)</f>
        <v>0.24495802642312861</v>
      </c>
      <c r="D24" s="110">
        <f>(SUM(E24:M24)+Rules!$B$5*N24)/(9+Rules!$B$5)</f>
        <v>0.27249534667872904</v>
      </c>
      <c r="E24" s="110">
        <f>(SUM(F24:N24)+Rules!$B$5*O24)/(9+Rules!$B$5)</f>
        <v>0.29995101900790128</v>
      </c>
      <c r="F24" s="110">
        <f>(SUM(G24:O24)+Rules!$B$5*P24)/(9+Rules!$B$5)</f>
        <v>0.32719621086821865</v>
      </c>
      <c r="G24" s="110">
        <f>(SUM(H24:P24)+Rules!$B$5*Q24)/(9+Rules!$B$5)</f>
        <v>0.35412091093722581</v>
      </c>
      <c r="H24" s="110">
        <f>IF(Rules!$B$4=Rules!$F$4,0,(SUM(I24:Q24)+Rules!$B$5*R24)/(9+Rules!$B$5))</f>
        <v>0</v>
      </c>
      <c r="I24" s="110">
        <v>0</v>
      </c>
      <c r="J24" s="110">
        <v>0</v>
      </c>
      <c r="K24" s="110">
        <v>0</v>
      </c>
      <c r="L24" s="110">
        <v>0</v>
      </c>
      <c r="M24" s="110">
        <f t="shared" ref="M24:V24" si="13">M14</f>
        <v>0.48267271400214923</v>
      </c>
      <c r="N24" s="110">
        <f t="shared" si="13"/>
        <v>0.51962466300199572</v>
      </c>
      <c r="O24" s="110">
        <f t="shared" si="13"/>
        <v>0.55393718707328177</v>
      </c>
      <c r="P24" s="110">
        <f t="shared" si="13"/>
        <v>0.58579881656804733</v>
      </c>
      <c r="Q24" s="110">
        <f t="shared" si="13"/>
        <v>0.61538461538461542</v>
      </c>
      <c r="R24" s="110">
        <f t="shared" si="13"/>
        <v>0</v>
      </c>
      <c r="S24" s="110">
        <f t="shared" si="13"/>
        <v>0</v>
      </c>
      <c r="T24" s="110">
        <f t="shared" si="13"/>
        <v>0</v>
      </c>
      <c r="U24" s="110">
        <f t="shared" si="13"/>
        <v>0</v>
      </c>
      <c r="V24" s="110">
        <f t="shared" si="13"/>
        <v>0</v>
      </c>
      <c r="W24" s="57">
        <f t="shared" ref="W24:W30" si="14">W14</f>
        <v>1</v>
      </c>
    </row>
    <row r="25" spans="1:32" x14ac:dyDescent="0.2">
      <c r="A25" s="140">
        <v>17</v>
      </c>
      <c r="B25" s="28">
        <f t="shared" si="12"/>
        <v>0.11142433852261401</v>
      </c>
      <c r="C25" s="2">
        <f>(SUM(D25:L25)+Rules!$B$5*M25)/(9+Rules!$B$5)</f>
        <v>0.15100839471537425</v>
      </c>
      <c r="D25" s="2">
        <f>(SUM(E25:M25)+Rules!$B$5*N25)/(9+Rules!$B$5)</f>
        <v>0.14550093066425418</v>
      </c>
      <c r="E25" s="2">
        <f>(SUM(F25:N25)+Rules!$B$5*O25)/(9+Rules!$B$5)</f>
        <v>0.14000979619841974</v>
      </c>
      <c r="F25" s="2">
        <f>(SUM(G25:O25)+Rules!$B$5*P25)/(9+Rules!$B$5)</f>
        <v>0.13456075782635629</v>
      </c>
      <c r="G25" s="2">
        <f>(SUM(H25:P25)+Rules!$B$5*Q25)/(9+Rules!$B$5)</f>
        <v>0.12917581781255486</v>
      </c>
      <c r="H25" s="2">
        <f>IF(Rules!$B$4=Rules!$F$4,1,(SUM(I25:Q25)+Rules!$B$5*R25)/(9+Rules!$B$5))</f>
        <v>1</v>
      </c>
      <c r="I25" s="1">
        <v>0</v>
      </c>
      <c r="J25" s="1">
        <v>0</v>
      </c>
      <c r="K25" s="1">
        <v>0</v>
      </c>
      <c r="L25" s="1">
        <v>0</v>
      </c>
      <c r="M25" s="2">
        <f t="shared" ref="M25:V25" si="15">M15</f>
        <v>0.10346545719957015</v>
      </c>
      <c r="N25" s="2">
        <f t="shared" si="15"/>
        <v>9.6075067399600853E-2</v>
      </c>
      <c r="O25" s="2">
        <f t="shared" si="15"/>
        <v>8.9212562585343644E-2</v>
      </c>
      <c r="P25" s="2">
        <f t="shared" si="15"/>
        <v>8.2840236686390525E-2</v>
      </c>
      <c r="Q25" s="2">
        <f t="shared" si="15"/>
        <v>7.6923076923076927E-2</v>
      </c>
      <c r="R25" s="1">
        <f t="shared" si="15"/>
        <v>1</v>
      </c>
      <c r="S25" s="1">
        <f t="shared" si="15"/>
        <v>0</v>
      </c>
      <c r="T25" s="1">
        <f t="shared" si="15"/>
        <v>0</v>
      </c>
      <c r="U25" s="1">
        <f t="shared" si="15"/>
        <v>0</v>
      </c>
      <c r="V25" s="1">
        <f t="shared" si="15"/>
        <v>0</v>
      </c>
      <c r="W25" s="9">
        <f t="shared" si="14"/>
        <v>0</v>
      </c>
    </row>
    <row r="26" spans="1:32" x14ac:dyDescent="0.2">
      <c r="A26" s="140">
        <v>18</v>
      </c>
      <c r="B26" s="28">
        <f t="shared" si="12"/>
        <v>0.11142433852261401</v>
      </c>
      <c r="C26" s="2">
        <f>(SUM(D26:L26)+Rules!$B$5*M26)/(9+Rules!$B$5)</f>
        <v>0.15100839471537425</v>
      </c>
      <c r="D26" s="2">
        <f>(SUM(E26:M26)+Rules!$B$5*N26)/(9+Rules!$B$5)</f>
        <v>0.14550093066425418</v>
      </c>
      <c r="E26" s="2">
        <f>(SUM(F26:N26)+Rules!$B$5*O26)/(9+Rules!$B$5)</f>
        <v>0.14000979619841974</v>
      </c>
      <c r="F26" s="2">
        <f>(SUM(G26:O26)+Rules!$B$5*P26)/(9+Rules!$B$5)</f>
        <v>0.13456075782635629</v>
      </c>
      <c r="G26" s="2">
        <f>(SUM(H26:P26)+Rules!$B$5*Q26)/(9+Rules!$B$5)</f>
        <v>0.12917581781255486</v>
      </c>
      <c r="H26" s="2">
        <f>IF(Rules!$B$4=Rules!$F$4,0,(SUM(I26:Q26)+Rules!$B$5*R26)/(9+Rules!$B$5))</f>
        <v>0</v>
      </c>
      <c r="I26" s="1">
        <v>1</v>
      </c>
      <c r="J26" s="1">
        <v>0</v>
      </c>
      <c r="K26" s="1">
        <v>0</v>
      </c>
      <c r="L26" s="1">
        <v>0</v>
      </c>
      <c r="M26" s="2">
        <f t="shared" ref="M26:V26" si="16">M16</f>
        <v>0.10346545719957015</v>
      </c>
      <c r="N26" s="2">
        <f t="shared" si="16"/>
        <v>9.6075067399600853E-2</v>
      </c>
      <c r="O26" s="2">
        <f t="shared" si="16"/>
        <v>8.9212562585343644E-2</v>
      </c>
      <c r="P26" s="2">
        <f t="shared" si="16"/>
        <v>8.2840236686390525E-2</v>
      </c>
      <c r="Q26" s="2">
        <f t="shared" si="16"/>
        <v>7.6923076923076927E-2</v>
      </c>
      <c r="R26" s="1">
        <f t="shared" si="16"/>
        <v>0</v>
      </c>
      <c r="S26" s="1">
        <f t="shared" si="16"/>
        <v>1</v>
      </c>
      <c r="T26" s="1">
        <f t="shared" si="16"/>
        <v>0</v>
      </c>
      <c r="U26" s="1">
        <f t="shared" si="16"/>
        <v>0</v>
      </c>
      <c r="V26" s="1">
        <f t="shared" si="16"/>
        <v>0</v>
      </c>
      <c r="W26" s="9">
        <f t="shared" si="14"/>
        <v>0</v>
      </c>
    </row>
    <row r="27" spans="1:32" x14ac:dyDescent="0.2">
      <c r="A27" s="140">
        <v>19</v>
      </c>
      <c r="B27" s="28">
        <f t="shared" si="12"/>
        <v>0.11142433852261401</v>
      </c>
      <c r="C27" s="2">
        <f>(SUM(D27:L27)+Rules!$B$5*M27)/(9+Rules!$B$5)</f>
        <v>0.15100839471537425</v>
      </c>
      <c r="D27" s="2">
        <f>(SUM(E27:M27)+Rules!$B$5*N27)/(9+Rules!$B$5)</f>
        <v>0.14550093066425418</v>
      </c>
      <c r="E27" s="2">
        <f>(SUM(F27:N27)+Rules!$B$5*O27)/(9+Rules!$B$5)</f>
        <v>0.14000979619841974</v>
      </c>
      <c r="F27" s="2">
        <f>(SUM(G27:O27)+Rules!$B$5*P27)/(9+Rules!$B$5)</f>
        <v>0.13456075782635629</v>
      </c>
      <c r="G27" s="2">
        <f>(SUM(H27:P27)+Rules!$B$5*Q27)/(9+Rules!$B$5)</f>
        <v>0.12917581781255486</v>
      </c>
      <c r="H27" s="2">
        <f>IF(Rules!$B$4=Rules!$F$4,0,(SUM(I27:Q27)+Rules!$B$5*R27)/(9+Rules!$B$5))</f>
        <v>0</v>
      </c>
      <c r="I27" s="1">
        <v>0</v>
      </c>
      <c r="J27" s="1">
        <v>1</v>
      </c>
      <c r="K27" s="1">
        <v>0</v>
      </c>
      <c r="L27" s="1">
        <v>0</v>
      </c>
      <c r="M27" s="2">
        <f t="shared" ref="M27:V27" si="17">M17</f>
        <v>0.10346545719957015</v>
      </c>
      <c r="N27" s="2">
        <f t="shared" si="17"/>
        <v>9.6075067399600853E-2</v>
      </c>
      <c r="O27" s="2">
        <f t="shared" si="17"/>
        <v>8.9212562585343644E-2</v>
      </c>
      <c r="P27" s="2">
        <f t="shared" si="17"/>
        <v>8.2840236686390525E-2</v>
      </c>
      <c r="Q27" s="2">
        <f t="shared" si="17"/>
        <v>7.6923076923076927E-2</v>
      </c>
      <c r="R27" s="1">
        <f t="shared" si="17"/>
        <v>0</v>
      </c>
      <c r="S27" s="1">
        <f t="shared" si="17"/>
        <v>0</v>
      </c>
      <c r="T27" s="1">
        <f t="shared" si="17"/>
        <v>1</v>
      </c>
      <c r="U27" s="1">
        <f t="shared" si="17"/>
        <v>0</v>
      </c>
      <c r="V27" s="1">
        <f t="shared" si="17"/>
        <v>0</v>
      </c>
      <c r="W27" s="9">
        <f t="shared" si="14"/>
        <v>0</v>
      </c>
    </row>
    <row r="28" spans="1:32" x14ac:dyDescent="0.2">
      <c r="A28" s="140">
        <v>20</v>
      </c>
      <c r="B28" s="28">
        <f t="shared" si="12"/>
        <v>0.11142433852261401</v>
      </c>
      <c r="C28" s="2">
        <f>(SUM(D28:L28)+Rules!$B$5*M28)/(9+Rules!$B$5)</f>
        <v>0.15100839471537425</v>
      </c>
      <c r="D28" s="2">
        <f>(SUM(E28:M28)+Rules!$B$5*N28)/(9+Rules!$B$5)</f>
        <v>0.14550093066425418</v>
      </c>
      <c r="E28" s="2">
        <f>(SUM(F28:N28)+Rules!$B$5*O28)/(9+Rules!$B$5)</f>
        <v>0.14000979619841974</v>
      </c>
      <c r="F28" s="2">
        <f>(SUM(G28:O28)+Rules!$B$5*P28)/(9+Rules!$B$5)</f>
        <v>0.13456075782635629</v>
      </c>
      <c r="G28" s="2">
        <f>(SUM(H28:P28)+Rules!$B$5*Q28)/(9+Rules!$B$5)</f>
        <v>0.12917581781255486</v>
      </c>
      <c r="H28" s="2">
        <f>IF(Rules!$B$4=Rules!$F$4,0,(SUM(I28:Q28)+Rules!$B$5*R28)/(9+Rules!$B$5))</f>
        <v>0</v>
      </c>
      <c r="I28" s="1">
        <v>0</v>
      </c>
      <c r="J28" s="1">
        <v>0</v>
      </c>
      <c r="K28" s="1">
        <v>1</v>
      </c>
      <c r="L28" s="1">
        <v>0</v>
      </c>
      <c r="M28" s="2">
        <f t="shared" ref="M28:V28" si="18">M18</f>
        <v>0.10346545719957015</v>
      </c>
      <c r="N28" s="2">
        <f t="shared" si="18"/>
        <v>9.6075067399600853E-2</v>
      </c>
      <c r="O28" s="2">
        <f t="shared" si="18"/>
        <v>8.9212562585343644E-2</v>
      </c>
      <c r="P28" s="2">
        <f t="shared" si="18"/>
        <v>8.2840236686390525E-2</v>
      </c>
      <c r="Q28" s="2">
        <f t="shared" si="18"/>
        <v>7.6923076923076927E-2</v>
      </c>
      <c r="R28" s="1">
        <f t="shared" si="18"/>
        <v>0</v>
      </c>
      <c r="S28" s="1">
        <f t="shared" si="18"/>
        <v>0</v>
      </c>
      <c r="T28" s="1">
        <f t="shared" si="18"/>
        <v>0</v>
      </c>
      <c r="U28" s="1">
        <f t="shared" si="18"/>
        <v>1</v>
      </c>
      <c r="V28" s="1">
        <f t="shared" si="18"/>
        <v>0</v>
      </c>
      <c r="W28" s="9">
        <f t="shared" si="14"/>
        <v>0</v>
      </c>
    </row>
    <row r="29" spans="1:32" x14ac:dyDescent="0.2">
      <c r="A29" s="140">
        <v>21</v>
      </c>
      <c r="B29" s="28">
        <f t="shared" si="12"/>
        <v>0.34219356929184475</v>
      </c>
      <c r="C29" s="2">
        <f>(SUM(D29:L29)+Rules!$B$5*M29)/(9+Rules!$B$5)</f>
        <v>0.15100839471537425</v>
      </c>
      <c r="D29" s="2">
        <f>(SUM(E29:M29)+Rules!$B$5*N29)/(9+Rules!$B$5)</f>
        <v>0.14550093066425418</v>
      </c>
      <c r="E29" s="2">
        <f>(SUM(F29:N29)+Rules!$B$5*O29)/(9+Rules!$B$5)</f>
        <v>0.14000979619841974</v>
      </c>
      <c r="F29" s="2">
        <f>(SUM(G29:O29)+Rules!$B$5*P29)/(9+Rules!$B$5)</f>
        <v>0.13456075782635629</v>
      </c>
      <c r="G29" s="2">
        <f>(SUM(H29:P29)+Rules!$B$5*Q29)/(9+Rules!$B$5)</f>
        <v>0.12917581781255486</v>
      </c>
      <c r="H29" s="2">
        <f>IF(Rules!$B$4=Rules!$F$4,0,(SUM(I29:Q29)+Rules!$B$5*R29)/(9+Rules!$B$5))</f>
        <v>0</v>
      </c>
      <c r="I29" s="26">
        <v>0</v>
      </c>
      <c r="J29" s="26">
        <v>0</v>
      </c>
      <c r="K29" s="26">
        <v>0</v>
      </c>
      <c r="L29" s="26">
        <v>1</v>
      </c>
      <c r="M29" s="2">
        <f t="shared" ref="M29:Q30" si="19">M19</f>
        <v>0.10346545719957015</v>
      </c>
      <c r="N29" s="2">
        <f t="shared" si="19"/>
        <v>9.6075067399600853E-2</v>
      </c>
      <c r="O29" s="2">
        <f t="shared" si="19"/>
        <v>8.9212562585343644E-2</v>
      </c>
      <c r="P29" s="2">
        <f t="shared" si="19"/>
        <v>8.2840236686390525E-2</v>
      </c>
      <c r="Q29" s="2">
        <f t="shared" si="19"/>
        <v>7.6923076923076927E-2</v>
      </c>
      <c r="R29" s="26">
        <f t="shared" ref="R29:V30" si="20">R19</f>
        <v>0</v>
      </c>
      <c r="S29" s="26">
        <f t="shared" si="20"/>
        <v>0</v>
      </c>
      <c r="T29" s="26">
        <f t="shared" si="20"/>
        <v>0</v>
      </c>
      <c r="U29" s="1">
        <f t="shared" si="20"/>
        <v>0</v>
      </c>
      <c r="V29" s="1">
        <f t="shared" si="20"/>
        <v>1</v>
      </c>
      <c r="W29" s="9">
        <f t="shared" si="14"/>
        <v>0</v>
      </c>
    </row>
    <row r="30" spans="1:32" ht="17" thickBot="1" x14ac:dyDescent="0.25">
      <c r="A30" s="142">
        <v>22</v>
      </c>
      <c r="B30" s="107">
        <f t="shared" si="12"/>
        <v>0</v>
      </c>
      <c r="C30" s="108">
        <f>(SUM(D30:L30)+Rules!$B$5*M30)/(9+Rules!$B$5)</f>
        <v>0</v>
      </c>
      <c r="D30" s="108">
        <f>(SUM(E30:M30)+Rules!$B$5*N30)/(9+Rules!$B$5)</f>
        <v>0</v>
      </c>
      <c r="E30" s="108">
        <f>(SUM(F30:N30)+Rules!$B$5*O30)/(9+Rules!$B$5)</f>
        <v>0</v>
      </c>
      <c r="F30" s="108">
        <f>(SUM(G30:O30)+Rules!$B$5*P30)/(9+Rules!$B$5)</f>
        <v>0</v>
      </c>
      <c r="G30" s="108">
        <f>(SUM(H30:P30)+Rules!$B$5*Q30)/(9+Rules!$B$5)</f>
        <v>0</v>
      </c>
      <c r="H30" s="108">
        <f>IF(Rules!$B$4=Rules!$F$4,0,(SUM(I30:Q30)+Rules!$B$5*R30)/(9+Rules!$B$5))</f>
        <v>0</v>
      </c>
      <c r="I30" s="111">
        <v>0</v>
      </c>
      <c r="J30" s="111">
        <v>0</v>
      </c>
      <c r="K30" s="111">
        <v>0</v>
      </c>
      <c r="L30" s="111">
        <v>0</v>
      </c>
      <c r="M30" s="108">
        <f t="shared" si="19"/>
        <v>0</v>
      </c>
      <c r="N30" s="108">
        <f t="shared" si="19"/>
        <v>0</v>
      </c>
      <c r="O30" s="108">
        <f t="shared" si="19"/>
        <v>0</v>
      </c>
      <c r="P30" s="108">
        <f t="shared" si="19"/>
        <v>0</v>
      </c>
      <c r="Q30" s="108">
        <f t="shared" si="19"/>
        <v>0</v>
      </c>
      <c r="R30" s="111">
        <f t="shared" si="20"/>
        <v>0</v>
      </c>
      <c r="S30" s="111">
        <f t="shared" si="20"/>
        <v>0</v>
      </c>
      <c r="T30" s="111">
        <f t="shared" si="20"/>
        <v>0</v>
      </c>
      <c r="U30" s="111">
        <f t="shared" si="20"/>
        <v>0</v>
      </c>
      <c r="V30" s="111">
        <f t="shared" si="20"/>
        <v>0</v>
      </c>
      <c r="W30" s="10">
        <f t="shared" si="14"/>
        <v>0</v>
      </c>
    </row>
    <row r="31" spans="1:32" ht="17" thickBot="1" x14ac:dyDescent="0.25">
      <c r="A31" s="104"/>
      <c r="B31" s="143">
        <f t="shared" ref="B31:W31" si="21">SUM(B24:B30)</f>
        <v>1</v>
      </c>
      <c r="C31" s="108">
        <f t="shared" si="21"/>
        <v>0.99999999999999978</v>
      </c>
      <c r="D31" s="108">
        <f t="shared" si="21"/>
        <v>0.99999999999999989</v>
      </c>
      <c r="E31" s="108">
        <f t="shared" si="21"/>
        <v>0.99999999999999978</v>
      </c>
      <c r="F31" s="108">
        <f t="shared" si="21"/>
        <v>1.0000000000000002</v>
      </c>
      <c r="G31" s="108">
        <f t="shared" si="21"/>
        <v>1</v>
      </c>
      <c r="H31" s="108">
        <f t="shared" si="21"/>
        <v>1</v>
      </c>
      <c r="I31" s="108">
        <f t="shared" si="21"/>
        <v>1</v>
      </c>
      <c r="J31" s="108">
        <f t="shared" si="21"/>
        <v>1</v>
      </c>
      <c r="K31" s="108">
        <f t="shared" si="21"/>
        <v>1</v>
      </c>
      <c r="L31" s="108">
        <f t="shared" si="21"/>
        <v>1</v>
      </c>
      <c r="M31" s="108">
        <f t="shared" si="21"/>
        <v>0.99999999999999989</v>
      </c>
      <c r="N31" s="108">
        <f t="shared" si="21"/>
        <v>0.99999999999999978</v>
      </c>
      <c r="O31" s="108">
        <f t="shared" si="21"/>
        <v>0.99999999999999978</v>
      </c>
      <c r="P31" s="108">
        <f t="shared" si="21"/>
        <v>0.99999999999999989</v>
      </c>
      <c r="Q31" s="108">
        <f t="shared" si="21"/>
        <v>0.99999999999999978</v>
      </c>
      <c r="R31" s="108">
        <f t="shared" si="21"/>
        <v>1</v>
      </c>
      <c r="S31" s="108">
        <f t="shared" si="21"/>
        <v>1</v>
      </c>
      <c r="T31" s="108">
        <f t="shared" si="21"/>
        <v>1</v>
      </c>
      <c r="U31" s="108">
        <f t="shared" si="21"/>
        <v>1</v>
      </c>
      <c r="V31" s="108">
        <f t="shared" si="21"/>
        <v>1</v>
      </c>
      <c r="W31" s="108">
        <f t="shared" si="21"/>
        <v>1</v>
      </c>
    </row>
    <row r="32" spans="1:32" ht="17" thickBot="1" x14ac:dyDescent="0.25"/>
    <row r="33" spans="2:15" ht="17" thickBot="1" x14ac:dyDescent="0.25">
      <c r="B33" s="4" t="s">
        <v>5</v>
      </c>
      <c r="C33" s="15" t="s">
        <v>0</v>
      </c>
      <c r="D33" s="11" t="s">
        <v>6</v>
      </c>
      <c r="E33" s="3"/>
      <c r="F33" s="30" t="s">
        <v>8</v>
      </c>
      <c r="I33" s="1" t="s">
        <v>30</v>
      </c>
      <c r="J33" s="1">
        <f>2*(1/(9+Rules!$B$5))*(Rules!$B$5/(9+Rules!$B$5))</f>
        <v>4.7337278106508882E-2</v>
      </c>
      <c r="L33" s="60" t="s">
        <v>33</v>
      </c>
      <c r="M33" s="63" t="s">
        <v>0</v>
      </c>
      <c r="N33" s="62" t="s">
        <v>6</v>
      </c>
      <c r="O33" s="61"/>
    </row>
    <row r="34" spans="2:15" ht="17" thickBot="1" x14ac:dyDescent="0.25">
      <c r="B34" s="5" t="s">
        <v>1</v>
      </c>
      <c r="C34" s="16">
        <f>B14</f>
        <v>0.2121090766176992</v>
      </c>
      <c r="D34" s="12">
        <f>SUM(B15:B19)</f>
        <v>0.78789092338230082</v>
      </c>
      <c r="E34" s="8">
        <f>SUM(C34:D34)</f>
        <v>1</v>
      </c>
      <c r="F34" s="30">
        <f>1/(9+Rules!$B$5)</f>
        <v>7.6923076923076927E-2</v>
      </c>
      <c r="G34" s="30">
        <f>(C34-D34)*F34</f>
        <v>-4.4290911289584747E-2</v>
      </c>
      <c r="L34" s="54">
        <v>5</v>
      </c>
      <c r="M34" s="55">
        <f>F14</f>
        <v>0.41640366958226238</v>
      </c>
      <c r="N34" s="56">
        <f>1-M34</f>
        <v>0.58359633041773762</v>
      </c>
      <c r="O34" s="57">
        <f t="shared" ref="O34:O45" si="22">SUM(M34:N34)</f>
        <v>1</v>
      </c>
    </row>
    <row r="35" spans="2:15" ht="17" thickBot="1" x14ac:dyDescent="0.25">
      <c r="B35" s="6">
        <v>2</v>
      </c>
      <c r="C35" s="17">
        <f>C14</f>
        <v>0.35360813639536137</v>
      </c>
      <c r="D35" s="13">
        <f>SUM(C15:C19)</f>
        <v>0.64639186360463863</v>
      </c>
      <c r="E35" s="9">
        <f t="shared" ref="E35:E43" si="23">SUM(C35:D35)</f>
        <v>1</v>
      </c>
      <c r="F35" s="30">
        <f>1/(9+Rules!$B$5)</f>
        <v>7.6923076923076927E-2</v>
      </c>
      <c r="G35" s="30">
        <f t="shared" ref="G35:G43" si="24">(C35-D35)*F35</f>
        <v>-2.2521825169944405E-2</v>
      </c>
      <c r="L35" s="58">
        <v>6</v>
      </c>
      <c r="M35" s="53">
        <f>G14</f>
        <v>0.42315049208499772</v>
      </c>
      <c r="N35" s="56">
        <f t="shared" ref="N35:N45" si="25">1-M35</f>
        <v>0.57684950791500222</v>
      </c>
      <c r="O35" s="9">
        <f t="shared" si="22"/>
        <v>1</v>
      </c>
    </row>
    <row r="36" spans="2:15" ht="17" thickBot="1" x14ac:dyDescent="0.25">
      <c r="B36" s="6">
        <v>3</v>
      </c>
      <c r="C36" s="17">
        <f>D14</f>
        <v>0.3738748853821432</v>
      </c>
      <c r="D36" s="13">
        <f>SUM(D15:D19)</f>
        <v>0.62612511461785669</v>
      </c>
      <c r="E36" s="9">
        <f t="shared" si="23"/>
        <v>0.99999999999999989</v>
      </c>
      <c r="F36" s="30">
        <f>1/(9+Rules!$B$5)</f>
        <v>7.6923076923076927E-2</v>
      </c>
      <c r="G36" s="30">
        <f t="shared" si="24"/>
        <v>-1.9403863787362578E-2</v>
      </c>
      <c r="L36" s="58">
        <v>7</v>
      </c>
      <c r="M36" s="53">
        <f>H14</f>
        <v>0.2623124083615333</v>
      </c>
      <c r="N36" s="56">
        <f t="shared" si="25"/>
        <v>0.73768759163846664</v>
      </c>
      <c r="O36" s="9">
        <f t="shared" si="22"/>
        <v>1</v>
      </c>
    </row>
    <row r="37" spans="2:15" ht="17" thickBot="1" x14ac:dyDescent="0.25">
      <c r="B37" s="6">
        <v>4</v>
      </c>
      <c r="C37" s="17">
        <f>E14</f>
        <v>0.39446844550254284</v>
      </c>
      <c r="D37" s="13">
        <f>SUM(E15:E19)</f>
        <v>0.60553155449745721</v>
      </c>
      <c r="E37" s="9">
        <f t="shared" si="23"/>
        <v>1</v>
      </c>
      <c r="F37" s="30">
        <f>1/(9+Rules!$B$5)</f>
        <v>7.6923076923076927E-2</v>
      </c>
      <c r="G37" s="30">
        <f t="shared" si="24"/>
        <v>-1.623562376883957E-2</v>
      </c>
      <c r="L37" s="58">
        <v>8</v>
      </c>
      <c r="M37" s="53">
        <f>I14</f>
        <v>0.2447412422511914</v>
      </c>
      <c r="N37" s="56">
        <f t="shared" si="25"/>
        <v>0.75525875774880857</v>
      </c>
      <c r="O37" s="9">
        <f t="shared" si="22"/>
        <v>1</v>
      </c>
    </row>
    <row r="38" spans="2:15" ht="17" thickBot="1" x14ac:dyDescent="0.25">
      <c r="B38" s="6">
        <v>5</v>
      </c>
      <c r="C38" s="17">
        <f>F14</f>
        <v>0.41640366958226238</v>
      </c>
      <c r="D38" s="13">
        <f>SUM(F15:F19)</f>
        <v>0.58359633041773762</v>
      </c>
      <c r="E38" s="9">
        <f t="shared" si="23"/>
        <v>1</v>
      </c>
      <c r="F38" s="30">
        <f>1/(9+Rules!$B$5)</f>
        <v>7.6923076923076927E-2</v>
      </c>
      <c r="G38" s="30">
        <f t="shared" si="24"/>
        <v>-1.2860973910421172E-2</v>
      </c>
      <c r="L38" s="58">
        <v>9</v>
      </c>
      <c r="M38" s="53">
        <f>J14</f>
        <v>0.2284251594344453</v>
      </c>
      <c r="N38" s="56">
        <f t="shared" si="25"/>
        <v>0.7715748405655547</v>
      </c>
      <c r="O38" s="9">
        <f t="shared" si="22"/>
        <v>1</v>
      </c>
    </row>
    <row r="39" spans="2:15" ht="17" thickBot="1" x14ac:dyDescent="0.25">
      <c r="B39" s="6">
        <v>6</v>
      </c>
      <c r="C39" s="17">
        <f>G14</f>
        <v>0.42315049208499772</v>
      </c>
      <c r="D39" s="13">
        <f>SUM(G15:G19)</f>
        <v>0.57684950791500222</v>
      </c>
      <c r="E39" s="9">
        <f t="shared" si="23"/>
        <v>1</v>
      </c>
      <c r="F39" s="30">
        <f>1/(9+Rules!$B$5)</f>
        <v>7.6923076923076927E-2</v>
      </c>
      <c r="G39" s="30">
        <f t="shared" si="24"/>
        <v>-1.1823001217692655E-2</v>
      </c>
      <c r="L39" s="58">
        <v>10</v>
      </c>
      <c r="M39" s="53">
        <f>K14</f>
        <v>0.2121090766176992</v>
      </c>
      <c r="N39" s="56">
        <f t="shared" si="25"/>
        <v>0.78789092338230082</v>
      </c>
      <c r="O39" s="9">
        <f t="shared" si="22"/>
        <v>1</v>
      </c>
    </row>
    <row r="40" spans="2:15" ht="17" thickBot="1" x14ac:dyDescent="0.25">
      <c r="B40" s="6">
        <v>7</v>
      </c>
      <c r="C40" s="17">
        <f>H14</f>
        <v>0.2623124083615333</v>
      </c>
      <c r="D40" s="13">
        <f>SUM(H15:H19)</f>
        <v>0.73768759163846653</v>
      </c>
      <c r="E40" s="9">
        <f t="shared" si="23"/>
        <v>0.99999999999999978</v>
      </c>
      <c r="F40" s="30">
        <f>1/(9+Rules!$B$5)</f>
        <v>7.6923076923076927E-2</v>
      </c>
      <c r="G40" s="30">
        <f t="shared" si="24"/>
        <v>-3.6567321790533326E-2</v>
      </c>
      <c r="L40" s="58">
        <v>11</v>
      </c>
      <c r="M40" s="53">
        <f>L14</f>
        <v>0.2121090766176992</v>
      </c>
      <c r="N40" s="56">
        <f t="shared" si="25"/>
        <v>0.78789092338230082</v>
      </c>
      <c r="O40" s="9">
        <f t="shared" si="22"/>
        <v>1</v>
      </c>
    </row>
    <row r="41" spans="2:15" ht="17" thickBot="1" x14ac:dyDescent="0.25">
      <c r="B41" s="6">
        <v>8</v>
      </c>
      <c r="C41" s="17">
        <f>I14</f>
        <v>0.2447412422511914</v>
      </c>
      <c r="D41" s="13">
        <f>SUM(I15:I19)</f>
        <v>0.75525875774880857</v>
      </c>
      <c r="E41" s="9">
        <f t="shared" si="23"/>
        <v>1</v>
      </c>
      <c r="F41" s="30">
        <f>1/(9+Rules!$B$5)</f>
        <v>7.6923076923076927E-2</v>
      </c>
      <c r="G41" s="30">
        <f t="shared" si="24"/>
        <v>-3.9270578115201321E-2</v>
      </c>
      <c r="L41" s="58">
        <v>12</v>
      </c>
      <c r="M41" s="53">
        <f>M14</f>
        <v>0.48267271400214923</v>
      </c>
      <c r="N41" s="56">
        <f t="shared" si="25"/>
        <v>0.51732728599785083</v>
      </c>
      <c r="O41" s="9">
        <f t="shared" si="22"/>
        <v>1</v>
      </c>
    </row>
    <row r="42" spans="2:15" ht="17" thickBot="1" x14ac:dyDescent="0.25">
      <c r="B42" s="6">
        <v>9</v>
      </c>
      <c r="C42" s="17">
        <f>J14</f>
        <v>0.2284251594344453</v>
      </c>
      <c r="D42" s="13">
        <f>SUM(J15:J19)</f>
        <v>0.7715748405655547</v>
      </c>
      <c r="E42" s="9">
        <f t="shared" si="23"/>
        <v>1</v>
      </c>
      <c r="F42" s="30">
        <f>1/(9+Rules!$B$5)</f>
        <v>7.6923076923076927E-2</v>
      </c>
      <c r="G42" s="30">
        <f t="shared" si="24"/>
        <v>-4.1780744702393034E-2</v>
      </c>
      <c r="L42" s="58">
        <v>13</v>
      </c>
      <c r="M42" s="53">
        <f>N14</f>
        <v>0.51962466300199572</v>
      </c>
      <c r="N42" s="56">
        <f t="shared" si="25"/>
        <v>0.48037533699800428</v>
      </c>
      <c r="O42" s="9">
        <f t="shared" si="22"/>
        <v>1</v>
      </c>
    </row>
    <row r="43" spans="2:15" ht="17" thickBot="1" x14ac:dyDescent="0.25">
      <c r="B43" s="7">
        <v>10</v>
      </c>
      <c r="C43" s="18">
        <f>K14</f>
        <v>0.2121090766176992</v>
      </c>
      <c r="D43" s="14">
        <f>SUM(K15:K19)</f>
        <v>0.78789092338230071</v>
      </c>
      <c r="E43" s="10">
        <f t="shared" si="23"/>
        <v>0.99999999999999989</v>
      </c>
      <c r="F43" s="30">
        <f>4/(9+Rules!$B$5)</f>
        <v>0.30769230769230771</v>
      </c>
      <c r="G43" s="30">
        <f t="shared" si="24"/>
        <v>-0.17716364515833893</v>
      </c>
      <c r="L43" s="58">
        <v>14</v>
      </c>
      <c r="M43" s="53">
        <f>O14</f>
        <v>0.55393718707328177</v>
      </c>
      <c r="N43" s="56">
        <f t="shared" si="25"/>
        <v>0.44606281292671823</v>
      </c>
      <c r="O43" s="9">
        <f t="shared" si="22"/>
        <v>1</v>
      </c>
    </row>
    <row r="44" spans="2:15" ht="17" thickBot="1" x14ac:dyDescent="0.25">
      <c r="C44" s="66">
        <f>SUM(C34:C43)/SUM($C$34:$D$43)</f>
        <v>0.31212025922298758</v>
      </c>
      <c r="D44" s="66">
        <f>SUM(D34:D43)/SUM($C$34:$D$43)</f>
        <v>0.68787974077701231</v>
      </c>
      <c r="F44">
        <f>SUM(F34:F43)</f>
        <v>1</v>
      </c>
      <c r="L44" s="58">
        <v>15</v>
      </c>
      <c r="M44" s="53">
        <f>P14</f>
        <v>0.58579881656804733</v>
      </c>
      <c r="N44" s="56">
        <f t="shared" si="25"/>
        <v>0.41420118343195267</v>
      </c>
      <c r="O44" s="9">
        <f t="shared" si="22"/>
        <v>1</v>
      </c>
    </row>
    <row r="45" spans="2:15" ht="17" thickBot="1" x14ac:dyDescent="0.25">
      <c r="L45" s="59">
        <v>16</v>
      </c>
      <c r="M45" s="64">
        <f>Q14</f>
        <v>0.61538461538461542</v>
      </c>
      <c r="N45" s="65">
        <f t="shared" si="25"/>
        <v>0.38461538461538458</v>
      </c>
      <c r="O45" s="10">
        <f t="shared" si="22"/>
        <v>1</v>
      </c>
    </row>
    <row r="46" spans="2:15" x14ac:dyDescent="0.2">
      <c r="M46" s="66">
        <f>SUM(M34:M45)/SUM($M$34:$N$45)</f>
        <v>0.39638909341499318</v>
      </c>
      <c r="N46" s="66">
        <f>SUM(N34:N45)/SUM($M$34:$N$45)</f>
        <v>0.60361090658500682</v>
      </c>
    </row>
  </sheetData>
  <sheetProtection sheet="1" objects="1" scenarios="1"/>
  <mergeCells count="2">
    <mergeCell ref="A1:L1"/>
    <mergeCell ref="A12:L12"/>
  </mergeCells>
  <phoneticPr fontId="16" type="noConversion"/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pageSetUpPr fitToPage="1"/>
  </sheetPr>
  <dimension ref="A1:W54"/>
  <sheetViews>
    <sheetView workbookViewId="0">
      <selection activeCell="T12" sqref="T12"/>
    </sheetView>
  </sheetViews>
  <sheetFormatPr baseColWidth="10" defaultColWidth="8.6640625" defaultRowHeight="16" x14ac:dyDescent="0.2"/>
  <cols>
    <col min="14" max="14" width="5.6640625" bestFit="1" customWidth="1"/>
    <col min="19" max="19" width="9.1640625" customWidth="1"/>
  </cols>
  <sheetData>
    <row r="1" spans="1:23" x14ac:dyDescent="0.2">
      <c r="C1" t="s">
        <v>95</v>
      </c>
      <c r="D1">
        <f>C2+E2</f>
        <v>0.99999999999999989</v>
      </c>
    </row>
    <row r="2" spans="1:23" x14ac:dyDescent="0.2">
      <c r="A2" t="s">
        <v>40</v>
      </c>
      <c r="B2" s="149" t="s">
        <v>125</v>
      </c>
      <c r="C2" s="155">
        <f>Analysis!B9</f>
        <v>0.47006465234408989</v>
      </c>
      <c r="D2" s="149" t="s">
        <v>126</v>
      </c>
      <c r="E2" s="155">
        <f>Analysis!E9</f>
        <v>0.52993534765590999</v>
      </c>
      <c r="F2" s="149" t="s">
        <v>47</v>
      </c>
      <c r="G2" s="155">
        <f>Analysis!S9</f>
        <v>1.3496511441289469</v>
      </c>
      <c r="H2" t="s">
        <v>156</v>
      </c>
      <c r="I2" s="169">
        <f>Analysis!T9</f>
        <v>-1.3599797801056628</v>
      </c>
      <c r="J2" t="s">
        <v>48</v>
      </c>
      <c r="K2" s="169">
        <f>C2*G2+E2*I2</f>
        <v>-8.627806172452579E-2</v>
      </c>
      <c r="L2" t="s">
        <v>47</v>
      </c>
      <c r="M2" s="176">
        <v>1</v>
      </c>
      <c r="N2" t="s">
        <v>156</v>
      </c>
      <c r="O2" s="176">
        <v>2</v>
      </c>
    </row>
    <row r="4" spans="1:23" x14ac:dyDescent="0.2">
      <c r="A4" t="s">
        <v>123</v>
      </c>
      <c r="B4">
        <f>$C$2</f>
        <v>0.47006465234408989</v>
      </c>
      <c r="C4" t="s">
        <v>124</v>
      </c>
      <c r="D4">
        <f>$E$2</f>
        <v>0.52993534765590999</v>
      </c>
      <c r="E4" t="s">
        <v>47</v>
      </c>
      <c r="F4">
        <f>G2</f>
        <v>1.3496511441289469</v>
      </c>
      <c r="G4" t="s">
        <v>156</v>
      </c>
      <c r="H4">
        <f>I2</f>
        <v>-1.3599797801056628</v>
      </c>
      <c r="I4" t="s">
        <v>48</v>
      </c>
      <c r="J4">
        <f>K2</f>
        <v>-8.627806172452579E-2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60">
        <v>-10</v>
      </c>
      <c r="N6" s="104" t="s">
        <v>136</v>
      </c>
      <c r="R6" s="188" t="s">
        <v>49</v>
      </c>
      <c r="S6" s="164" t="s">
        <v>130</v>
      </c>
      <c r="T6" s="165" t="s">
        <v>137</v>
      </c>
      <c r="U6" s="184" t="s">
        <v>48</v>
      </c>
      <c r="V6" s="175" t="s">
        <v>47</v>
      </c>
      <c r="W6" s="168" t="s">
        <v>156</v>
      </c>
    </row>
    <row r="7" spans="1:23" x14ac:dyDescent="0.2">
      <c r="A7" s="101">
        <v>1</v>
      </c>
      <c r="B7" s="95">
        <f>C7*B4</f>
        <v>0.47006465234408989</v>
      </c>
      <c r="C7" s="95">
        <v>1</v>
      </c>
      <c r="D7" s="109">
        <f>C7*D4</f>
        <v>0.52993534765590999</v>
      </c>
      <c r="E7" s="110"/>
      <c r="F7" s="110"/>
      <c r="G7" s="110"/>
      <c r="H7" s="110"/>
      <c r="I7" s="110"/>
      <c r="J7" s="110"/>
      <c r="K7" s="110"/>
      <c r="L7" s="110"/>
      <c r="M7" s="263"/>
      <c r="N7" s="95">
        <f>B7+D7</f>
        <v>0.99999999999999989</v>
      </c>
      <c r="R7" s="189">
        <f>B7-D7</f>
        <v>-5.9870695311820099E-2</v>
      </c>
      <c r="S7" s="109">
        <f>SUM(C7)*$B$4*$F$4</f>
        <v>0.63442329585077661</v>
      </c>
      <c r="T7" s="57">
        <f>SUM(C7)*$D$4*$H$4</f>
        <v>-0.7207013575753024</v>
      </c>
      <c r="U7" s="265">
        <f>S7+T7</f>
        <v>-8.627806172452579E-2</v>
      </c>
      <c r="V7" s="109">
        <f>(U7+W7*D7)/B7</f>
        <v>0.9438218417806592</v>
      </c>
      <c r="W7" s="57">
        <f>COUNT(D7:M7)</f>
        <v>1</v>
      </c>
    </row>
    <row r="8" spans="1:23" x14ac:dyDescent="0.2">
      <c r="A8" s="99">
        <v>2</v>
      </c>
      <c r="B8" s="97">
        <f>C8*B4</f>
        <v>0.62600489824008643</v>
      </c>
      <c r="C8" s="97">
        <f>1/(1-B4*D4*C7)</f>
        <v>1.3317421233831628</v>
      </c>
      <c r="D8" s="93">
        <f>C8*D4</f>
        <v>0.70573722514307613</v>
      </c>
      <c r="E8" s="1">
        <f>D8*D4</f>
        <v>0.3739951017599133</v>
      </c>
      <c r="F8" s="1"/>
      <c r="G8" s="1"/>
      <c r="H8" s="1"/>
      <c r="I8" s="1"/>
      <c r="J8" s="1"/>
      <c r="K8" s="1"/>
      <c r="L8" s="1"/>
      <c r="M8" s="262"/>
      <c r="N8" s="97">
        <f>B8+E8</f>
        <v>0.99999999999999978</v>
      </c>
      <c r="R8" s="190">
        <f>B8-E8</f>
        <v>0.25200979648017313</v>
      </c>
      <c r="S8" s="93">
        <f>SUM(C8:D8)*$B$4*$F$4</f>
        <v>1.2926243635199095</v>
      </c>
      <c r="T8" s="9">
        <f>SUM(C8:D8)*$D$4*$H$4</f>
        <v>-1.468414132514503</v>
      </c>
      <c r="U8" s="266">
        <f>S8+T8</f>
        <v>-0.17578976899459353</v>
      </c>
      <c r="V8" s="93">
        <f>(U8+W8*E8)/B8</f>
        <v>0.91405104997402398</v>
      </c>
      <c r="W8" s="9">
        <f>COUNT(D8:M8)</f>
        <v>2</v>
      </c>
    </row>
    <row r="9" spans="1:23" x14ac:dyDescent="0.2">
      <c r="A9" s="99">
        <v>3</v>
      </c>
      <c r="B9" s="97">
        <f>C9*B4</f>
        <v>0.70341804981613931</v>
      </c>
      <c r="C9" s="97">
        <f>1/(1-D4*B4*C8)</f>
        <v>1.4964283025927962</v>
      </c>
      <c r="D9" s="93">
        <f>C9*D4*C8</f>
        <v>1.0560851578974035</v>
      </c>
      <c r="E9" s="1">
        <f>D9*(D4)</f>
        <v>0.55965685530460718</v>
      </c>
      <c r="F9" s="1">
        <f>E9*D4</f>
        <v>0.2965819501838603</v>
      </c>
      <c r="G9" s="1"/>
      <c r="H9" s="1"/>
      <c r="I9" s="1"/>
      <c r="J9" s="1"/>
      <c r="K9" s="1"/>
      <c r="L9" s="1"/>
      <c r="M9" s="262"/>
      <c r="N9" s="97">
        <f>B9+F9</f>
        <v>0.99999999999999956</v>
      </c>
      <c r="R9" s="190">
        <f>B9-F9</f>
        <v>0.40683609963227901</v>
      </c>
      <c r="S9" s="93">
        <f>SUM(C9:E9)*$B$4*$F$4</f>
        <v>1.9744333489954937</v>
      </c>
      <c r="T9" s="9">
        <f>SUM(C9:E9)*$D$4*$H$4</f>
        <v>-2.242945371598875</v>
      </c>
      <c r="U9" s="266">
        <f t="shared" ref="U9:U16" si="0">S9+T9</f>
        <v>-0.26851202260338125</v>
      </c>
      <c r="V9" s="93">
        <f>(U9+W9*F9)/B9</f>
        <v>0.88316446828536588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0.74942480617376384</v>
      </c>
      <c r="C10" s="97">
        <f>1/(1-D4*B4*C9)</f>
        <v>1.5943015549809536</v>
      </c>
      <c r="D10" s="93">
        <f>C10*D4*C9</f>
        <v>1.2642974791176629</v>
      </c>
      <c r="E10" s="1">
        <f>D10*D4*C8</f>
        <v>0.89226179466788569</v>
      </c>
      <c r="F10" s="1">
        <f>E10*D4</f>
        <v>0.47284106435741219</v>
      </c>
      <c r="G10" s="1">
        <f>F10*D4</f>
        <v>0.25057519382623572</v>
      </c>
      <c r="H10" s="1"/>
      <c r="I10" s="1"/>
      <c r="J10" s="1"/>
      <c r="K10" s="1"/>
      <c r="L10" s="1"/>
      <c r="M10" s="262"/>
      <c r="N10" s="97">
        <f>B10+G10</f>
        <v>0.99999999999999956</v>
      </c>
      <c r="R10" s="190">
        <f>B10-G10</f>
        <v>0.49884961234752812</v>
      </c>
      <c r="S10" s="93">
        <f>SUM(C10:F10)*$B$4*$F$4</f>
        <v>2.6796148757268385</v>
      </c>
      <c r="T10" s="9">
        <f>SUM(C10:F10)*$D$4*$H$4</f>
        <v>-3.0440276883677804</v>
      </c>
      <c r="U10" s="266">
        <f t="shared" si="0"/>
        <v>-0.36441281264094183</v>
      </c>
      <c r="V10" s="93">
        <f>(U10+W10*G10)/B10</f>
        <v>0.85117006724234112</v>
      </c>
      <c r="W10" s="9">
        <f t="shared" si="1"/>
        <v>4</v>
      </c>
    </row>
    <row r="11" spans="1:23" x14ac:dyDescent="0.2">
      <c r="A11" s="99">
        <v>5</v>
      </c>
      <c r="B11" s="97">
        <f>C11*B4</f>
        <v>0.77973306043553681</v>
      </c>
      <c r="C11" s="97">
        <f>1/(1-D4*B4*C10)</f>
        <v>1.6587783330382562</v>
      </c>
      <c r="D11" s="93">
        <f>C11*D4*C10</f>
        <v>1.4014632450091713</v>
      </c>
      <c r="E11" s="1">
        <f>D11*D4*C9</f>
        <v>1.1113747221819166</v>
      </c>
      <c r="F11" s="1">
        <f>E11*D4*C8</f>
        <v>0.78433851252682296</v>
      </c>
      <c r="G11" s="1">
        <f>F11*D4</f>
        <v>0.41564870231582124</v>
      </c>
      <c r="H11" s="1">
        <f>G11*D4</f>
        <v>0.22026693956446258</v>
      </c>
      <c r="I11" s="1"/>
      <c r="J11" s="1"/>
      <c r="K11" s="1"/>
      <c r="L11" s="1"/>
      <c r="M11" s="262"/>
      <c r="N11" s="97">
        <f>B11+H11</f>
        <v>0.99999999999999933</v>
      </c>
      <c r="R11" s="190">
        <f>B11-H11</f>
        <v>0.55946612087107428</v>
      </c>
      <c r="S11" s="93">
        <f>SUM(C11:G11)*$B$4*$F$4</f>
        <v>3.4078704060355873</v>
      </c>
      <c r="T11" s="9">
        <f>SUM(C11:G11)*$D$4*$H$4</f>
        <v>-3.8713219456686483</v>
      </c>
      <c r="U11" s="266">
        <f t="shared" si="0"/>
        <v>-0.46345153963306096</v>
      </c>
      <c r="V11" s="93">
        <f>(U11+W11*H11)/B11</f>
        <v>0.81807889206717543</v>
      </c>
      <c r="W11" s="9">
        <f t="shared" si="1"/>
        <v>5</v>
      </c>
    </row>
    <row r="12" spans="1:23" x14ac:dyDescent="0.2">
      <c r="A12" s="99">
        <v>6</v>
      </c>
      <c r="B12" s="97">
        <f>C12*B4</f>
        <v>0.80107557845278976</v>
      </c>
      <c r="C12" s="97">
        <f>1/(1-D4*B4*C11)</f>
        <v>1.7041817002364135</v>
      </c>
      <c r="D12" s="93">
        <f>C12*D4*C11</f>
        <v>1.4980528672488835</v>
      </c>
      <c r="E12" s="1">
        <f>D12*D4*C10</f>
        <v>1.265670036022525</v>
      </c>
      <c r="F12" s="1">
        <f>E12*D4*C9</f>
        <v>1.0036893151980628</v>
      </c>
      <c r="G12" s="1">
        <f>F12*D4*C8</f>
        <v>0.70834091221363515</v>
      </c>
      <c r="H12" s="1">
        <f>G12*D4</f>
        <v>0.37537488757283716</v>
      </c>
      <c r="I12" s="1">
        <f>H12*D4</f>
        <v>0.19892442154720957</v>
      </c>
      <c r="J12" s="1"/>
      <c r="K12" s="1"/>
      <c r="L12" s="1"/>
      <c r="M12" s="262"/>
      <c r="N12" s="97">
        <f>B12+I12</f>
        <v>0.99999999999999933</v>
      </c>
      <c r="R12" s="190">
        <f>B12-I12</f>
        <v>0.60215115690558019</v>
      </c>
      <c r="S12" s="93">
        <f>SUM(C12:H12)*$B$4*$F$4</f>
        <v>4.1588411969285479</v>
      </c>
      <c r="T12" s="9">
        <f>SUM(C12:H12)*$D$4*$H$4</f>
        <v>-4.724420613444015</v>
      </c>
      <c r="U12" s="266">
        <f t="shared" si="0"/>
        <v>-0.56557941651546706</v>
      </c>
      <c r="V12" s="93">
        <f>(U12+W12*I12)/B12</f>
        <v>0.78390495186566056</v>
      </c>
      <c r="W12" s="9">
        <f t="shared" si="1"/>
        <v>6</v>
      </c>
    </row>
    <row r="13" spans="1:23" x14ac:dyDescent="0.2">
      <c r="A13" s="99">
        <v>7</v>
      </c>
      <c r="B13" s="97">
        <f>C13*B4</f>
        <v>0.81681941213948916</v>
      </c>
      <c r="C13" s="97">
        <f>1/(1-D4*B4*C12)</f>
        <v>1.7376746114948736</v>
      </c>
      <c r="D13" s="93">
        <f>C13*D4*C12</f>
        <v>1.5693045793090001</v>
      </c>
      <c r="E13" s="1">
        <f>D13*D4*C11</f>
        <v>1.3794897717153756</v>
      </c>
      <c r="F13" s="1">
        <f>E13*D4*C10</f>
        <v>1.1654988333396588</v>
      </c>
      <c r="G13" s="1">
        <f>F13*D4*C9</f>
        <v>0.92425252443758132</v>
      </c>
      <c r="H13" s="1">
        <f>G13*D4*C8</f>
        <v>0.65227941192806183</v>
      </c>
      <c r="I13" s="1">
        <f>H13*D4</f>
        <v>0.34566591692888998</v>
      </c>
      <c r="J13" s="1">
        <f>I13*D4</f>
        <v>0.18318058786051022</v>
      </c>
      <c r="K13" s="1"/>
      <c r="L13" s="1"/>
      <c r="M13" s="262"/>
      <c r="N13" s="97">
        <f>B13+J13</f>
        <v>0.99999999999999933</v>
      </c>
      <c r="R13" s="190">
        <f>B13-J13</f>
        <v>0.633638824278979</v>
      </c>
      <c r="S13" s="93">
        <f>SUM(C13:I13)*$B$4*$F$4</f>
        <v>4.9321117936258183</v>
      </c>
      <c r="T13" s="9">
        <f>SUM(C13:I13)*$D$4*$H$4</f>
        <v>-5.602851737360167</v>
      </c>
      <c r="U13" s="266">
        <f t="shared" si="0"/>
        <v>-0.67073994373434864</v>
      </c>
      <c r="V13" s="93">
        <f>(U13+W13*J13)/B13</f>
        <v>0.74866508092341022</v>
      </c>
      <c r="W13" s="9">
        <f t="shared" si="1"/>
        <v>7</v>
      </c>
    </row>
    <row r="14" spans="1:23" x14ac:dyDescent="0.2">
      <c r="A14" s="99">
        <v>8</v>
      </c>
      <c r="B14" s="97">
        <f>C14*B4</f>
        <v>0.82883569896610509</v>
      </c>
      <c r="C14" s="97">
        <f>1/(1-D4*B4*C13)</f>
        <v>1.7632376628042918</v>
      </c>
      <c r="D14" s="93">
        <f>C14*D4*C13</f>
        <v>1.623686569492568</v>
      </c>
      <c r="E14" s="1">
        <f>D14*D4*C12</f>
        <v>1.4663612807665891</v>
      </c>
      <c r="F14" s="1">
        <f>E14*D4*C11</f>
        <v>1.2889979517855386</v>
      </c>
      <c r="G14" s="1">
        <f>F14*D4*C10</f>
        <v>1.0890443987236924</v>
      </c>
      <c r="H14" s="1">
        <f>G14*D4*C9</f>
        <v>0.86362337391687749</v>
      </c>
      <c r="I14" s="1">
        <f>H14*D4*C8</f>
        <v>0.60949116347679844</v>
      </c>
      <c r="J14" s="1">
        <f>I14*D4</f>
        <v>0.32299091161028226</v>
      </c>
      <c r="K14" s="1">
        <f>J14*D4</f>
        <v>0.17116430103389421</v>
      </c>
      <c r="L14" s="1"/>
      <c r="M14" s="262"/>
      <c r="N14" s="97">
        <f>B14+K14</f>
        <v>0.99999999999999933</v>
      </c>
      <c r="R14" s="190">
        <f>B14-K14</f>
        <v>0.65767139793221085</v>
      </c>
      <c r="S14" s="93">
        <f>SUM(C14:J14)*$B$4*$F$4</f>
        <v>5.7272139952379639</v>
      </c>
      <c r="T14" s="9">
        <f>SUM(C14:J14)*$D$4*$H$4</f>
        <v>-6.5060834437944921</v>
      </c>
      <c r="U14" s="266">
        <f t="shared" si="0"/>
        <v>-0.77886944855652818</v>
      </c>
      <c r="V14" s="93">
        <f>(U14+W14*K14)/B14</f>
        <v>0.71237877476941491</v>
      </c>
      <c r="W14" s="9">
        <f t="shared" si="1"/>
        <v>8</v>
      </c>
    </row>
    <row r="15" spans="1:23" x14ac:dyDescent="0.2">
      <c r="A15" s="99">
        <v>9</v>
      </c>
      <c r="B15" s="97">
        <f>C15*B4</f>
        <v>0.83824757798552896</v>
      </c>
      <c r="C15" s="97">
        <f>1/(1-D4*B4*C14)</f>
        <v>1.7832601830522818</v>
      </c>
      <c r="D15" s="93">
        <f>C15*D4*C14</f>
        <v>1.6662818170784963</v>
      </c>
      <c r="E15" s="1">
        <f>D15*D4*C13</f>
        <v>1.5344042748480704</v>
      </c>
      <c r="F15" s="1">
        <f>E15*D4*C12</f>
        <v>1.3857298939062541</v>
      </c>
      <c r="G15" s="1">
        <f>F15*D4*C11</f>
        <v>1.2181193123425602</v>
      </c>
      <c r="H15" s="1">
        <f>G15*D4*C10</f>
        <v>1.0291606842712318</v>
      </c>
      <c r="I15" s="1">
        <f>H15*D4*C9</f>
        <v>0.81613497438172644</v>
      </c>
      <c r="J15" s="1">
        <f>I15*D4*C8</f>
        <v>0.57597683216237516</v>
      </c>
      <c r="K15" s="1">
        <f>J15*D4</f>
        <v>0.30523048279371801</v>
      </c>
      <c r="L15" s="1">
        <f>K15*D4</f>
        <v>0.16175242201447021</v>
      </c>
      <c r="M15" s="262"/>
      <c r="N15" s="97">
        <f>B15+L15</f>
        <v>0.99999999999999911</v>
      </c>
      <c r="R15" s="190">
        <f>B15-L15</f>
        <v>0.6764951559710588</v>
      </c>
      <c r="S15" s="93">
        <f>SUM(C15:K15)*$B$4*$F$4</f>
        <v>6.5436312201060813</v>
      </c>
      <c r="T15" s="9">
        <f>SUM(C15:K15)*$D$4*$H$4</f>
        <v>-7.4335288988376655</v>
      </c>
      <c r="U15" s="266">
        <f t="shared" si="0"/>
        <v>-0.88989767873158421</v>
      </c>
      <c r="V15" s="93">
        <f>(U15+W15*L15)/B15</f>
        <v>0.67506800408365342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0.84577014889755175</v>
      </c>
      <c r="C16" s="145">
        <f>1/(1-D4*B4*C15)</f>
        <v>1.7992634516973707</v>
      </c>
      <c r="D16" s="94">
        <f>C16*D4*C15</f>
        <v>1.7003266416899294</v>
      </c>
      <c r="E16" s="111">
        <f>D16*D4*C14</f>
        <v>1.5887885531614587</v>
      </c>
      <c r="F16" s="111">
        <f>E16*D4*C13</f>
        <v>1.4630441998550474</v>
      </c>
      <c r="G16" s="111">
        <f>F16*D4*C12</f>
        <v>1.3212841733291165</v>
      </c>
      <c r="H16" s="111">
        <f>G16*D4*C11</f>
        <v>1.1614686063297517</v>
      </c>
      <c r="I16" s="111">
        <f>H16*D4*C10</f>
        <v>0.98129781995749821</v>
      </c>
      <c r="J16" s="111">
        <f>I16*D4*C9</f>
        <v>0.77817923225367791</v>
      </c>
      <c r="K16" s="111">
        <f>J16*D4*C8</f>
        <v>0.54919005203467997</v>
      </c>
      <c r="L16" s="111">
        <f>K16*D4</f>
        <v>0.29103522115416541</v>
      </c>
      <c r="M16" s="264">
        <f>L16*D4</f>
        <v>0.1542298511024473</v>
      </c>
      <c r="N16" s="145">
        <f>B16+M16</f>
        <v>0.99999999999999911</v>
      </c>
      <c r="R16" s="191">
        <f>B16-M16</f>
        <v>0.6915402977951044</v>
      </c>
      <c r="S16" s="94">
        <f>SUM(C16:L16)*$B$4*$F$4</f>
        <v>7.3808031934926452</v>
      </c>
      <c r="T16" s="10">
        <f>SUM(C16:L16)*$D$4*$H$4</f>
        <v>-8.3845516334845431</v>
      </c>
      <c r="U16" s="267">
        <f t="shared" si="0"/>
        <v>-1.0037484399918979</v>
      </c>
      <c r="V16" s="94">
        <f>(U16+W16*M16)/B16</f>
        <v>0.63675700985021388</v>
      </c>
      <c r="W16" s="10">
        <f t="shared" si="1"/>
        <v>10</v>
      </c>
    </row>
    <row r="18" spans="1:21" x14ac:dyDescent="0.2">
      <c r="A18" s="356" t="s">
        <v>200</v>
      </c>
      <c r="B18" s="356"/>
      <c r="C18" s="356"/>
      <c r="D18" s="356"/>
      <c r="E18" s="356"/>
      <c r="F18" s="356"/>
      <c r="O18" s="356" t="s">
        <v>201</v>
      </c>
      <c r="P18" s="356"/>
      <c r="Q18" s="356"/>
      <c r="R18" s="356"/>
      <c r="S18" s="356"/>
      <c r="T18" s="356"/>
    </row>
    <row r="19" spans="1:21" ht="17" thickBot="1" x14ac:dyDescent="0.25"/>
    <row r="20" spans="1:21" ht="17" thickBot="1" x14ac:dyDescent="0.25">
      <c r="A20" s="29" t="s">
        <v>135</v>
      </c>
      <c r="B20" s="19" t="s">
        <v>140</v>
      </c>
      <c r="C20" s="19" t="s">
        <v>139</v>
      </c>
      <c r="D20" s="19" t="s">
        <v>138</v>
      </c>
      <c r="E20" s="166" t="s">
        <v>151</v>
      </c>
      <c r="F20" s="168" t="s">
        <v>152</v>
      </c>
      <c r="G20" s="166" t="s">
        <v>47</v>
      </c>
      <c r="O20" s="29" t="s">
        <v>135</v>
      </c>
      <c r="P20" s="118" t="s">
        <v>140</v>
      </c>
      <c r="Q20" s="118" t="s">
        <v>139</v>
      </c>
      <c r="R20" s="118" t="s">
        <v>138</v>
      </c>
      <c r="S20" s="166" t="s">
        <v>151</v>
      </c>
      <c r="T20" s="168" t="s">
        <v>152</v>
      </c>
      <c r="U20" s="293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2</v>
      </c>
      <c r="D21" s="57">
        <f>SUM($C$21:C21)</f>
        <v>2</v>
      </c>
      <c r="E21" s="281">
        <f t="shared" ref="E21:E30" si="3">D21/R7</f>
        <v>-33.405324417622822</v>
      </c>
      <c r="F21" s="8">
        <f t="shared" ref="F21:F30" si="4">U7/E21</f>
        <v>2.5827637728017454E-3</v>
      </c>
      <c r="G21" s="286">
        <f>E21*U7</f>
        <v>2.8821466420314703</v>
      </c>
      <c r="O21" s="101">
        <v>1</v>
      </c>
      <c r="P21" s="109">
        <v>1</v>
      </c>
      <c r="Q21" s="110">
        <f>P21*2+1</f>
        <v>3</v>
      </c>
      <c r="R21" s="57">
        <f>SUM($Q$21)</f>
        <v>3</v>
      </c>
      <c r="S21" s="281">
        <f>R21/R7</f>
        <v>-50.107986626434226</v>
      </c>
      <c r="T21" s="8">
        <f>U7/S21</f>
        <v>1.721842515201164E-3</v>
      </c>
      <c r="U21" s="286">
        <f>S21*U7</f>
        <v>4.3232199630472046</v>
      </c>
    </row>
    <row r="22" spans="1:21" x14ac:dyDescent="0.2">
      <c r="A22" s="97">
        <v>2</v>
      </c>
      <c r="B22" s="93">
        <f>C21</f>
        <v>2</v>
      </c>
      <c r="C22" s="1">
        <f t="shared" si="2"/>
        <v>4</v>
      </c>
      <c r="D22" s="9">
        <f>SUM($C$21:C22)</f>
        <v>6</v>
      </c>
      <c r="E22" s="282">
        <f t="shared" si="3"/>
        <v>23.808598252139973</v>
      </c>
      <c r="F22" s="9">
        <f t="shared" si="4"/>
        <v>-7.3834573179373609E-3</v>
      </c>
      <c r="G22" s="287">
        <f t="shared" ref="G22:G30" si="5">E22*U8</f>
        <v>-4.1853079868287688</v>
      </c>
      <c r="O22" s="99">
        <v>2</v>
      </c>
      <c r="P22" s="93">
        <f>Q21</f>
        <v>3</v>
      </c>
      <c r="Q22" s="1">
        <f>P22*2+1</f>
        <v>7</v>
      </c>
      <c r="R22" s="9">
        <f>SUM($Q$21:Q22)</f>
        <v>10</v>
      </c>
      <c r="S22" s="282">
        <f>R22/R8</f>
        <v>39.68099708689995</v>
      </c>
      <c r="T22" s="9">
        <f>U8/S22</f>
        <v>-4.4300743907624172E-3</v>
      </c>
      <c r="U22" s="287">
        <f t="shared" ref="U22:U30" si="6">S22*U8</f>
        <v>-6.9755133113812811</v>
      </c>
    </row>
    <row r="23" spans="1:21" x14ac:dyDescent="0.2">
      <c r="A23" s="97">
        <v>3</v>
      </c>
      <c r="B23" s="93">
        <f t="shared" ref="B23:B30" si="7">C22</f>
        <v>4</v>
      </c>
      <c r="C23" s="1">
        <f t="shared" si="2"/>
        <v>8</v>
      </c>
      <c r="D23" s="9">
        <f>SUM($C$21:C23)</f>
        <v>14</v>
      </c>
      <c r="E23" s="282">
        <f t="shared" si="3"/>
        <v>34.411892191115719</v>
      </c>
      <c r="F23" s="9">
        <f t="shared" si="4"/>
        <v>-7.8028845700238558E-3</v>
      </c>
      <c r="G23" s="287">
        <f t="shared" si="5"/>
        <v>-9.2400067738459821</v>
      </c>
      <c r="O23" s="99">
        <v>3</v>
      </c>
      <c r="P23" s="93">
        <f t="shared" ref="P23:P30" si="8">Q22</f>
        <v>7</v>
      </c>
      <c r="Q23" s="1">
        <f>P23*2+1</f>
        <v>15</v>
      </c>
      <c r="R23" s="9">
        <f>SUM($Q$21:Q23)</f>
        <v>25</v>
      </c>
      <c r="S23" s="282">
        <f t="shared" ref="S23:S30" si="9">R23/R9</f>
        <v>61.449807484135221</v>
      </c>
      <c r="T23" s="9">
        <f t="shared" ref="T23:T30" si="10">U9/S23</f>
        <v>-4.3696153592133581E-3</v>
      </c>
      <c r="U23" s="287">
        <f t="shared" si="6"/>
        <v>-16.500012096153544</v>
      </c>
    </row>
    <row r="24" spans="1:21" x14ac:dyDescent="0.2">
      <c r="A24" s="97">
        <v>4</v>
      </c>
      <c r="B24" s="93">
        <f t="shared" si="7"/>
        <v>8</v>
      </c>
      <c r="C24" s="1">
        <f t="shared" si="2"/>
        <v>16</v>
      </c>
      <c r="D24" s="9">
        <f>SUM($C$21:C24)</f>
        <v>30</v>
      </c>
      <c r="E24" s="282">
        <f t="shared" si="3"/>
        <v>60.13836486476054</v>
      </c>
      <c r="F24" s="9">
        <f t="shared" si="4"/>
        <v>-6.0595730106802071E-3</v>
      </c>
      <c r="G24" s="287">
        <f t="shared" si="5"/>
        <v>-21.915190687994581</v>
      </c>
      <c r="O24" s="99">
        <v>4</v>
      </c>
      <c r="P24" s="93">
        <f t="shared" si="8"/>
        <v>15</v>
      </c>
      <c r="Q24" s="1">
        <f t="shared" ref="Q24:Q30" si="11">P24*2+1</f>
        <v>31</v>
      </c>
      <c r="R24" s="9">
        <f>SUM($Q$21:Q24)</f>
        <v>56</v>
      </c>
      <c r="S24" s="282">
        <f t="shared" si="9"/>
        <v>112.25828108088633</v>
      </c>
      <c r="T24" s="9">
        <f t="shared" si="10"/>
        <v>-3.2461998271501114E-3</v>
      </c>
      <c r="U24" s="287">
        <f t="shared" si="6"/>
        <v>-40.908355950923216</v>
      </c>
    </row>
    <row r="25" spans="1:21" x14ac:dyDescent="0.2">
      <c r="A25" s="97">
        <v>5</v>
      </c>
      <c r="B25" s="93">
        <f t="shared" si="7"/>
        <v>16</v>
      </c>
      <c r="C25" s="1">
        <f t="shared" si="2"/>
        <v>32</v>
      </c>
      <c r="D25" s="9">
        <f>SUM($C$21:C25)</f>
        <v>62</v>
      </c>
      <c r="E25" s="282">
        <f t="shared" si="3"/>
        <v>110.81993651995872</v>
      </c>
      <c r="F25" s="9">
        <f t="shared" si="4"/>
        <v>-4.1820231466167023E-3</v>
      </c>
      <c r="G25" s="287">
        <f t="shared" si="5"/>
        <v>-51.359670202212946</v>
      </c>
      <c r="O25" s="99">
        <v>5</v>
      </c>
      <c r="P25" s="93">
        <f t="shared" si="8"/>
        <v>31</v>
      </c>
      <c r="Q25" s="1">
        <f t="shared" si="11"/>
        <v>63</v>
      </c>
      <c r="R25" s="9">
        <f>SUM($Q$21:Q25)</f>
        <v>119</v>
      </c>
      <c r="S25" s="282">
        <f t="shared" si="9"/>
        <v>212.70278138508203</v>
      </c>
      <c r="T25" s="9">
        <f t="shared" si="10"/>
        <v>-2.1788692024389544E-3</v>
      </c>
      <c r="U25" s="287">
        <f t="shared" si="6"/>
        <v>-98.577431517150643</v>
      </c>
    </row>
    <row r="26" spans="1:21" x14ac:dyDescent="0.2">
      <c r="A26" s="97">
        <v>6</v>
      </c>
      <c r="B26" s="93">
        <f t="shared" si="7"/>
        <v>32</v>
      </c>
      <c r="C26" s="1">
        <f t="shared" si="2"/>
        <v>64</v>
      </c>
      <c r="D26" s="9">
        <f>SUM($C$21:C26)</f>
        <v>126</v>
      </c>
      <c r="E26" s="282">
        <f t="shared" si="3"/>
        <v>209.2497848007246</v>
      </c>
      <c r="F26" s="9">
        <f t="shared" si="4"/>
        <v>-2.7028912696569164E-3</v>
      </c>
      <c r="G26" s="287">
        <f t="shared" si="5"/>
        <v>-118.34737119358087</v>
      </c>
      <c r="O26" s="99">
        <v>6</v>
      </c>
      <c r="P26" s="93">
        <f t="shared" si="8"/>
        <v>63</v>
      </c>
      <c r="Q26" s="1">
        <f t="shared" si="11"/>
        <v>127</v>
      </c>
      <c r="R26" s="9">
        <f>SUM($Q$21:Q26)</f>
        <v>246</v>
      </c>
      <c r="S26" s="282">
        <f t="shared" si="9"/>
        <v>408.53529413474803</v>
      </c>
      <c r="T26" s="9">
        <f t="shared" si="10"/>
        <v>-1.3844077234828108E-3</v>
      </c>
      <c r="U26" s="287">
        <f t="shared" si="6"/>
        <v>-231.05915328270549</v>
      </c>
    </row>
    <row r="27" spans="1:21" x14ac:dyDescent="0.2">
      <c r="A27" s="97">
        <v>7</v>
      </c>
      <c r="B27" s="93">
        <f t="shared" si="7"/>
        <v>64</v>
      </c>
      <c r="C27" s="1">
        <f t="shared" si="2"/>
        <v>128</v>
      </c>
      <c r="D27" s="9">
        <f>SUM($C$21:C27)</f>
        <v>254</v>
      </c>
      <c r="E27" s="282">
        <f t="shared" si="3"/>
        <v>400.85927545400642</v>
      </c>
      <c r="F27" s="9">
        <f t="shared" si="4"/>
        <v>-1.6732553911211858E-3</v>
      </c>
      <c r="G27" s="287">
        <f t="shared" si="5"/>
        <v>-268.87232786341201</v>
      </c>
      <c r="O27" s="99">
        <v>7</v>
      </c>
      <c r="P27" s="93">
        <f t="shared" si="8"/>
        <v>127</v>
      </c>
      <c r="Q27" s="1">
        <f t="shared" si="11"/>
        <v>255</v>
      </c>
      <c r="R27" s="9">
        <f>SUM($Q$21:Q27)</f>
        <v>501</v>
      </c>
      <c r="S27" s="282">
        <f t="shared" si="9"/>
        <v>790.67124804117009</v>
      </c>
      <c r="T27" s="9">
        <f t="shared" si="10"/>
        <v>-8.4831710448060116E-4</v>
      </c>
      <c r="U27" s="287">
        <f t="shared" si="6"/>
        <v>-530.33478842350166</v>
      </c>
    </row>
    <row r="28" spans="1:21" x14ac:dyDescent="0.2">
      <c r="A28" s="97">
        <v>8</v>
      </c>
      <c r="B28" s="93">
        <f t="shared" si="7"/>
        <v>128</v>
      </c>
      <c r="C28" s="1">
        <f t="shared" si="2"/>
        <v>256</v>
      </c>
      <c r="D28" s="9">
        <f>SUM($C$21:C28)</f>
        <v>510</v>
      </c>
      <c r="E28" s="282">
        <f t="shared" si="3"/>
        <v>775.4632504978847</v>
      </c>
      <c r="F28" s="9">
        <f t="shared" si="4"/>
        <v>-1.004392468703651E-3</v>
      </c>
      <c r="G28" s="287">
        <f t="shared" si="5"/>
        <v>-603.98463429114031</v>
      </c>
      <c r="O28" s="99">
        <v>8</v>
      </c>
      <c r="P28" s="93">
        <f t="shared" si="8"/>
        <v>255</v>
      </c>
      <c r="Q28" s="1">
        <f t="shared" si="11"/>
        <v>511</v>
      </c>
      <c r="R28" s="9">
        <f>SUM($Q$21:Q28)</f>
        <v>1012</v>
      </c>
      <c r="S28" s="282">
        <f t="shared" si="9"/>
        <v>1538.7623715761947</v>
      </c>
      <c r="T28" s="9">
        <f t="shared" si="10"/>
        <v>-5.0616616505816403E-4</v>
      </c>
      <c r="U28" s="287">
        <f t="shared" si="6"/>
        <v>-1198.4949998090863</v>
      </c>
    </row>
    <row r="29" spans="1:21" x14ac:dyDescent="0.2">
      <c r="A29" s="97">
        <v>9</v>
      </c>
      <c r="B29" s="93">
        <f t="shared" si="7"/>
        <v>256</v>
      </c>
      <c r="C29" s="1">
        <f t="shared" si="2"/>
        <v>512</v>
      </c>
      <c r="D29" s="9">
        <f>SUM($C$21:C29)</f>
        <v>1022</v>
      </c>
      <c r="E29" s="282">
        <f t="shared" si="3"/>
        <v>1510.7277428069599</v>
      </c>
      <c r="F29" s="9">
        <f t="shared" si="4"/>
        <v>-5.8905231797632708E-4</v>
      </c>
      <c r="G29" s="287">
        <f t="shared" si="5"/>
        <v>-1344.3931115193193</v>
      </c>
      <c r="O29" s="99">
        <v>9</v>
      </c>
      <c r="P29" s="93">
        <f t="shared" si="8"/>
        <v>511</v>
      </c>
      <c r="Q29" s="1">
        <f t="shared" si="11"/>
        <v>1023</v>
      </c>
      <c r="R29" s="9">
        <f>SUM($Q$21:Q29)</f>
        <v>2035</v>
      </c>
      <c r="S29" s="282">
        <f t="shared" si="9"/>
        <v>3008.1516209512365</v>
      </c>
      <c r="T29" s="9">
        <f t="shared" si="10"/>
        <v>-2.9582873168147727E-4</v>
      </c>
      <c r="U29" s="287">
        <f t="shared" si="6"/>
        <v>-2676.9471447571577</v>
      </c>
    </row>
    <row r="30" spans="1:21" ht="17" thickBot="1" x14ac:dyDescent="0.25">
      <c r="A30" s="145">
        <v>10</v>
      </c>
      <c r="B30" s="94">
        <f t="shared" si="7"/>
        <v>512</v>
      </c>
      <c r="C30" s="111">
        <f t="shared" si="2"/>
        <v>1024</v>
      </c>
      <c r="D30" s="10">
        <f>SUM($C$21:C30)</f>
        <v>2046</v>
      </c>
      <c r="E30" s="283">
        <f t="shared" si="3"/>
        <v>2958.6128335881976</v>
      </c>
      <c r="F30" s="10">
        <f t="shared" si="4"/>
        <v>-3.3926319408766794E-4</v>
      </c>
      <c r="G30" s="288">
        <f t="shared" si="5"/>
        <v>-2969.7030162541619</v>
      </c>
      <c r="O30" s="100">
        <v>10</v>
      </c>
      <c r="P30" s="94">
        <f t="shared" si="8"/>
        <v>1023</v>
      </c>
      <c r="Q30" s="111">
        <f t="shared" si="11"/>
        <v>2047</v>
      </c>
      <c r="R30" s="10">
        <f>SUM($Q$21:Q30)</f>
        <v>4082</v>
      </c>
      <c r="S30" s="283">
        <f t="shared" si="9"/>
        <v>5902.7651938939507</v>
      </c>
      <c r="T30" s="10">
        <f t="shared" si="10"/>
        <v>-1.7004715705619023E-4</v>
      </c>
      <c r="U30" s="288">
        <f t="shared" si="6"/>
        <v>-5924.8913550095258</v>
      </c>
    </row>
    <row r="31" spans="1:21" ht="17" thickBot="1" x14ac:dyDescent="0.25"/>
    <row r="32" spans="1:21" ht="17" thickBot="1" x14ac:dyDescent="0.25">
      <c r="A32" s="117" t="s">
        <v>135</v>
      </c>
      <c r="B32" s="118" t="s">
        <v>140</v>
      </c>
      <c r="C32" s="118" t="s">
        <v>139</v>
      </c>
      <c r="D32" s="170" t="s">
        <v>138</v>
      </c>
      <c r="E32" s="168" t="s">
        <v>151</v>
      </c>
      <c r="F32" s="168" t="s">
        <v>152</v>
      </c>
      <c r="G32" s="290" t="s">
        <v>47</v>
      </c>
      <c r="O32" s="29" t="s">
        <v>135</v>
      </c>
      <c r="P32" s="118" t="s">
        <v>140</v>
      </c>
      <c r="Q32" s="118" t="s">
        <v>139</v>
      </c>
      <c r="R32" s="118" t="s">
        <v>138</v>
      </c>
      <c r="S32" s="166" t="s">
        <v>151</v>
      </c>
      <c r="T32" s="168" t="s">
        <v>152</v>
      </c>
      <c r="U32" s="294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2</v>
      </c>
      <c r="D33" s="57">
        <f>SUM($C$33:C33)</f>
        <v>2</v>
      </c>
      <c r="E33" s="8">
        <f t="shared" ref="E33:E42" si="13">D33/R7</f>
        <v>-33.405324417622822</v>
      </c>
      <c r="F33" s="8">
        <f t="shared" ref="F33:F42" si="14">U7/E33</f>
        <v>2.5827637728017454E-3</v>
      </c>
      <c r="G33" s="289">
        <f>E33*U7</f>
        <v>2.8821466420314703</v>
      </c>
      <c r="O33" s="101">
        <v>1</v>
      </c>
      <c r="P33" s="109">
        <v>1</v>
      </c>
      <c r="Q33" s="110">
        <f>P33*2+1</f>
        <v>3</v>
      </c>
      <c r="R33" s="57">
        <f>SUM($Q$21)</f>
        <v>3</v>
      </c>
      <c r="S33" s="281">
        <f>R33/R7</f>
        <v>-50.107986626434226</v>
      </c>
      <c r="T33" s="8">
        <f>U7/S33</f>
        <v>1.721842515201164E-3</v>
      </c>
      <c r="U33" s="289">
        <f>S33*U7</f>
        <v>4.3232199630472046</v>
      </c>
    </row>
    <row r="34" spans="1:21" x14ac:dyDescent="0.2">
      <c r="A34" s="97">
        <v>2</v>
      </c>
      <c r="B34" s="93">
        <f t="shared" ref="B34:B42" si="15">B33*($O$2+1)</f>
        <v>3</v>
      </c>
      <c r="C34" s="1">
        <f t="shared" si="12"/>
        <v>6</v>
      </c>
      <c r="D34" s="9">
        <f>SUM($C$33:C34)</f>
        <v>8</v>
      </c>
      <c r="E34" s="9">
        <f t="shared" si="13"/>
        <v>31.744797669519961</v>
      </c>
      <c r="F34" s="9">
        <f t="shared" si="14"/>
        <v>-5.5375929884530209E-3</v>
      </c>
      <c r="G34" s="287">
        <f t="shared" ref="G34:G42" si="16">E34*U8</f>
        <v>-5.5804106491050254</v>
      </c>
      <c r="O34" s="99">
        <v>2</v>
      </c>
      <c r="P34" s="93">
        <f>Q33+1</f>
        <v>4</v>
      </c>
      <c r="Q34" s="1">
        <f>P34*2+1</f>
        <v>9</v>
      </c>
      <c r="R34" s="9">
        <f>SUM($Q$33:Q34)</f>
        <v>12</v>
      </c>
      <c r="S34" s="282">
        <f>R34/R8</f>
        <v>47.617196504279946</v>
      </c>
      <c r="T34" s="9">
        <f t="shared" ref="T34:T42" si="17">U8/S34</f>
        <v>-3.6917286589686804E-3</v>
      </c>
      <c r="U34" s="287">
        <f t="shared" ref="U34:U42" si="18">S34*U8</f>
        <v>-8.3706159736575376</v>
      </c>
    </row>
    <row r="35" spans="1:21" x14ac:dyDescent="0.2">
      <c r="A35" s="97">
        <v>3</v>
      </c>
      <c r="B35" s="93">
        <f t="shared" si="15"/>
        <v>9</v>
      </c>
      <c r="C35" s="1">
        <f t="shared" si="12"/>
        <v>18</v>
      </c>
      <c r="D35" s="9">
        <f>SUM($C$33:C35)</f>
        <v>26</v>
      </c>
      <c r="E35" s="9">
        <f t="shared" si="13"/>
        <v>63.907799783500629</v>
      </c>
      <c r="F35" s="9">
        <f t="shared" si="14"/>
        <v>-4.2015532300128449E-3</v>
      </c>
      <c r="G35" s="287">
        <f t="shared" si="16"/>
        <v>-17.160012579999684</v>
      </c>
      <c r="O35" s="99">
        <v>3</v>
      </c>
      <c r="P35" s="93">
        <f t="shared" ref="P35:P42" si="19">Q34+1</f>
        <v>10</v>
      </c>
      <c r="Q35" s="1">
        <f>P35*2+1</f>
        <v>21</v>
      </c>
      <c r="R35" s="9">
        <f>SUM($Q$33:Q35)</f>
        <v>33</v>
      </c>
      <c r="S35" s="282">
        <f t="shared" ref="S35:S42" si="20">R35/R9</f>
        <v>81.113745879058484</v>
      </c>
      <c r="T35" s="9">
        <f t="shared" si="17"/>
        <v>-3.3103146660707263E-3</v>
      </c>
      <c r="U35" s="287">
        <f t="shared" si="18"/>
        <v>-21.780015966922676</v>
      </c>
    </row>
    <row r="36" spans="1:21" x14ac:dyDescent="0.2">
      <c r="A36" s="97">
        <v>4</v>
      </c>
      <c r="B36" s="93">
        <f t="shared" si="15"/>
        <v>27</v>
      </c>
      <c r="C36" s="1">
        <f t="shared" si="12"/>
        <v>54</v>
      </c>
      <c r="D36" s="9">
        <f>SUM($C$33:C36)</f>
        <v>80</v>
      </c>
      <c r="E36" s="9">
        <f t="shared" si="13"/>
        <v>160.36897297269476</v>
      </c>
      <c r="F36" s="9">
        <f t="shared" si="14"/>
        <v>-2.2723398790050779E-3</v>
      </c>
      <c r="G36" s="287">
        <f t="shared" si="16"/>
        <v>-58.440508501318881</v>
      </c>
      <c r="O36" s="99">
        <v>4</v>
      </c>
      <c r="P36" s="93">
        <f t="shared" si="19"/>
        <v>22</v>
      </c>
      <c r="Q36" s="1">
        <f t="shared" ref="Q36:Q42" si="21">P36*2+1</f>
        <v>45</v>
      </c>
      <c r="R36" s="9">
        <f>SUM($Q$33:Q36)</f>
        <v>78</v>
      </c>
      <c r="S36" s="282">
        <f t="shared" si="20"/>
        <v>156.3597486483774</v>
      </c>
      <c r="T36" s="9">
        <f t="shared" si="17"/>
        <v>-2.3306050041077722E-3</v>
      </c>
      <c r="U36" s="287">
        <f t="shared" si="18"/>
        <v>-56.979495788785911</v>
      </c>
    </row>
    <row r="37" spans="1:21" x14ac:dyDescent="0.2">
      <c r="A37" s="97">
        <v>5</v>
      </c>
      <c r="B37" s="93">
        <f t="shared" si="15"/>
        <v>81</v>
      </c>
      <c r="C37" s="1">
        <f t="shared" si="12"/>
        <v>162</v>
      </c>
      <c r="D37" s="9">
        <f>SUM($C$33:C37)</f>
        <v>242</v>
      </c>
      <c r="E37" s="9">
        <f t="shared" si="13"/>
        <v>432.55523609403241</v>
      </c>
      <c r="F37" s="9">
        <f t="shared" si="14"/>
        <v>-1.0714274177282461E-3</v>
      </c>
      <c r="G37" s="287">
        <f t="shared" si="16"/>
        <v>-200.46839014412151</v>
      </c>
      <c r="O37" s="99">
        <v>5</v>
      </c>
      <c r="P37" s="93">
        <f t="shared" si="19"/>
        <v>46</v>
      </c>
      <c r="Q37" s="1">
        <f t="shared" si="21"/>
        <v>93</v>
      </c>
      <c r="R37" s="9">
        <f>SUM($Q$33:Q37)</f>
        <v>171</v>
      </c>
      <c r="S37" s="282">
        <f t="shared" si="20"/>
        <v>305.64853459536999</v>
      </c>
      <c r="T37" s="9">
        <f t="shared" si="17"/>
        <v>-1.5162890940949448E-3</v>
      </c>
      <c r="U37" s="287">
        <f t="shared" si="18"/>
        <v>-141.65328394481313</v>
      </c>
    </row>
    <row r="38" spans="1:21" x14ac:dyDescent="0.2">
      <c r="A38" s="97">
        <v>6</v>
      </c>
      <c r="B38" s="93">
        <f t="shared" si="15"/>
        <v>243</v>
      </c>
      <c r="C38" s="1">
        <f t="shared" si="12"/>
        <v>486</v>
      </c>
      <c r="D38" s="9">
        <f>SUM($C$33:C38)</f>
        <v>728</v>
      </c>
      <c r="E38" s="9">
        <f t="shared" si="13"/>
        <v>1208.9987566264087</v>
      </c>
      <c r="F38" s="9">
        <f t="shared" si="14"/>
        <v>-4.678081043636971E-4</v>
      </c>
      <c r="G38" s="287">
        <f t="shared" si="16"/>
        <v>-683.78481134068943</v>
      </c>
      <c r="O38" s="99">
        <v>6</v>
      </c>
      <c r="P38" s="93">
        <f t="shared" si="19"/>
        <v>94</v>
      </c>
      <c r="Q38" s="1">
        <f t="shared" si="21"/>
        <v>189</v>
      </c>
      <c r="R38" s="9">
        <f>SUM($Q$33:Q38)</f>
        <v>360</v>
      </c>
      <c r="S38" s="282">
        <f t="shared" si="20"/>
        <v>597.85652800207026</v>
      </c>
      <c r="T38" s="9">
        <f t="shared" si="17"/>
        <v>-9.460119443799208E-4</v>
      </c>
      <c r="U38" s="287">
        <f t="shared" si="18"/>
        <v>-338.1353462673739</v>
      </c>
    </row>
    <row r="39" spans="1:21" x14ac:dyDescent="0.2">
      <c r="A39" s="97">
        <v>7</v>
      </c>
      <c r="B39" s="93">
        <f t="shared" si="15"/>
        <v>729</v>
      </c>
      <c r="C39" s="1">
        <f t="shared" si="12"/>
        <v>1458</v>
      </c>
      <c r="D39" s="9">
        <f>SUM($C$33:C39)</f>
        <v>2186</v>
      </c>
      <c r="E39" s="9">
        <f t="shared" si="13"/>
        <v>3449.9148667025906</v>
      </c>
      <c r="F39" s="9">
        <f t="shared" si="14"/>
        <v>-1.9442217261883861E-4</v>
      </c>
      <c r="G39" s="287">
        <f t="shared" si="16"/>
        <v>-2313.9957035803886</v>
      </c>
      <c r="O39" s="99">
        <v>7</v>
      </c>
      <c r="P39" s="93">
        <f t="shared" si="19"/>
        <v>190</v>
      </c>
      <c r="Q39" s="1">
        <f t="shared" si="21"/>
        <v>381</v>
      </c>
      <c r="R39" s="9">
        <f>SUM($Q$33:Q39)</f>
        <v>741</v>
      </c>
      <c r="S39" s="282">
        <f t="shared" si="20"/>
        <v>1169.4359177614911</v>
      </c>
      <c r="T39" s="9">
        <f t="shared" si="17"/>
        <v>-5.7355852813060896E-4</v>
      </c>
      <c r="U39" s="287">
        <f t="shared" si="18"/>
        <v>-784.38738168026885</v>
      </c>
    </row>
    <row r="40" spans="1:21" x14ac:dyDescent="0.2">
      <c r="A40" s="97">
        <v>8</v>
      </c>
      <c r="B40" s="93">
        <f t="shared" si="15"/>
        <v>2187</v>
      </c>
      <c r="C40" s="1">
        <f t="shared" si="12"/>
        <v>4374</v>
      </c>
      <c r="D40" s="9">
        <f>SUM($C$33:C40)</f>
        <v>6560</v>
      </c>
      <c r="E40" s="9">
        <f t="shared" si="13"/>
        <v>9974.5861240512222</v>
      </c>
      <c r="F40" s="9">
        <f t="shared" si="14"/>
        <v>-7.8085390097387507E-5</v>
      </c>
      <c r="G40" s="287">
        <f t="shared" si="16"/>
        <v>-7768.9003940193734</v>
      </c>
      <c r="O40" s="99">
        <v>8</v>
      </c>
      <c r="P40" s="93">
        <f t="shared" si="19"/>
        <v>382</v>
      </c>
      <c r="Q40" s="1">
        <f t="shared" si="21"/>
        <v>765</v>
      </c>
      <c r="R40" s="9">
        <f>SUM($Q$33:Q40)</f>
        <v>1506</v>
      </c>
      <c r="S40" s="282">
        <f t="shared" si="20"/>
        <v>2289.8973632349298</v>
      </c>
      <c r="T40" s="9">
        <f t="shared" si="17"/>
        <v>-3.4013290772832809E-4</v>
      </c>
      <c r="U40" s="287">
        <f t="shared" si="18"/>
        <v>-1783.5310965538376</v>
      </c>
    </row>
    <row r="41" spans="1:21" x14ac:dyDescent="0.2">
      <c r="A41" s="97">
        <v>9</v>
      </c>
      <c r="B41" s="93">
        <f t="shared" si="15"/>
        <v>6561</v>
      </c>
      <c r="C41" s="1">
        <f t="shared" si="12"/>
        <v>13122</v>
      </c>
      <c r="D41" s="9">
        <f>SUM($C$33:C41)</f>
        <v>19682</v>
      </c>
      <c r="E41" s="9">
        <f t="shared" si="13"/>
        <v>29094.073810104292</v>
      </c>
      <c r="F41" s="9">
        <f t="shared" si="14"/>
        <v>-3.058690524193711E-5</v>
      </c>
      <c r="G41" s="287">
        <f t="shared" si="16"/>
        <v>-25890.748748457187</v>
      </c>
      <c r="O41" s="99">
        <v>9</v>
      </c>
      <c r="P41" s="93">
        <f t="shared" si="19"/>
        <v>766</v>
      </c>
      <c r="Q41" s="1">
        <f t="shared" si="21"/>
        <v>1533</v>
      </c>
      <c r="R41" s="9">
        <f>SUM($Q$33:Q41)</f>
        <v>3039</v>
      </c>
      <c r="S41" s="282">
        <f t="shared" si="20"/>
        <v>4492.2716344328292</v>
      </c>
      <c r="T41" s="9">
        <f t="shared" si="17"/>
        <v>-1.9809525138920903E-4</v>
      </c>
      <c r="U41" s="287">
        <f t="shared" si="18"/>
        <v>-3997.6620997135146</v>
      </c>
    </row>
    <row r="42" spans="1:21" ht="17" thickBot="1" x14ac:dyDescent="0.25">
      <c r="A42" s="145">
        <v>10</v>
      </c>
      <c r="B42" s="94">
        <f t="shared" si="15"/>
        <v>19683</v>
      </c>
      <c r="C42" s="111">
        <f t="shared" si="12"/>
        <v>39366</v>
      </c>
      <c r="D42" s="10">
        <f>SUM($C$33:C42)</f>
        <v>59048</v>
      </c>
      <c r="E42" s="9">
        <f t="shared" si="13"/>
        <v>85386.20263817982</v>
      </c>
      <c r="F42" s="10">
        <f t="shared" si="14"/>
        <v>-1.1755393833887152E-5</v>
      </c>
      <c r="G42" s="288">
        <f t="shared" si="16"/>
        <v>-85706.267694905066</v>
      </c>
      <c r="O42" s="100">
        <v>10</v>
      </c>
      <c r="P42" s="94">
        <f t="shared" si="19"/>
        <v>1534</v>
      </c>
      <c r="Q42" s="111">
        <f t="shared" si="21"/>
        <v>3069</v>
      </c>
      <c r="R42" s="10">
        <f>SUM($Q$33:Q42)</f>
        <v>6108</v>
      </c>
      <c r="S42" s="283">
        <f t="shared" si="20"/>
        <v>8832.4570809172601</v>
      </c>
      <c r="T42" s="10">
        <f t="shared" si="17"/>
        <v>-1.1364317208634062E-4</v>
      </c>
      <c r="U42" s="288">
        <f t="shared" si="18"/>
        <v>-8865.5650162660913</v>
      </c>
    </row>
    <row r="43" spans="1:21" ht="17" thickBot="1" x14ac:dyDescent="0.25">
      <c r="U43" s="285"/>
    </row>
    <row r="44" spans="1:21" ht="17" thickBot="1" x14ac:dyDescent="0.25">
      <c r="A44" s="117" t="s">
        <v>135</v>
      </c>
      <c r="B44" s="118" t="s">
        <v>140</v>
      </c>
      <c r="C44" s="118" t="s">
        <v>139</v>
      </c>
      <c r="D44" s="170" t="s">
        <v>138</v>
      </c>
      <c r="E44" s="166" t="s">
        <v>151</v>
      </c>
      <c r="F44" s="168" t="s">
        <v>152</v>
      </c>
      <c r="G44" s="290" t="s">
        <v>47</v>
      </c>
      <c r="O44" s="29" t="s">
        <v>135</v>
      </c>
      <c r="P44" s="118" t="s">
        <v>140</v>
      </c>
      <c r="Q44" s="118" t="s">
        <v>139</v>
      </c>
      <c r="R44" s="118" t="s">
        <v>138</v>
      </c>
      <c r="S44" s="166" t="s">
        <v>151</v>
      </c>
      <c r="T44" s="168" t="s">
        <v>152</v>
      </c>
      <c r="U44" s="294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2</v>
      </c>
      <c r="D45" s="57">
        <f>SUM(C45:C45)</f>
        <v>2</v>
      </c>
      <c r="E45" s="57">
        <f t="shared" ref="E45:E54" si="23">D45/R7</f>
        <v>-33.405324417622822</v>
      </c>
      <c r="F45" s="8">
        <f t="shared" ref="F45:F54" si="24">U7/E45</f>
        <v>2.5827637728017454E-3</v>
      </c>
      <c r="G45" s="286">
        <f>E45*U7</f>
        <v>2.8821466420314703</v>
      </c>
      <c r="O45" s="101">
        <v>1</v>
      </c>
      <c r="P45" s="109">
        <v>1</v>
      </c>
      <c r="Q45" s="110">
        <f>P45*2+1</f>
        <v>3</v>
      </c>
      <c r="R45" s="57">
        <f>SUM($Q$21)</f>
        <v>3</v>
      </c>
      <c r="S45" s="281">
        <f>R45/R7</f>
        <v>-50.107986626434226</v>
      </c>
      <c r="T45" s="8">
        <f>U7/S45</f>
        <v>1.721842515201164E-3</v>
      </c>
      <c r="U45" s="289">
        <f>S45*U7</f>
        <v>4.3232199630472046</v>
      </c>
    </row>
    <row r="46" spans="1:21" x14ac:dyDescent="0.2">
      <c r="A46" s="97">
        <v>2</v>
      </c>
      <c r="B46" s="93">
        <f t="shared" ref="B46:B54" si="25">B45*$O$2*2</f>
        <v>4</v>
      </c>
      <c r="C46" s="1">
        <f t="shared" si="22"/>
        <v>8</v>
      </c>
      <c r="D46" s="9">
        <f>SUM($C$45:C46)</f>
        <v>10</v>
      </c>
      <c r="E46" s="9">
        <f t="shared" si="23"/>
        <v>39.68099708689995</v>
      </c>
      <c r="F46" s="9">
        <f t="shared" si="24"/>
        <v>-4.4300743907624172E-3</v>
      </c>
      <c r="G46" s="287">
        <f t="shared" ref="G46:G54" si="26">E46*U8</f>
        <v>-6.9755133113812811</v>
      </c>
      <c r="O46" s="99">
        <v>2</v>
      </c>
      <c r="P46" s="93">
        <f>Q45*2</f>
        <v>6</v>
      </c>
      <c r="Q46" s="1">
        <f>P46*2+1</f>
        <v>13</v>
      </c>
      <c r="R46" s="9">
        <f>SUM($Q$45:Q46)</f>
        <v>16</v>
      </c>
      <c r="S46" s="282">
        <f t="shared" ref="S46:S54" si="27">R46/R8</f>
        <v>63.489595339039923</v>
      </c>
      <c r="T46" s="9">
        <f t="shared" ref="T46:T54" si="28">U8/S46</f>
        <v>-2.7687964942265104E-3</v>
      </c>
      <c r="U46" s="287">
        <f t="shared" ref="U46:U54" si="29">S46*U8</f>
        <v>-11.160821298210051</v>
      </c>
    </row>
    <row r="47" spans="1:21" x14ac:dyDescent="0.2">
      <c r="A47" s="97">
        <v>3</v>
      </c>
      <c r="B47" s="93">
        <f t="shared" si="25"/>
        <v>16</v>
      </c>
      <c r="C47" s="1">
        <f t="shared" si="22"/>
        <v>32</v>
      </c>
      <c r="D47" s="9">
        <f>SUM($C$45:C47)</f>
        <v>42</v>
      </c>
      <c r="E47" s="9">
        <f t="shared" si="23"/>
        <v>103.23567657334716</v>
      </c>
      <c r="F47" s="9">
        <f t="shared" si="24"/>
        <v>-2.600961523341285E-3</v>
      </c>
      <c r="G47" s="287">
        <f t="shared" si="26"/>
        <v>-27.720020321537948</v>
      </c>
      <c r="O47" s="99">
        <v>3</v>
      </c>
      <c r="P47" s="93">
        <f t="shared" ref="P47:P54" si="30">Q46*2</f>
        <v>26</v>
      </c>
      <c r="Q47" s="1">
        <f>P47*2+1</f>
        <v>53</v>
      </c>
      <c r="R47" s="9">
        <f>SUM($Q$45:Q47)</f>
        <v>69</v>
      </c>
      <c r="S47" s="282">
        <f t="shared" si="27"/>
        <v>169.6014686562132</v>
      </c>
      <c r="T47" s="9">
        <f t="shared" si="28"/>
        <v>-1.5831939707294778E-3</v>
      </c>
      <c r="U47" s="287">
        <f t="shared" si="29"/>
        <v>-45.540033385383772</v>
      </c>
    </row>
    <row r="48" spans="1:21" x14ac:dyDescent="0.2">
      <c r="A48" s="97">
        <v>4</v>
      </c>
      <c r="B48" s="93">
        <f t="shared" si="25"/>
        <v>64</v>
      </c>
      <c r="C48" s="1">
        <f t="shared" si="22"/>
        <v>128</v>
      </c>
      <c r="D48" s="9">
        <f>SUM($C$45:C48)</f>
        <v>170</v>
      </c>
      <c r="E48" s="9">
        <f t="shared" si="23"/>
        <v>340.78406756697638</v>
      </c>
      <c r="F48" s="9">
        <f t="shared" si="24"/>
        <v>-1.0693364136494484E-3</v>
      </c>
      <c r="G48" s="287">
        <f t="shared" si="26"/>
        <v>-124.18608056530262</v>
      </c>
      <c r="O48" s="99">
        <v>4</v>
      </c>
      <c r="P48" s="93">
        <f t="shared" si="30"/>
        <v>106</v>
      </c>
      <c r="Q48" s="1">
        <f t="shared" ref="Q48:Q54" si="31">P48*2+1</f>
        <v>213</v>
      </c>
      <c r="R48" s="9">
        <f>SUM($Q$45:Q48)</f>
        <v>282</v>
      </c>
      <c r="S48" s="282">
        <f t="shared" si="27"/>
        <v>565.30062972874907</v>
      </c>
      <c r="T48" s="9">
        <f t="shared" si="28"/>
        <v>-6.4463542666810716E-4</v>
      </c>
      <c r="U48" s="287">
        <f t="shared" si="29"/>
        <v>-206.00279246714908</v>
      </c>
    </row>
    <row r="49" spans="1:21" x14ac:dyDescent="0.2">
      <c r="A49" s="97">
        <v>5</v>
      </c>
      <c r="B49" s="93">
        <f t="shared" si="25"/>
        <v>256</v>
      </c>
      <c r="C49" s="1">
        <f t="shared" si="22"/>
        <v>512</v>
      </c>
      <c r="D49" s="9">
        <f>SUM($C$45:C49)</f>
        <v>682</v>
      </c>
      <c r="E49" s="9">
        <f t="shared" si="23"/>
        <v>1219.0193017195459</v>
      </c>
      <c r="F49" s="9">
        <f t="shared" si="24"/>
        <v>-3.8018392241970022E-4</v>
      </c>
      <c r="G49" s="287">
        <f t="shared" si="26"/>
        <v>-564.95637222434243</v>
      </c>
      <c r="O49" s="99">
        <v>5</v>
      </c>
      <c r="P49" s="93">
        <f t="shared" si="30"/>
        <v>426</v>
      </c>
      <c r="Q49" s="1">
        <f t="shared" si="31"/>
        <v>853</v>
      </c>
      <c r="R49" s="9">
        <f>SUM($Q$45:Q49)</f>
        <v>1135</v>
      </c>
      <c r="S49" s="282">
        <f t="shared" si="27"/>
        <v>2028.7198056476313</v>
      </c>
      <c r="T49" s="9">
        <f t="shared" si="28"/>
        <v>-2.2844531726011943E-4</v>
      </c>
      <c r="U49" s="287">
        <f t="shared" si="29"/>
        <v>-940.2133174114789</v>
      </c>
    </row>
    <row r="50" spans="1:21" x14ac:dyDescent="0.2">
      <c r="A50" s="97">
        <v>6</v>
      </c>
      <c r="B50" s="93">
        <f t="shared" si="25"/>
        <v>1024</v>
      </c>
      <c r="C50" s="1">
        <f t="shared" si="22"/>
        <v>2048</v>
      </c>
      <c r="D50" s="9">
        <f>SUM($C$45:C50)</f>
        <v>2730</v>
      </c>
      <c r="E50" s="9">
        <f t="shared" si="23"/>
        <v>4533.7453373490325</v>
      </c>
      <c r="F50" s="9">
        <f t="shared" si="24"/>
        <v>-1.2474882783031923E-4</v>
      </c>
      <c r="G50" s="287">
        <f t="shared" si="26"/>
        <v>-2564.193042527585</v>
      </c>
      <c r="O50" s="99">
        <v>6</v>
      </c>
      <c r="P50" s="93">
        <f t="shared" si="30"/>
        <v>1706</v>
      </c>
      <c r="Q50" s="1">
        <f t="shared" si="31"/>
        <v>3413</v>
      </c>
      <c r="R50" s="9">
        <f>SUM($Q$45:Q50)</f>
        <v>4548</v>
      </c>
      <c r="S50" s="282">
        <f t="shared" si="27"/>
        <v>7552.9208037594872</v>
      </c>
      <c r="T50" s="9">
        <f t="shared" si="28"/>
        <v>-7.488221195619426E-5</v>
      </c>
      <c r="U50" s="287">
        <f t="shared" si="29"/>
        <v>-4271.7765411778237</v>
      </c>
    </row>
    <row r="51" spans="1:21" x14ac:dyDescent="0.2">
      <c r="A51" s="97">
        <v>7</v>
      </c>
      <c r="B51" s="93">
        <f t="shared" si="25"/>
        <v>4096</v>
      </c>
      <c r="C51" s="1">
        <f t="shared" si="22"/>
        <v>8192</v>
      </c>
      <c r="D51" s="9">
        <f>SUM($C$45:C51)</f>
        <v>10922</v>
      </c>
      <c r="E51" s="9">
        <f t="shared" si="23"/>
        <v>17236.948844522274</v>
      </c>
      <c r="F51" s="9">
        <f t="shared" si="24"/>
        <v>-3.8912916072585718E-5</v>
      </c>
      <c r="G51" s="287">
        <f t="shared" si="26"/>
        <v>-11561.510098126717</v>
      </c>
      <c r="O51" s="99">
        <v>7</v>
      </c>
      <c r="P51" s="93">
        <f t="shared" si="30"/>
        <v>6826</v>
      </c>
      <c r="Q51" s="1">
        <f t="shared" si="31"/>
        <v>13653</v>
      </c>
      <c r="R51" s="9">
        <f>SUM($Q$45:Q51)</f>
        <v>18201</v>
      </c>
      <c r="S51" s="282">
        <f t="shared" si="27"/>
        <v>28724.565639914843</v>
      </c>
      <c r="T51" s="9">
        <f t="shared" si="28"/>
        <v>-2.3350742780329721E-5</v>
      </c>
      <c r="U51" s="287">
        <f t="shared" si="29"/>
        <v>-19266.713541110086</v>
      </c>
    </row>
    <row r="52" spans="1:21" x14ac:dyDescent="0.2">
      <c r="A52" s="97">
        <v>8</v>
      </c>
      <c r="B52" s="93">
        <f t="shared" si="25"/>
        <v>16384</v>
      </c>
      <c r="C52" s="1">
        <f t="shared" si="22"/>
        <v>32768</v>
      </c>
      <c r="D52" s="9">
        <f>SUM($C$45:C52)</f>
        <v>43690</v>
      </c>
      <c r="E52" s="9">
        <f t="shared" si="23"/>
        <v>66431.351792652116</v>
      </c>
      <c r="F52" s="9">
        <f t="shared" si="24"/>
        <v>-1.172442570471188E-5</v>
      </c>
      <c r="G52" s="287">
        <f t="shared" si="26"/>
        <v>-51741.350337607684</v>
      </c>
      <c r="O52" s="99">
        <v>8</v>
      </c>
      <c r="P52" s="93">
        <f t="shared" si="30"/>
        <v>27306</v>
      </c>
      <c r="Q52" s="1">
        <f t="shared" si="31"/>
        <v>54613</v>
      </c>
      <c r="R52" s="9">
        <f>SUM($Q$45:Q52)</f>
        <v>72814</v>
      </c>
      <c r="S52" s="282">
        <f t="shared" si="27"/>
        <v>110714.86494461367</v>
      </c>
      <c r="T52" s="9">
        <f t="shared" si="28"/>
        <v>-7.0349130529686886E-6</v>
      </c>
      <c r="U52" s="287">
        <f t="shared" si="29"/>
        <v>-86232.425806421743</v>
      </c>
    </row>
    <row r="53" spans="1:21" x14ac:dyDescent="0.2">
      <c r="A53" s="97">
        <v>9</v>
      </c>
      <c r="B53" s="93">
        <f t="shared" si="25"/>
        <v>65536</v>
      </c>
      <c r="C53" s="1">
        <f t="shared" si="22"/>
        <v>131072</v>
      </c>
      <c r="D53" s="9">
        <f>SUM($C$45:C53)</f>
        <v>174762</v>
      </c>
      <c r="E53" s="9">
        <f t="shared" si="23"/>
        <v>258334.44401999016</v>
      </c>
      <c r="F53" s="9">
        <f t="shared" si="24"/>
        <v>-3.4447503975223805E-6</v>
      </c>
      <c r="G53" s="287">
        <f t="shared" si="26"/>
        <v>-229891.22206980363</v>
      </c>
      <c r="O53" s="99">
        <v>9</v>
      </c>
      <c r="P53" s="93">
        <f t="shared" si="30"/>
        <v>109226</v>
      </c>
      <c r="Q53" s="1">
        <f t="shared" si="31"/>
        <v>218453</v>
      </c>
      <c r="R53" s="9">
        <f>SUM($Q$45:Q53)</f>
        <v>291267</v>
      </c>
      <c r="S53" s="282">
        <f t="shared" si="27"/>
        <v>430552.97207842936</v>
      </c>
      <c r="T53" s="9">
        <f t="shared" si="28"/>
        <v>-2.0668715267153722E-6</v>
      </c>
      <c r="U53" s="287">
        <f t="shared" si="29"/>
        <v>-383148.09042357886</v>
      </c>
    </row>
    <row r="54" spans="1:21" ht="17" thickBot="1" x14ac:dyDescent="0.25">
      <c r="A54" s="145">
        <v>10</v>
      </c>
      <c r="B54" s="94">
        <f t="shared" si="25"/>
        <v>262144</v>
      </c>
      <c r="C54" s="111">
        <f t="shared" si="22"/>
        <v>524288</v>
      </c>
      <c r="D54" s="10">
        <f>SUM($C$45:C54)</f>
        <v>699050</v>
      </c>
      <c r="E54" s="10">
        <f t="shared" si="23"/>
        <v>1010859.3848093009</v>
      </c>
      <c r="F54" s="10">
        <f t="shared" si="24"/>
        <v>-9.9296544611024756E-7</v>
      </c>
      <c r="G54" s="288">
        <f t="shared" si="26"/>
        <v>-1014648.5305535054</v>
      </c>
      <c r="O54" s="100">
        <v>10</v>
      </c>
      <c r="P54" s="94">
        <f t="shared" si="30"/>
        <v>436906</v>
      </c>
      <c r="Q54" s="111">
        <f t="shared" si="31"/>
        <v>873813</v>
      </c>
      <c r="R54" s="10">
        <f>SUM($Q$45:Q54)</f>
        <v>1165080</v>
      </c>
      <c r="S54" s="283">
        <f t="shared" si="27"/>
        <v>1684760.8211910741</v>
      </c>
      <c r="T54" s="10">
        <f t="shared" si="28"/>
        <v>-5.9578097221080827E-7</v>
      </c>
      <c r="U54" s="288">
        <f t="shared" si="29"/>
        <v>-1691076.0460300094</v>
      </c>
    </row>
  </sheetData>
  <mergeCells count="2">
    <mergeCell ref="A18:F18"/>
    <mergeCell ref="O18:T18"/>
  </mergeCells>
  <conditionalFormatting sqref="E21:E30">
    <cfRule type="cellIs" dxfId="713" priority="59" stopIfTrue="1" operator="lessThan">
      <formula>0</formula>
    </cfRule>
    <cfRule type="cellIs" dxfId="712" priority="60" operator="equal">
      <formula>MIN($E$21:$E$30)</formula>
    </cfRule>
  </conditionalFormatting>
  <conditionalFormatting sqref="E45:E54">
    <cfRule type="cellIs" dxfId="711" priority="55" stopIfTrue="1" operator="lessThan">
      <formula>0</formula>
    </cfRule>
    <cfRule type="cellIs" dxfId="710" priority="56" operator="equal">
      <formula>MIN($E$45:$E$54)</formula>
    </cfRule>
  </conditionalFormatting>
  <conditionalFormatting sqref="F45:F54">
    <cfRule type="cellIs" dxfId="709" priority="51" operator="equal">
      <formula>MAX($F$45:$F$54)</formula>
    </cfRule>
  </conditionalFormatting>
  <conditionalFormatting sqref="F21:F30">
    <cfRule type="cellIs" dxfId="708" priority="49" operator="equal">
      <formula>MAX($F$21:$F$30)</formula>
    </cfRule>
  </conditionalFormatting>
  <conditionalFormatting sqref="E33:E42">
    <cfRule type="cellIs" dxfId="707" priority="45" stopIfTrue="1" operator="lessThan">
      <formula>0</formula>
    </cfRule>
    <cfRule type="cellIs" dxfId="706" priority="46" operator="equal">
      <formula>MIN($E$33:$E$42)</formula>
    </cfRule>
  </conditionalFormatting>
  <conditionalFormatting sqref="F33:F42">
    <cfRule type="cellIs" dxfId="705" priority="31" operator="lessThanOrEqual">
      <formula>0</formula>
    </cfRule>
    <cfRule type="cellIs" dxfId="704" priority="32" operator="equal">
      <formula>MAX($F$33:$F$42)</formula>
    </cfRule>
  </conditionalFormatting>
  <conditionalFormatting sqref="S7:T16">
    <cfRule type="cellIs" dxfId="703" priority="17" operator="lessThanOrEqual">
      <formula>0</formula>
    </cfRule>
    <cfRule type="cellIs" dxfId="702" priority="18" operator="greaterThan">
      <formula>0</formula>
    </cfRule>
  </conditionalFormatting>
  <conditionalFormatting sqref="U7:U16">
    <cfRule type="cellIs" dxfId="701" priority="19" operator="lessThanOrEqual">
      <formula>0</formula>
    </cfRule>
    <cfRule type="cellIs" dxfId="700" priority="20" operator="greaterThan">
      <formula>0</formula>
    </cfRule>
  </conditionalFormatting>
  <conditionalFormatting sqref="R7:R16">
    <cfRule type="cellIs" dxfId="699" priority="21" operator="lessThanOrEqual">
      <formula>0</formula>
    </cfRule>
    <cfRule type="cellIs" dxfId="698" priority="22" operator="greaterThan">
      <formula>0</formula>
    </cfRule>
  </conditionalFormatting>
  <conditionalFormatting sqref="S21:S30">
    <cfRule type="cellIs" dxfId="697" priority="9" stopIfTrue="1" operator="lessThan">
      <formula>0</formula>
    </cfRule>
    <cfRule type="cellIs" dxfId="696" priority="10" operator="equal">
      <formula>MIN($E$21:$E$30)</formula>
    </cfRule>
  </conditionalFormatting>
  <conditionalFormatting sqref="S45:S54">
    <cfRule type="cellIs" dxfId="695" priority="2" stopIfTrue="1" operator="lessThan">
      <formula>0</formula>
    </cfRule>
    <cfRule type="cellIs" dxfId="694" priority="3" operator="equal">
      <formula>MIN($E$21:$E$30)</formula>
    </cfRule>
  </conditionalFormatting>
  <conditionalFormatting sqref="T21:T30">
    <cfRule type="cellIs" dxfId="693" priority="7" operator="equal">
      <formula>MAX($T$21:$T$30)</formula>
    </cfRule>
  </conditionalFormatting>
  <conditionalFormatting sqref="S33:S42">
    <cfRule type="cellIs" dxfId="692" priority="5" stopIfTrue="1" operator="lessThan">
      <formula>0</formula>
    </cfRule>
    <cfRule type="cellIs" dxfId="691" priority="6" operator="equal">
      <formula>MIN($E$21:$E$30)</formula>
    </cfRule>
  </conditionalFormatting>
  <conditionalFormatting sqref="T33:T42">
    <cfRule type="cellIs" dxfId="690" priority="4" operator="equal">
      <formula>MAX($T$21:$T$30)</formula>
    </cfRule>
  </conditionalFormatting>
  <conditionalFormatting sqref="T45:T54">
    <cfRule type="cellIs" dxfId="689" priority="1" operator="equal">
      <formula>MAX($T$21:$T$30)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pageSetUpPr fitToPage="1"/>
  </sheetPr>
  <dimension ref="A1:W54"/>
  <sheetViews>
    <sheetView workbookViewId="0">
      <selection activeCell="C7" sqref="C7:C16"/>
    </sheetView>
  </sheetViews>
  <sheetFormatPr baseColWidth="10" defaultColWidth="8.6640625" defaultRowHeight="16" x14ac:dyDescent="0.2"/>
  <cols>
    <col min="14" max="14" width="5.6640625" bestFit="1" customWidth="1"/>
  </cols>
  <sheetData>
    <row r="1" spans="1:23" x14ac:dyDescent="0.2">
      <c r="C1" t="s">
        <v>95</v>
      </c>
      <c r="D1">
        <f>C2+E2</f>
        <v>0.99999999999999989</v>
      </c>
    </row>
    <row r="2" spans="1:23" x14ac:dyDescent="0.2">
      <c r="A2" t="s">
        <v>40</v>
      </c>
      <c r="B2" s="149" t="s">
        <v>125</v>
      </c>
      <c r="C2" s="155">
        <f>Analysis!B10</f>
        <v>0.51659172513447404</v>
      </c>
      <c r="D2" s="149" t="s">
        <v>126</v>
      </c>
      <c r="E2" s="155">
        <f>Analysis!F10</f>
        <v>0.48340827486552584</v>
      </c>
      <c r="F2" s="149" t="s">
        <v>47</v>
      </c>
      <c r="G2" s="155">
        <f>Analysis!S10</f>
        <v>2.1364294176189458</v>
      </c>
      <c r="H2" t="s">
        <v>156</v>
      </c>
      <c r="I2" s="169">
        <f>Analysis!T10</f>
        <v>-2.1527791253493644</v>
      </c>
      <c r="J2" t="s">
        <v>48</v>
      </c>
      <c r="K2" s="169">
        <f>C2*G2+E2*I2</f>
        <v>6.2990515324159002E-2</v>
      </c>
      <c r="L2" t="s">
        <v>47</v>
      </c>
      <c r="M2" s="176">
        <v>1</v>
      </c>
      <c r="N2" t="s">
        <v>156</v>
      </c>
      <c r="O2" s="176">
        <v>3</v>
      </c>
    </row>
    <row r="4" spans="1:23" x14ac:dyDescent="0.2">
      <c r="A4" t="s">
        <v>123</v>
      </c>
      <c r="B4">
        <f>$C$2</f>
        <v>0.51659172513447404</v>
      </c>
      <c r="C4" t="s">
        <v>124</v>
      </c>
      <c r="D4">
        <f>$E$2</f>
        <v>0.48340827486552584</v>
      </c>
      <c r="E4" t="s">
        <v>47</v>
      </c>
      <c r="F4">
        <f>G2</f>
        <v>2.1364294176189458</v>
      </c>
      <c r="G4" t="s">
        <v>156</v>
      </c>
      <c r="H4">
        <f>I2</f>
        <v>-2.1527791253493644</v>
      </c>
      <c r="I4" t="s">
        <v>48</v>
      </c>
      <c r="J4">
        <f>K2</f>
        <v>6.2990515324159002E-2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60">
        <v>-10</v>
      </c>
      <c r="N6" s="104" t="s">
        <v>136</v>
      </c>
      <c r="R6" s="188" t="s">
        <v>49</v>
      </c>
      <c r="S6" s="164" t="s">
        <v>130</v>
      </c>
      <c r="T6" s="165" t="s">
        <v>137</v>
      </c>
      <c r="U6" s="184" t="s">
        <v>48</v>
      </c>
      <c r="V6" s="175" t="s">
        <v>47</v>
      </c>
      <c r="W6" s="168" t="s">
        <v>156</v>
      </c>
    </row>
    <row r="7" spans="1:23" x14ac:dyDescent="0.2">
      <c r="A7" s="101">
        <v>1</v>
      </c>
      <c r="B7" s="95">
        <f>C7*B4</f>
        <v>0.51659172513447404</v>
      </c>
      <c r="C7" s="95">
        <v>1</v>
      </c>
      <c r="D7" s="109">
        <f>C7*D4</f>
        <v>0.48340827486552584</v>
      </c>
      <c r="E7" s="110"/>
      <c r="F7" s="110"/>
      <c r="G7" s="110"/>
      <c r="H7" s="110"/>
      <c r="I7" s="110"/>
      <c r="J7" s="110"/>
      <c r="K7" s="110"/>
      <c r="L7" s="110"/>
      <c r="M7" s="263"/>
      <c r="N7" s="95">
        <f>B7+D7</f>
        <v>0.99999999999999989</v>
      </c>
      <c r="R7" s="189">
        <f>B7-D7</f>
        <v>3.31834502689482E-2</v>
      </c>
      <c r="S7" s="109">
        <f>SUM(C7)*$B$4*$F$4</f>
        <v>1.1036617584758108</v>
      </c>
      <c r="T7" s="57">
        <f>SUM(C7)*$D$4*$H$4</f>
        <v>-1.0406712431516518</v>
      </c>
      <c r="U7" s="265">
        <f>S7+T7</f>
        <v>6.2990515324159002E-2</v>
      </c>
      <c r="V7" s="109">
        <f>(U7+W7*D7)/B7</f>
        <v>1.0576994628542524</v>
      </c>
      <c r="W7" s="57">
        <f>COUNT(D7:M7)</f>
        <v>1</v>
      </c>
    </row>
    <row r="8" spans="1:23" x14ac:dyDescent="0.2">
      <c r="A8" s="99">
        <v>2</v>
      </c>
      <c r="B8" s="97">
        <f>C8*B4</f>
        <v>0.6885362415987738</v>
      </c>
      <c r="C8" s="97">
        <f>1/(1-B4*D4*C7)</f>
        <v>1.3328441167336562</v>
      </c>
      <c r="D8" s="93">
        <f>C8*D4</f>
        <v>0.6443078751348823</v>
      </c>
      <c r="E8" s="1">
        <f>D8*D4</f>
        <v>0.31146375840122609</v>
      </c>
      <c r="F8" s="1"/>
      <c r="G8" s="1"/>
      <c r="H8" s="1"/>
      <c r="I8" s="1"/>
      <c r="J8" s="1"/>
      <c r="K8" s="1"/>
      <c r="L8" s="1"/>
      <c r="M8" s="262"/>
      <c r="N8" s="97">
        <f>B8+E8</f>
        <v>0.99999999999999989</v>
      </c>
      <c r="R8" s="190">
        <f>B8-E8</f>
        <v>0.37707248319754771</v>
      </c>
      <c r="S8" s="93">
        <f>SUM(C8:D8)*$B$4*$F$4</f>
        <v>2.1821070441195833</v>
      </c>
      <c r="T8" s="9">
        <f>SUM(C8:D8)*$D$4*$H$4</f>
        <v>-2.0575652212775966</v>
      </c>
      <c r="U8" s="266">
        <f>S8+T8</f>
        <v>0.12454182284198678</v>
      </c>
      <c r="V8" s="93">
        <f>(U8+W8*E8)/B8</f>
        <v>1.0855918606532942</v>
      </c>
      <c r="W8" s="9">
        <f>COUNT(D8:M8)</f>
        <v>2</v>
      </c>
    </row>
    <row r="9" spans="1:23" x14ac:dyDescent="0.2">
      <c r="A9" s="99">
        <v>3</v>
      </c>
      <c r="B9" s="97">
        <f>C9*B4</f>
        <v>0.77431937286572483</v>
      </c>
      <c r="C9" s="97">
        <f>1/(1-D4*B4*C8)</f>
        <v>1.4989000698068899</v>
      </c>
      <c r="D9" s="93">
        <f>C9*D4*C8</f>
        <v>0.96575311901680394</v>
      </c>
      <c r="E9" s="1">
        <f>D9*(D4)</f>
        <v>0.46685304920991405</v>
      </c>
      <c r="F9" s="1">
        <f>E9*D4</f>
        <v>0.225680627134275</v>
      </c>
      <c r="G9" s="1"/>
      <c r="H9" s="1"/>
      <c r="I9" s="1"/>
      <c r="J9" s="1"/>
      <c r="K9" s="1"/>
      <c r="L9" s="1"/>
      <c r="M9" s="262"/>
      <c r="N9" s="97">
        <f>B9+F9</f>
        <v>0.99999999999999978</v>
      </c>
      <c r="R9" s="190">
        <f>B9-F9</f>
        <v>0.54863874573144988</v>
      </c>
      <c r="S9" s="93">
        <f>SUM(C9:E9)*$B$4*$F$4</f>
        <v>3.2353913296509806</v>
      </c>
      <c r="T9" s="9">
        <f>SUM(C9:E9)*$D$4*$H$4</f>
        <v>-3.050734241041257</v>
      </c>
      <c r="U9" s="266">
        <f t="shared" ref="U9:U16" si="0">S9+T9</f>
        <v>0.18465708860972363</v>
      </c>
      <c r="V9" s="93">
        <f>(U9+W9*F9)/B9</f>
        <v>1.1128469727206169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0.82563841559413198</v>
      </c>
      <c r="C10" s="97">
        <f>1/(1-D4*B4*C9)</f>
        <v>1.5982416585925954</v>
      </c>
      <c r="D10" s="93">
        <f>C10*D4*C9</f>
        <v>1.1580550548634261</v>
      </c>
      <c r="E10" s="1">
        <f>D10*D4*C8</f>
        <v>0.74614399168826362</v>
      </c>
      <c r="F10" s="1">
        <f>E10*D4</f>
        <v>0.36069217982330076</v>
      </c>
      <c r="G10" s="1">
        <f>F10*D4</f>
        <v>0.17436158440586785</v>
      </c>
      <c r="H10" s="1"/>
      <c r="I10" s="1"/>
      <c r="J10" s="1"/>
      <c r="K10" s="1"/>
      <c r="L10" s="1"/>
      <c r="M10" s="262"/>
      <c r="N10" s="97">
        <f>B10+G10</f>
        <v>0.99999999999999978</v>
      </c>
      <c r="R10" s="190">
        <f>B10-G10</f>
        <v>0.65127683118826418</v>
      </c>
      <c r="S10" s="93">
        <f>SUM(C10:F10)*$B$4*$F$4</f>
        <v>4.2635920330490586</v>
      </c>
      <c r="T10" s="9">
        <f>SUM(C10:F10)*$D$4*$H$4</f>
        <v>-4.0202513018592443</v>
      </c>
      <c r="U10" s="266">
        <f t="shared" si="0"/>
        <v>0.24334073118981436</v>
      </c>
      <c r="V10" s="93">
        <f>(U10+W10*G10)/B10</f>
        <v>1.1394662009958589</v>
      </c>
      <c r="W10" s="9">
        <f t="shared" si="1"/>
        <v>4</v>
      </c>
    </row>
    <row r="11" spans="1:23" x14ac:dyDescent="0.2">
      <c r="A11" s="99">
        <v>5</v>
      </c>
      <c r="B11" s="97">
        <f>C11*B4</f>
        <v>0.85972591076095572</v>
      </c>
      <c r="C11" s="97">
        <f>1/(1-D4*B4*C10)</f>
        <v>1.6642270267437218</v>
      </c>
      <c r="D11" s="93">
        <f>C11*D4*C10</f>
        <v>1.2857871979478896</v>
      </c>
      <c r="E11" s="1">
        <f>D11*D4*C9</f>
        <v>0.93165658400710949</v>
      </c>
      <c r="F11" s="1">
        <f>E11*D4*C8</f>
        <v>0.60027367399704368</v>
      </c>
      <c r="G11" s="1">
        <f>F11*D4</f>
        <v>0.29017726119410192</v>
      </c>
      <c r="H11" s="1">
        <f>G11*D4</f>
        <v>0.14027408923904391</v>
      </c>
      <c r="I11" s="1"/>
      <c r="J11" s="1"/>
      <c r="K11" s="1"/>
      <c r="L11" s="1"/>
      <c r="M11" s="262"/>
      <c r="N11" s="97">
        <f>B11+H11</f>
        <v>0.99999999999999967</v>
      </c>
      <c r="R11" s="190">
        <f>B11-H11</f>
        <v>0.71945182152191178</v>
      </c>
      <c r="S11" s="93">
        <f>SUM(C11:G11)*$B$4*$F$4</f>
        <v>5.2668082755221439</v>
      </c>
      <c r="T11" s="9">
        <f>SUM(C11:G11)*$D$4*$H$4</f>
        <v>-4.9662098676848965</v>
      </c>
      <c r="U11" s="266">
        <f t="shared" si="0"/>
        <v>0.30059840783724745</v>
      </c>
      <c r="V11" s="93">
        <f>(U11+W11*H11)/B11</f>
        <v>1.1654515020323282</v>
      </c>
      <c r="W11" s="9">
        <f t="shared" si="1"/>
        <v>5</v>
      </c>
    </row>
    <row r="12" spans="1:23" x14ac:dyDescent="0.2">
      <c r="A12" s="99">
        <v>6</v>
      </c>
      <c r="B12" s="97">
        <f>C12*B4</f>
        <v>0.88396732496555031</v>
      </c>
      <c r="C12" s="97">
        <f>1/(1-D4*B4*C11)</f>
        <v>1.7111526994270856</v>
      </c>
      <c r="D12" s="93">
        <f>C12*D4*C11</f>
        <v>1.3766242563060129</v>
      </c>
      <c r="E12" s="1">
        <f>D12*D4*C10</f>
        <v>1.0635843648123733</v>
      </c>
      <c r="F12" s="1">
        <f>E12*D4*C9</f>
        <v>0.77065270031147559</v>
      </c>
      <c r="G12" s="1">
        <f>F12*D4*C8</f>
        <v>0.49653760380464607</v>
      </c>
      <c r="H12" s="1">
        <f>G12*D4</f>
        <v>0.24003038646106592</v>
      </c>
      <c r="I12" s="1">
        <f>H12*D4</f>
        <v>0.11603267503444935</v>
      </c>
      <c r="J12" s="1"/>
      <c r="K12" s="1"/>
      <c r="L12" s="1"/>
      <c r="M12" s="262"/>
      <c r="N12" s="97">
        <f>B12+I12</f>
        <v>0.99999999999999967</v>
      </c>
      <c r="R12" s="190">
        <f>B12-I12</f>
        <v>0.76793464993110094</v>
      </c>
      <c r="S12" s="93">
        <f>SUM(C12:H12)*$B$4*$F$4</f>
        <v>6.2451605728752249</v>
      </c>
      <c r="T12" s="9">
        <f>SUM(C12:H12)*$D$4*$H$4</f>
        <v>-5.8887235759905927</v>
      </c>
      <c r="U12" s="266">
        <f t="shared" si="0"/>
        <v>0.35643699688463215</v>
      </c>
      <c r="V12" s="93">
        <f>(U12+W12*I12)/B12</f>
        <v>1.1908053808802845</v>
      </c>
      <c r="W12" s="9">
        <f t="shared" si="1"/>
        <v>6</v>
      </c>
    </row>
    <row r="13" spans="1:23" x14ac:dyDescent="0.2">
      <c r="A13" s="99">
        <v>7</v>
      </c>
      <c r="B13" s="97">
        <f>C13*B4</f>
        <v>0.90205547051246115</v>
      </c>
      <c r="C13" s="97">
        <f>1/(1-D4*B4*C12)</f>
        <v>1.7461670921609265</v>
      </c>
      <c r="D13" s="93">
        <f>C13*D4*C12</f>
        <v>1.4444038800015457</v>
      </c>
      <c r="E13" s="1">
        <f>D13*D4*C11</f>
        <v>1.1620245333910806</v>
      </c>
      <c r="F13" s="1">
        <f>E13*D4*C10</f>
        <v>0.89778392294172493</v>
      </c>
      <c r="G13" s="1">
        <f>F13*D4*C9</f>
        <v>0.65051690058768818</v>
      </c>
      <c r="H13" s="1">
        <f>G13*D4*C8</f>
        <v>0.41913316195698286</v>
      </c>
      <c r="I13" s="1">
        <f>H13*D4</f>
        <v>0.20261243876055812</v>
      </c>
      <c r="J13" s="1">
        <f>I13*D4</f>
        <v>9.7944529487538401E-2</v>
      </c>
      <c r="K13" s="1"/>
      <c r="L13" s="1"/>
      <c r="M13" s="262"/>
      <c r="N13" s="97">
        <f>B13+J13</f>
        <v>0.99999999999999956</v>
      </c>
      <c r="R13" s="190">
        <f>B13-J13</f>
        <v>0.80411094102492275</v>
      </c>
      <c r="S13" s="93">
        <f>SUM(C13:I13)*$B$4*$F$4</f>
        <v>7.1987904621516847</v>
      </c>
      <c r="T13" s="9">
        <f>SUM(C13:I13)*$D$4*$H$4</f>
        <v>-6.7879258857185834</v>
      </c>
      <c r="U13" s="266">
        <f t="shared" si="0"/>
        <v>0.41086457643310137</v>
      </c>
      <c r="V13" s="93">
        <f>(U13+W13*J13)/B13</f>
        <v>1.2155308832869867</v>
      </c>
      <c r="W13" s="9">
        <f t="shared" si="1"/>
        <v>7</v>
      </c>
    </row>
    <row r="14" spans="1:23" x14ac:dyDescent="0.2">
      <c r="A14" s="99">
        <v>8</v>
      </c>
      <c r="B14" s="97">
        <f>C14*B4</f>
        <v>0.91604197856366298</v>
      </c>
      <c r="C14" s="97">
        <f>1/(1-D4*B4*C13)</f>
        <v>1.7732416800234421</v>
      </c>
      <c r="D14" s="93">
        <f>C14*D4*C13</f>
        <v>1.4968139100992364</v>
      </c>
      <c r="E14" s="1">
        <f>D14*D4*C12</f>
        <v>1.2381425747246715</v>
      </c>
      <c r="F14" s="1">
        <f>E14*D4*C11</f>
        <v>0.9960870831117733</v>
      </c>
      <c r="G14" s="1">
        <f>F14*D4*C10</f>
        <v>0.76958011072103583</v>
      </c>
      <c r="H14" s="1">
        <f>G14*D4*C9</f>
        <v>0.55762289297830703</v>
      </c>
      <c r="I14" s="1">
        <f>H14*D4*C8</f>
        <v>0.35928082130141886</v>
      </c>
      <c r="J14" s="1">
        <f>I14*D4</f>
        <v>0.17367932201758815</v>
      </c>
      <c r="K14" s="1">
        <f>J14*D4</f>
        <v>8.3958021436336433E-2</v>
      </c>
      <c r="L14" s="1"/>
      <c r="M14" s="262"/>
      <c r="N14" s="97">
        <f>B14+K14</f>
        <v>0.99999999999999944</v>
      </c>
      <c r="R14" s="190">
        <f>B14-K14</f>
        <v>0.83208395712732652</v>
      </c>
      <c r="S14" s="93">
        <f>SUM(C14:J14)*$B$4*$F$4</f>
        <v>8.1278600658052014</v>
      </c>
      <c r="T14" s="9">
        <f>SUM(C14:J14)*$D$4*$H$4</f>
        <v>-7.6639696663273957</v>
      </c>
      <c r="U14" s="266">
        <f t="shared" si="0"/>
        <v>0.46389039947780564</v>
      </c>
      <c r="V14" s="93">
        <f>(U14+W14*K14)/B14</f>
        <v>1.2396315862609548</v>
      </c>
      <c r="W14" s="9">
        <f t="shared" si="1"/>
        <v>8</v>
      </c>
    </row>
    <row r="15" spans="1:23" x14ac:dyDescent="0.2">
      <c r="A15" s="99">
        <v>9</v>
      </c>
      <c r="B15" s="97">
        <f>C15*B4</f>
        <v>0.92715788821948408</v>
      </c>
      <c r="C15" s="97">
        <f>1/(1-D4*B4*C14)</f>
        <v>1.7947594649878209</v>
      </c>
      <c r="D15" s="93">
        <f>C15*D4*C14</f>
        <v>1.5384672775796726</v>
      </c>
      <c r="E15" s="1">
        <f>D15*D4*C13</f>
        <v>1.2986381085308767</v>
      </c>
      <c r="F15" s="1">
        <f>E15*D4*C12</f>
        <v>1.0742144500951327</v>
      </c>
      <c r="G15" s="1">
        <f>F15*D4*C11</f>
        <v>0.86420672390634745</v>
      </c>
      <c r="H15" s="1">
        <f>G15*D4*C10</f>
        <v>0.66768891751112158</v>
      </c>
      <c r="I15" s="1">
        <f>H15*D4*C9</f>
        <v>0.48379450119010048</v>
      </c>
      <c r="J15" s="1">
        <f>I15*D4*C8</f>
        <v>0.31171260706373394</v>
      </c>
      <c r="K15" s="1">
        <f>J15*D4</f>
        <v>0.15068445363451516</v>
      </c>
      <c r="L15" s="1">
        <f>K15*D4</f>
        <v>7.2842111780515292E-2</v>
      </c>
      <c r="M15" s="262"/>
      <c r="N15" s="97">
        <f>B15+L15</f>
        <v>0.99999999999999933</v>
      </c>
      <c r="R15" s="190">
        <f>B15-L15</f>
        <v>0.85431577643896883</v>
      </c>
      <c r="S15" s="93">
        <f>SUM(C15:K15)*$B$4*$F$4</f>
        <v>9.0325515960145513</v>
      </c>
      <c r="T15" s="9">
        <f>SUM(C15:K15)*$D$4*$H$4</f>
        <v>-8.5170267303974185</v>
      </c>
      <c r="U15" s="266">
        <f t="shared" si="0"/>
        <v>0.51552486561713273</v>
      </c>
      <c r="V15" s="93">
        <f>(U15+W15*L15)/B15</f>
        <v>1.2631115870574758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0.93618664139982843</v>
      </c>
      <c r="C16" s="145">
        <f>1/(1-D4*B4*C15)</f>
        <v>1.8122370062279445</v>
      </c>
      <c r="D16" s="94">
        <f>C16*D4*C15</f>
        <v>1.5722996840812944</v>
      </c>
      <c r="E16" s="111">
        <f>D16*D4*C14</f>
        <v>1.3477748197997903</v>
      </c>
      <c r="F16" s="111">
        <f>E16*D4*C13</f>
        <v>1.137672388758169</v>
      </c>
      <c r="G16" s="111">
        <f>F16*D4*C12</f>
        <v>0.94106596090947525</v>
      </c>
      <c r="H16" s="111">
        <f>G16*D4*C11</f>
        <v>0.75708861576506681</v>
      </c>
      <c r="I16" s="111">
        <f>H16*D4*C10</f>
        <v>0.5849291197773081</v>
      </c>
      <c r="J16" s="111">
        <f>I16*D4*C9</f>
        <v>0.42382834926942409</v>
      </c>
      <c r="K16" s="111">
        <f>J16*D4*C8</f>
        <v>0.2730759431397074</v>
      </c>
      <c r="L16" s="111">
        <f>K16*D4</f>
        <v>0.13200717058044237</v>
      </c>
      <c r="M16" s="264">
        <f>L16*D4</f>
        <v>6.3813358600170844E-2</v>
      </c>
      <c r="N16" s="145">
        <f>B16+M16</f>
        <v>0.99999999999999933</v>
      </c>
      <c r="R16" s="191">
        <f>B16-M16</f>
        <v>0.87237328279965753</v>
      </c>
      <c r="S16" s="94">
        <f>SUM(C16:L16)*$B$4*$F$4</f>
        <v>9.9130668020858028</v>
      </c>
      <c r="T16" s="10">
        <f>SUM(C16:L16)*$D$4*$H$4</f>
        <v>-9.3472873125721385</v>
      </c>
      <c r="U16" s="267">
        <f t="shared" si="0"/>
        <v>0.5657794895136643</v>
      </c>
      <c r="V16" s="94">
        <f>(U16+W16*M16)/B16</f>
        <v>1.2859754906513381</v>
      </c>
      <c r="W16" s="10">
        <f t="shared" si="1"/>
        <v>10</v>
      </c>
    </row>
    <row r="18" spans="1:21" x14ac:dyDescent="0.2">
      <c r="A18" s="356" t="s">
        <v>200</v>
      </c>
      <c r="B18" s="356"/>
      <c r="C18" s="356"/>
      <c r="D18" s="356"/>
      <c r="E18" s="356"/>
      <c r="F18" s="356"/>
      <c r="O18" s="356" t="s">
        <v>201</v>
      </c>
      <c r="P18" s="356"/>
      <c r="Q18" s="356"/>
      <c r="R18" s="356"/>
      <c r="S18" s="356"/>
      <c r="T18" s="356"/>
    </row>
    <row r="19" spans="1:21" ht="17" thickBot="1" x14ac:dyDescent="0.25"/>
    <row r="20" spans="1:21" ht="17" thickBot="1" x14ac:dyDescent="0.25">
      <c r="A20" s="29" t="s">
        <v>135</v>
      </c>
      <c r="B20" s="19" t="s">
        <v>140</v>
      </c>
      <c r="C20" s="19" t="s">
        <v>139</v>
      </c>
      <c r="D20" s="19" t="s">
        <v>138</v>
      </c>
      <c r="E20" s="166" t="s">
        <v>151</v>
      </c>
      <c r="F20" s="168" t="s">
        <v>152</v>
      </c>
      <c r="G20" s="166" t="s">
        <v>47</v>
      </c>
      <c r="O20" s="29" t="s">
        <v>135</v>
      </c>
      <c r="P20" s="118" t="s">
        <v>140</v>
      </c>
      <c r="Q20" s="118" t="s">
        <v>139</v>
      </c>
      <c r="R20" s="118" t="s">
        <v>138</v>
      </c>
      <c r="S20" s="166" t="s">
        <v>151</v>
      </c>
      <c r="T20" s="168" t="s">
        <v>152</v>
      </c>
      <c r="U20" s="293" t="s">
        <v>47</v>
      </c>
    </row>
    <row r="21" spans="1:21" x14ac:dyDescent="0.2">
      <c r="A21" s="95">
        <v>1</v>
      </c>
      <c r="B21" s="109">
        <v>1</v>
      </c>
      <c r="C21" s="110">
        <f>B21*$O$2</f>
        <v>3</v>
      </c>
      <c r="D21" s="57">
        <f>SUM($C$21:C21)</f>
        <v>3</v>
      </c>
      <c r="E21" s="57">
        <f t="shared" ref="E21:E30" si="2">D21/R7</f>
        <v>90.406512152453445</v>
      </c>
      <c r="F21" s="8">
        <f t="shared" ref="F21:F30" si="3">U7/E21</f>
        <v>6.9674754422488321E-4</v>
      </c>
      <c r="G21" s="286">
        <f>E21*U7</f>
        <v>5.6947527891428855</v>
      </c>
      <c r="O21" s="101">
        <v>1</v>
      </c>
      <c r="P21" s="109">
        <v>1</v>
      </c>
      <c r="Q21" s="110">
        <f>P21*3+3</f>
        <v>6</v>
      </c>
      <c r="R21" s="57">
        <f>SUM($Q$21)</f>
        <v>6</v>
      </c>
      <c r="S21" s="195">
        <f>R21/R7</f>
        <v>180.81302430490689</v>
      </c>
      <c r="T21" s="8">
        <f>U7/S21</f>
        <v>3.483737721124416E-4</v>
      </c>
      <c r="U21" s="286">
        <f>S21*U7</f>
        <v>11.389505578285771</v>
      </c>
    </row>
    <row r="22" spans="1:21" x14ac:dyDescent="0.2">
      <c r="A22" s="97">
        <v>2</v>
      </c>
      <c r="B22" s="93">
        <f>C21</f>
        <v>3</v>
      </c>
      <c r="C22" s="1">
        <f t="shared" ref="C22:C30" si="4">B22*$O$2</f>
        <v>9</v>
      </c>
      <c r="D22" s="9">
        <f>SUM($C$21:C22)</f>
        <v>12</v>
      </c>
      <c r="E22" s="9">
        <f t="shared" si="2"/>
        <v>31.82412012205414</v>
      </c>
      <c r="F22" s="9">
        <f t="shared" si="3"/>
        <v>3.9134412000814186E-3</v>
      </c>
      <c r="G22" s="287">
        <f t="shared" ref="G22:G30" si="5">E22*U8</f>
        <v>3.9634339303429735</v>
      </c>
      <c r="O22" s="99">
        <v>2</v>
      </c>
      <c r="P22" s="93">
        <f>Q21</f>
        <v>6</v>
      </c>
      <c r="Q22" s="1">
        <f>P22*3+3</f>
        <v>21</v>
      </c>
      <c r="R22" s="9">
        <f>SUM($Q$21:Q22)</f>
        <v>27</v>
      </c>
      <c r="S22" s="196">
        <f t="shared" ref="S22:S30" si="6">R22/R8</f>
        <v>71.604270274621811</v>
      </c>
      <c r="T22" s="9">
        <f>U8/S22</f>
        <v>1.7393072000361862E-3</v>
      </c>
      <c r="U22" s="287">
        <f t="shared" ref="U22:U30" si="7">S22*U8</f>
        <v>8.9177263432716902</v>
      </c>
    </row>
    <row r="23" spans="1:21" x14ac:dyDescent="0.2">
      <c r="A23" s="97">
        <v>3</v>
      </c>
      <c r="B23" s="93">
        <f t="shared" ref="B23:B30" si="8">C22</f>
        <v>9</v>
      </c>
      <c r="C23" s="1">
        <f t="shared" si="4"/>
        <v>27</v>
      </c>
      <c r="D23" s="9">
        <f>SUM($C$21:C23)</f>
        <v>39</v>
      </c>
      <c r="E23" s="9">
        <f t="shared" si="2"/>
        <v>71.085026902365172</v>
      </c>
      <c r="F23" s="9">
        <f t="shared" si="3"/>
        <v>2.597693166288717E-3</v>
      </c>
      <c r="G23" s="287">
        <f t="shared" si="5"/>
        <v>13.126354111534633</v>
      </c>
      <c r="O23" s="99">
        <v>3</v>
      </c>
      <c r="P23" s="93">
        <f t="shared" ref="P23:P30" si="9">Q22</f>
        <v>21</v>
      </c>
      <c r="Q23" s="1">
        <f t="shared" ref="Q23:Q30" si="10">P23*3+3</f>
        <v>66</v>
      </c>
      <c r="R23" s="9">
        <f>SUM($Q$21:Q23)</f>
        <v>93</v>
      </c>
      <c r="S23" s="196">
        <f t="shared" si="6"/>
        <v>169.51044876717847</v>
      </c>
      <c r="T23" s="9">
        <f t="shared" ref="T23:T30" si="11">U9/S23</f>
        <v>1.0893551987662363E-3</v>
      </c>
      <c r="U23" s="287">
        <f t="shared" si="7"/>
        <v>31.301305958274892</v>
      </c>
    </row>
    <row r="24" spans="1:21" x14ac:dyDescent="0.2">
      <c r="A24" s="97">
        <v>4</v>
      </c>
      <c r="B24" s="93">
        <f t="shared" si="8"/>
        <v>27</v>
      </c>
      <c r="C24" s="1">
        <f t="shared" si="4"/>
        <v>81</v>
      </c>
      <c r="D24" s="9">
        <f>SUM($C$21:C24)</f>
        <v>120</v>
      </c>
      <c r="E24" s="9">
        <f t="shared" si="2"/>
        <v>184.25344531458032</v>
      </c>
      <c r="F24" s="9">
        <f t="shared" si="3"/>
        <v>1.3206848359028126E-3</v>
      </c>
      <c r="G24" s="287">
        <f t="shared" si="5"/>
        <v>44.836368107092447</v>
      </c>
      <c r="O24" s="99">
        <v>4</v>
      </c>
      <c r="P24" s="93">
        <f t="shared" si="9"/>
        <v>66</v>
      </c>
      <c r="Q24" s="1">
        <f t="shared" si="10"/>
        <v>201</v>
      </c>
      <c r="R24" s="9">
        <f>SUM($Q$21:Q24)</f>
        <v>294</v>
      </c>
      <c r="S24" s="196">
        <f t="shared" si="6"/>
        <v>451.42094102072178</v>
      </c>
      <c r="T24" s="9">
        <f t="shared" si="11"/>
        <v>5.3905503506237247E-4</v>
      </c>
      <c r="U24" s="287">
        <f t="shared" si="7"/>
        <v>109.8491018623765</v>
      </c>
    </row>
    <row r="25" spans="1:21" x14ac:dyDescent="0.2">
      <c r="A25" s="97">
        <v>5</v>
      </c>
      <c r="B25" s="93">
        <f t="shared" si="8"/>
        <v>81</v>
      </c>
      <c r="C25" s="1">
        <f t="shared" si="4"/>
        <v>243</v>
      </c>
      <c r="D25" s="9">
        <f>SUM($C$21:C25)</f>
        <v>363</v>
      </c>
      <c r="E25" s="9">
        <f t="shared" si="2"/>
        <v>504.55081096621336</v>
      </c>
      <c r="F25" s="9">
        <f t="shared" si="3"/>
        <v>5.957743032096259E-4</v>
      </c>
      <c r="G25" s="287">
        <f t="shared" si="5"/>
        <v>151.66717044943576</v>
      </c>
      <c r="O25" s="99">
        <v>5</v>
      </c>
      <c r="P25" s="93">
        <f t="shared" si="9"/>
        <v>201</v>
      </c>
      <c r="Q25" s="1">
        <f t="shared" si="10"/>
        <v>606</v>
      </c>
      <c r="R25" s="9">
        <f>SUM($Q$21:Q25)</f>
        <v>900</v>
      </c>
      <c r="S25" s="9">
        <f t="shared" si="6"/>
        <v>1250.9524238831737</v>
      </c>
      <c r="T25" s="9">
        <f t="shared" si="11"/>
        <v>2.4029563562788246E-4</v>
      </c>
      <c r="U25" s="287">
        <f t="shared" si="7"/>
        <v>376.03430689942746</v>
      </c>
    </row>
    <row r="26" spans="1:21" x14ac:dyDescent="0.2">
      <c r="A26" s="97">
        <v>6</v>
      </c>
      <c r="B26" s="93">
        <f t="shared" si="8"/>
        <v>243</v>
      </c>
      <c r="C26" s="1">
        <f t="shared" si="4"/>
        <v>729</v>
      </c>
      <c r="D26" s="9">
        <f>SUM($C$21:C26)</f>
        <v>1092</v>
      </c>
      <c r="E26" s="9">
        <f t="shared" si="2"/>
        <v>1421.9959993965297</v>
      </c>
      <c r="F26" s="9">
        <f t="shared" si="3"/>
        <v>2.5065963408891291E-4</v>
      </c>
      <c r="G26" s="287">
        <f t="shared" si="5"/>
        <v>506.85198360686024</v>
      </c>
      <c r="O26" s="99">
        <v>6</v>
      </c>
      <c r="P26" s="93">
        <f t="shared" si="9"/>
        <v>606</v>
      </c>
      <c r="Q26" s="1">
        <f t="shared" si="10"/>
        <v>1821</v>
      </c>
      <c r="R26" s="9">
        <f>SUM($Q$21:Q26)</f>
        <v>2721</v>
      </c>
      <c r="S26" s="9">
        <f t="shared" si="6"/>
        <v>3543.2702512435503</v>
      </c>
      <c r="T26" s="9">
        <f t="shared" si="11"/>
        <v>1.0059548710955271E-4</v>
      </c>
      <c r="U26" s="287">
        <f t="shared" si="7"/>
        <v>1262.9526075039071</v>
      </c>
    </row>
    <row r="27" spans="1:21" x14ac:dyDescent="0.2">
      <c r="A27" s="97">
        <v>7</v>
      </c>
      <c r="B27" s="93">
        <f t="shared" si="8"/>
        <v>729</v>
      </c>
      <c r="C27" s="1">
        <f t="shared" si="4"/>
        <v>2187</v>
      </c>
      <c r="D27" s="9">
        <f>SUM($C$21:C27)</f>
        <v>3279</v>
      </c>
      <c r="E27" s="9">
        <f t="shared" si="2"/>
        <v>4077.7955288365738</v>
      </c>
      <c r="F27" s="9">
        <f t="shared" si="3"/>
        <v>1.007565419912862E-4</v>
      </c>
      <c r="G27" s="287">
        <f t="shared" si="5"/>
        <v>1675.4217327362335</v>
      </c>
      <c r="O27" s="99">
        <v>7</v>
      </c>
      <c r="P27" s="93">
        <f t="shared" si="9"/>
        <v>1821</v>
      </c>
      <c r="Q27" s="1">
        <f t="shared" si="10"/>
        <v>5466</v>
      </c>
      <c r="R27" s="9">
        <f>SUM($Q$21:Q27)</f>
        <v>8187</v>
      </c>
      <c r="S27" s="9">
        <f t="shared" si="6"/>
        <v>10181.430922410806</v>
      </c>
      <c r="T27" s="9">
        <f t="shared" si="11"/>
        <v>4.0354305751731699E-5</v>
      </c>
      <c r="U27" s="287">
        <f t="shared" si="7"/>
        <v>4183.1893034191962</v>
      </c>
    </row>
    <row r="28" spans="1:21" x14ac:dyDescent="0.2">
      <c r="A28" s="97">
        <v>8</v>
      </c>
      <c r="B28" s="93">
        <f t="shared" si="8"/>
        <v>2187</v>
      </c>
      <c r="C28" s="1">
        <f t="shared" si="4"/>
        <v>6561</v>
      </c>
      <c r="D28" s="9">
        <f>SUM($C$21:C28)</f>
        <v>9840</v>
      </c>
      <c r="E28" s="9">
        <f t="shared" si="2"/>
        <v>11825.729742430633</v>
      </c>
      <c r="F28" s="9">
        <f t="shared" si="3"/>
        <v>3.9227211308015121E-5</v>
      </c>
      <c r="G28" s="287">
        <f t="shared" si="5"/>
        <v>5485.8424943327136</v>
      </c>
      <c r="O28" s="99">
        <v>8</v>
      </c>
      <c r="P28" s="93">
        <f t="shared" si="9"/>
        <v>5466</v>
      </c>
      <c r="Q28" s="1">
        <f t="shared" si="10"/>
        <v>16401</v>
      </c>
      <c r="R28" s="9">
        <f>SUM($Q$21:Q28)</f>
        <v>24588</v>
      </c>
      <c r="S28" s="9">
        <f t="shared" si="6"/>
        <v>29549.902734439471</v>
      </c>
      <c r="T28" s="9">
        <f t="shared" si="11"/>
        <v>1.5698542348742018E-5</v>
      </c>
      <c r="U28" s="287">
        <f t="shared" si="7"/>
        <v>13707.916184009428</v>
      </c>
    </row>
    <row r="29" spans="1:21" x14ac:dyDescent="0.2">
      <c r="A29" s="97">
        <v>9</v>
      </c>
      <c r="B29" s="93">
        <f t="shared" si="8"/>
        <v>6561</v>
      </c>
      <c r="C29" s="1">
        <f t="shared" si="4"/>
        <v>19683</v>
      </c>
      <c r="D29" s="9">
        <f>SUM($C$21:C29)</f>
        <v>29523</v>
      </c>
      <c r="E29" s="9">
        <f t="shared" si="2"/>
        <v>34557.479580981475</v>
      </c>
      <c r="F29" s="9">
        <f t="shared" si="3"/>
        <v>1.4917895398275779E-5</v>
      </c>
      <c r="G29" s="287">
        <f t="shared" si="5"/>
        <v>17815.240017052281</v>
      </c>
      <c r="O29" s="99">
        <v>9</v>
      </c>
      <c r="P29" s="93">
        <f t="shared" si="9"/>
        <v>16401</v>
      </c>
      <c r="Q29" s="1">
        <f t="shared" si="10"/>
        <v>49206</v>
      </c>
      <c r="R29" s="9">
        <f>SUM($Q$21:Q29)</f>
        <v>73794</v>
      </c>
      <c r="S29" s="9">
        <f t="shared" si="6"/>
        <v>86377.896832942017</v>
      </c>
      <c r="T29" s="9">
        <f t="shared" si="11"/>
        <v>5.9682498013835242E-6</v>
      </c>
      <c r="U29" s="287">
        <f t="shared" si="7"/>
        <v>44529.953657092985</v>
      </c>
    </row>
    <row r="30" spans="1:21" ht="17" thickBot="1" x14ac:dyDescent="0.25">
      <c r="A30" s="145">
        <v>10</v>
      </c>
      <c r="B30" s="94">
        <f t="shared" si="8"/>
        <v>19683</v>
      </c>
      <c r="C30" s="111">
        <f t="shared" si="4"/>
        <v>59049</v>
      </c>
      <c r="D30" s="10">
        <f>SUM($C$21:C30)</f>
        <v>88572</v>
      </c>
      <c r="E30" s="10">
        <f t="shared" si="2"/>
        <v>101529.93190684493</v>
      </c>
      <c r="F30" s="9">
        <f t="shared" si="3"/>
        <v>5.5725388453207534E-6</v>
      </c>
      <c r="G30" s="288">
        <f t="shared" si="5"/>
        <v>57443.553044611821</v>
      </c>
      <c r="O30" s="100">
        <v>10</v>
      </c>
      <c r="P30" s="94">
        <f t="shared" si="9"/>
        <v>49206</v>
      </c>
      <c r="Q30" s="111">
        <f t="shared" si="10"/>
        <v>147621</v>
      </c>
      <c r="R30" s="10">
        <f>SUM($Q$21:Q30)</f>
        <v>221415</v>
      </c>
      <c r="S30" s="10">
        <f t="shared" si="6"/>
        <v>253807.63529280212</v>
      </c>
      <c r="T30" s="10">
        <f t="shared" si="11"/>
        <v>2.2291665452103503E-6</v>
      </c>
      <c r="U30" s="288">
        <f t="shared" si="7"/>
        <v>143599.15433063186</v>
      </c>
    </row>
    <row r="31" spans="1:21" ht="17" thickBot="1" x14ac:dyDescent="0.25"/>
    <row r="32" spans="1:21" ht="17" thickBot="1" x14ac:dyDescent="0.25">
      <c r="A32" s="117" t="s">
        <v>135</v>
      </c>
      <c r="B32" s="118" t="s">
        <v>140</v>
      </c>
      <c r="C32" s="118" t="s">
        <v>139</v>
      </c>
      <c r="D32" s="170" t="s">
        <v>138</v>
      </c>
      <c r="E32" s="166" t="s">
        <v>151</v>
      </c>
      <c r="F32" s="168" t="s">
        <v>152</v>
      </c>
      <c r="G32" s="290" t="s">
        <v>47</v>
      </c>
      <c r="O32" s="29" t="s">
        <v>135</v>
      </c>
      <c r="P32" s="118" t="s">
        <v>140</v>
      </c>
      <c r="Q32" s="118" t="s">
        <v>139</v>
      </c>
      <c r="R32" s="118" t="s">
        <v>138</v>
      </c>
      <c r="S32" s="166" t="s">
        <v>151</v>
      </c>
      <c r="T32" s="168" t="s">
        <v>152</v>
      </c>
      <c r="U32" s="294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3</v>
      </c>
      <c r="D33" s="57">
        <f>SUM($C$33:C33)</f>
        <v>3</v>
      </c>
      <c r="E33" s="8">
        <f t="shared" ref="E33:E42" si="13">D33/R7</f>
        <v>90.406512152453445</v>
      </c>
      <c r="F33" s="8">
        <f t="shared" ref="F33:F42" si="14">U7/E33</f>
        <v>6.9674754422488321E-4</v>
      </c>
      <c r="G33" s="289">
        <f>E33*U7</f>
        <v>5.6947527891428855</v>
      </c>
      <c r="O33" s="101">
        <v>1</v>
      </c>
      <c r="P33" s="109">
        <v>1</v>
      </c>
      <c r="Q33" s="110">
        <f>P33*3+3</f>
        <v>6</v>
      </c>
      <c r="R33" s="57">
        <f>SUM($Q$21)</f>
        <v>6</v>
      </c>
      <c r="S33" s="281">
        <f>R33/R7</f>
        <v>180.81302430490689</v>
      </c>
      <c r="T33" s="8">
        <f>U7/S33</f>
        <v>3.483737721124416E-4</v>
      </c>
      <c r="U33" s="289">
        <f>S33*U7</f>
        <v>11.389505578285771</v>
      </c>
    </row>
    <row r="34" spans="1:21" x14ac:dyDescent="0.2">
      <c r="A34" s="97">
        <v>2</v>
      </c>
      <c r="B34" s="93">
        <f t="shared" ref="B34:B42" si="15">B33*($O$2+1)</f>
        <v>4</v>
      </c>
      <c r="C34" s="1">
        <f t="shared" si="12"/>
        <v>12</v>
      </c>
      <c r="D34" s="9">
        <f>SUM($C$33:C34)</f>
        <v>15</v>
      </c>
      <c r="E34" s="9">
        <f t="shared" si="13"/>
        <v>39.780150152567678</v>
      </c>
      <c r="F34" s="9">
        <f t="shared" si="14"/>
        <v>3.1307529600651347E-3</v>
      </c>
      <c r="G34" s="287">
        <f t="shared" ref="G34:G42" si="16">E34*U8</f>
        <v>4.9542924129287176</v>
      </c>
      <c r="O34" s="99">
        <v>2</v>
      </c>
      <c r="P34" s="93">
        <f>Q33+1</f>
        <v>7</v>
      </c>
      <c r="Q34" s="1">
        <f t="shared" ref="Q34:Q42" si="17">P34*3+3</f>
        <v>24</v>
      </c>
      <c r="R34" s="9">
        <f>SUM($Q$33:Q34)</f>
        <v>30</v>
      </c>
      <c r="S34" s="282">
        <f>R34/R8</f>
        <v>79.560300305135357</v>
      </c>
      <c r="T34" s="9">
        <f t="shared" ref="T34:T42" si="18">U8/S34</f>
        <v>1.5653764800325673E-3</v>
      </c>
      <c r="U34" s="287">
        <f t="shared" ref="U34:U42" si="19">S34*U8</f>
        <v>9.9085848258574352</v>
      </c>
    </row>
    <row r="35" spans="1:21" x14ac:dyDescent="0.2">
      <c r="A35" s="97">
        <v>3</v>
      </c>
      <c r="B35" s="93">
        <f t="shared" si="15"/>
        <v>16</v>
      </c>
      <c r="C35" s="1">
        <f t="shared" si="12"/>
        <v>48</v>
      </c>
      <c r="D35" s="9">
        <f>SUM($C$33:C35)</f>
        <v>63</v>
      </c>
      <c r="E35" s="9">
        <f t="shared" si="13"/>
        <v>114.8296588422822</v>
      </c>
      <c r="F35" s="9">
        <f t="shared" si="14"/>
        <v>1.6080957696073012E-3</v>
      </c>
      <c r="G35" s="287">
        <f t="shared" si="16"/>
        <v>21.204110487863638</v>
      </c>
      <c r="O35" s="99">
        <v>3</v>
      </c>
      <c r="P35" s="93">
        <f t="shared" ref="P35:P42" si="20">Q34+1</f>
        <v>25</v>
      </c>
      <c r="Q35" s="1">
        <f t="shared" si="17"/>
        <v>78</v>
      </c>
      <c r="R35" s="9">
        <f>SUM($Q$33:Q35)</f>
        <v>108</v>
      </c>
      <c r="S35" s="282">
        <f t="shared" ref="S35:S42" si="21">R35/R9</f>
        <v>196.85084372962663</v>
      </c>
      <c r="T35" s="9">
        <f t="shared" si="18"/>
        <v>9.3805586560425898E-4</v>
      </c>
      <c r="U35" s="287">
        <f t="shared" si="19"/>
        <v>36.349903693480528</v>
      </c>
    </row>
    <row r="36" spans="1:21" x14ac:dyDescent="0.2">
      <c r="A36" s="97">
        <v>4</v>
      </c>
      <c r="B36" s="93">
        <f t="shared" si="15"/>
        <v>64</v>
      </c>
      <c r="C36" s="1">
        <f t="shared" si="12"/>
        <v>192</v>
      </c>
      <c r="D36" s="9">
        <f>SUM($C$33:C36)</f>
        <v>255</v>
      </c>
      <c r="E36" s="9">
        <f t="shared" si="13"/>
        <v>391.53857129348319</v>
      </c>
      <c r="F36" s="9">
        <f t="shared" si="14"/>
        <v>6.2149874630720587E-4</v>
      </c>
      <c r="G36" s="287">
        <f t="shared" si="16"/>
        <v>95.277282227571462</v>
      </c>
      <c r="O36" s="99">
        <v>4</v>
      </c>
      <c r="P36" s="93">
        <f t="shared" si="20"/>
        <v>79</v>
      </c>
      <c r="Q36" s="1">
        <f t="shared" si="17"/>
        <v>240</v>
      </c>
      <c r="R36" s="9">
        <f>SUM($Q$33:Q36)</f>
        <v>348</v>
      </c>
      <c r="S36" s="282">
        <f t="shared" si="21"/>
        <v>534.33499141228299</v>
      </c>
      <c r="T36" s="9">
        <f t="shared" si="18"/>
        <v>4.554085641044181E-4</v>
      </c>
      <c r="U36" s="287">
        <f t="shared" si="19"/>
        <v>130.02546751056812</v>
      </c>
    </row>
    <row r="37" spans="1:21" x14ac:dyDescent="0.2">
      <c r="A37" s="97">
        <v>5</v>
      </c>
      <c r="B37" s="93">
        <f t="shared" si="15"/>
        <v>256</v>
      </c>
      <c r="C37" s="1">
        <f t="shared" si="12"/>
        <v>768</v>
      </c>
      <c r="D37" s="9">
        <f>SUM($C$33:C37)</f>
        <v>1023</v>
      </c>
      <c r="E37" s="9">
        <f t="shared" si="13"/>
        <v>1421.9159218138741</v>
      </c>
      <c r="F37" s="9">
        <f t="shared" si="14"/>
        <v>2.1140378500986726E-4</v>
      </c>
      <c r="G37" s="287">
        <f t="shared" si="16"/>
        <v>427.42566217568259</v>
      </c>
      <c r="O37" s="99">
        <v>5</v>
      </c>
      <c r="P37" s="93">
        <f t="shared" si="20"/>
        <v>241</v>
      </c>
      <c r="Q37" s="1">
        <f t="shared" si="17"/>
        <v>726</v>
      </c>
      <c r="R37" s="9">
        <f>SUM($Q$33:Q37)</f>
        <v>1074</v>
      </c>
      <c r="S37" s="282">
        <f t="shared" si="21"/>
        <v>1492.8032258339206</v>
      </c>
      <c r="T37" s="9">
        <f t="shared" si="18"/>
        <v>2.0136505778872832E-4</v>
      </c>
      <c r="U37" s="287">
        <f t="shared" si="19"/>
        <v>448.73427289998347</v>
      </c>
    </row>
    <row r="38" spans="1:21" x14ac:dyDescent="0.2">
      <c r="A38" s="97">
        <v>6</v>
      </c>
      <c r="B38" s="93">
        <f t="shared" si="15"/>
        <v>1024</v>
      </c>
      <c r="C38" s="1">
        <f t="shared" si="12"/>
        <v>3072</v>
      </c>
      <c r="D38" s="9">
        <f>SUM($C$33:C38)</f>
        <v>4095</v>
      </c>
      <c r="E38" s="9">
        <f t="shared" si="13"/>
        <v>5332.4849977369859</v>
      </c>
      <c r="F38" s="9">
        <f t="shared" si="14"/>
        <v>6.6842569090376787E-5</v>
      </c>
      <c r="G38" s="287">
        <f t="shared" si="16"/>
        <v>1900.6949385257258</v>
      </c>
      <c r="O38" s="99">
        <v>6</v>
      </c>
      <c r="P38" s="93">
        <f t="shared" si="20"/>
        <v>727</v>
      </c>
      <c r="Q38" s="1">
        <f t="shared" si="17"/>
        <v>2184</v>
      </c>
      <c r="R38" s="9">
        <f>SUM($Q$33:Q38)</f>
        <v>3258</v>
      </c>
      <c r="S38" s="282">
        <f t="shared" si="21"/>
        <v>4242.5485036940418</v>
      </c>
      <c r="T38" s="9">
        <f t="shared" si="18"/>
        <v>8.4014831315252584E-5</v>
      </c>
      <c r="U38" s="287">
        <f t="shared" si="19"/>
        <v>1512.2012477940939</v>
      </c>
    </row>
    <row r="39" spans="1:21" x14ac:dyDescent="0.2">
      <c r="A39" s="97">
        <v>7</v>
      </c>
      <c r="B39" s="93">
        <f t="shared" si="15"/>
        <v>4096</v>
      </c>
      <c r="C39" s="1">
        <f t="shared" si="12"/>
        <v>12288</v>
      </c>
      <c r="D39" s="9">
        <f>SUM($C$33:C39)</f>
        <v>16383</v>
      </c>
      <c r="E39" s="9">
        <f t="shared" si="13"/>
        <v>20374.054330262152</v>
      </c>
      <c r="F39" s="9">
        <f t="shared" si="14"/>
        <v>2.0166068558226661E-5</v>
      </c>
      <c r="G39" s="287">
        <f t="shared" si="16"/>
        <v>8370.9772026281535</v>
      </c>
      <c r="O39" s="99">
        <v>7</v>
      </c>
      <c r="P39" s="93">
        <f t="shared" si="20"/>
        <v>2185</v>
      </c>
      <c r="Q39" s="1">
        <f t="shared" si="17"/>
        <v>6558</v>
      </c>
      <c r="R39" s="9">
        <f>SUM($Q$33:Q39)</f>
        <v>9816</v>
      </c>
      <c r="S39" s="282">
        <f t="shared" si="21"/>
        <v>12207.270787148464</v>
      </c>
      <c r="T39" s="9">
        <f t="shared" si="18"/>
        <v>3.3657365646844684E-5</v>
      </c>
      <c r="U39" s="287">
        <f t="shared" si="19"/>
        <v>5015.5351413659255</v>
      </c>
    </row>
    <row r="40" spans="1:21" x14ac:dyDescent="0.2">
      <c r="A40" s="97">
        <v>8</v>
      </c>
      <c r="B40" s="93">
        <f t="shared" si="15"/>
        <v>16384</v>
      </c>
      <c r="C40" s="1">
        <f t="shared" si="12"/>
        <v>49152</v>
      </c>
      <c r="D40" s="9">
        <f>SUM($C$33:C40)</f>
        <v>65535</v>
      </c>
      <c r="E40" s="9">
        <f t="shared" si="13"/>
        <v>78760.081165669864</v>
      </c>
      <c r="F40" s="9">
        <f t="shared" si="14"/>
        <v>5.8899177427461474E-6</v>
      </c>
      <c r="G40" s="287">
        <f t="shared" si="16"/>
        <v>36536.045514846992</v>
      </c>
      <c r="O40" s="99">
        <v>8</v>
      </c>
      <c r="P40" s="93">
        <f t="shared" si="20"/>
        <v>6559</v>
      </c>
      <c r="Q40" s="1">
        <f t="shared" si="17"/>
        <v>19680</v>
      </c>
      <c r="R40" s="9">
        <f>SUM($Q$33:Q40)</f>
        <v>29496</v>
      </c>
      <c r="S40" s="282">
        <f t="shared" si="21"/>
        <v>35448.345984017673</v>
      </c>
      <c r="T40" s="9">
        <f t="shared" si="18"/>
        <v>1.3086376433105127E-5</v>
      </c>
      <c r="U40" s="287">
        <f t="shared" si="19"/>
        <v>16444.147379353424</v>
      </c>
    </row>
    <row r="41" spans="1:21" x14ac:dyDescent="0.2">
      <c r="A41" s="97">
        <v>9</v>
      </c>
      <c r="B41" s="93">
        <f t="shared" si="15"/>
        <v>65536</v>
      </c>
      <c r="C41" s="1">
        <f t="shared" si="12"/>
        <v>196608</v>
      </c>
      <c r="D41" s="9">
        <f>SUM($C$33:C41)</f>
        <v>262143</v>
      </c>
      <c r="E41" s="9">
        <f t="shared" si="13"/>
        <v>306845.55667775049</v>
      </c>
      <c r="F41" s="9">
        <f t="shared" si="14"/>
        <v>1.680079292002059E-6</v>
      </c>
      <c r="G41" s="287">
        <f t="shared" si="16"/>
        <v>158186.51437151161</v>
      </c>
      <c r="O41" s="99">
        <v>9</v>
      </c>
      <c r="P41" s="93">
        <f t="shared" si="20"/>
        <v>19681</v>
      </c>
      <c r="Q41" s="1">
        <f t="shared" si="17"/>
        <v>59046</v>
      </c>
      <c r="R41" s="9">
        <f>SUM($Q$33:Q41)</f>
        <v>88542</v>
      </c>
      <c r="S41" s="282">
        <f t="shared" si="21"/>
        <v>103640.83450392107</v>
      </c>
      <c r="T41" s="9">
        <f t="shared" si="18"/>
        <v>4.9741481539077026E-6</v>
      </c>
      <c r="U41" s="287">
        <f t="shared" si="19"/>
        <v>53429.4272800814</v>
      </c>
    </row>
    <row r="42" spans="1:21" ht="17" thickBot="1" x14ac:dyDescent="0.25">
      <c r="A42" s="145">
        <v>10</v>
      </c>
      <c r="B42" s="94">
        <f t="shared" si="15"/>
        <v>262144</v>
      </c>
      <c r="C42" s="111">
        <f t="shared" si="12"/>
        <v>786432</v>
      </c>
      <c r="D42" s="10">
        <f>SUM($C$33:C42)</f>
        <v>1048575</v>
      </c>
      <c r="E42" s="9">
        <f t="shared" si="13"/>
        <v>1201979.7266542464</v>
      </c>
      <c r="F42" s="9">
        <f t="shared" si="14"/>
        <v>4.7070634967241229E-7</v>
      </c>
      <c r="G42" s="288">
        <f t="shared" si="16"/>
        <v>680055.47615221329</v>
      </c>
      <c r="O42" s="100">
        <v>10</v>
      </c>
      <c r="P42" s="94">
        <f t="shared" si="20"/>
        <v>59047</v>
      </c>
      <c r="Q42" s="111">
        <f t="shared" si="17"/>
        <v>177144</v>
      </c>
      <c r="R42" s="10">
        <f>SUM($Q$33:Q42)</f>
        <v>265686</v>
      </c>
      <c r="S42" s="283">
        <f t="shared" si="21"/>
        <v>304555.40677191439</v>
      </c>
      <c r="T42" s="10">
        <f t="shared" si="18"/>
        <v>1.8577226899714314E-6</v>
      </c>
      <c r="U42" s="288">
        <f t="shared" si="19"/>
        <v>172311.20257204011</v>
      </c>
    </row>
    <row r="43" spans="1:21" ht="17" thickBot="1" x14ac:dyDescent="0.25">
      <c r="U43" s="285"/>
    </row>
    <row r="44" spans="1:21" ht="17" thickBot="1" x14ac:dyDescent="0.25">
      <c r="A44" s="117" t="s">
        <v>135</v>
      </c>
      <c r="B44" s="118" t="s">
        <v>140</v>
      </c>
      <c r="C44" s="118" t="s">
        <v>139</v>
      </c>
      <c r="D44" s="170" t="s">
        <v>138</v>
      </c>
      <c r="E44" s="166" t="s">
        <v>151</v>
      </c>
      <c r="F44" s="168" t="s">
        <v>152</v>
      </c>
      <c r="G44" s="290" t="s">
        <v>47</v>
      </c>
      <c r="O44" s="29" t="s">
        <v>135</v>
      </c>
      <c r="P44" s="118" t="s">
        <v>140</v>
      </c>
      <c r="Q44" s="118" t="s">
        <v>139</v>
      </c>
      <c r="R44" s="118" t="s">
        <v>138</v>
      </c>
      <c r="S44" s="166" t="s">
        <v>151</v>
      </c>
      <c r="T44" s="168" t="s">
        <v>152</v>
      </c>
      <c r="U44" s="294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3</v>
      </c>
      <c r="D45" s="57">
        <f>SUM(C45:C45)</f>
        <v>3</v>
      </c>
      <c r="E45" s="57">
        <f t="shared" ref="E45:E54" si="23">D45/R7</f>
        <v>90.406512152453445</v>
      </c>
      <c r="F45" s="8">
        <f t="shared" ref="F45:F54" si="24">U7/E45</f>
        <v>6.9674754422488321E-4</v>
      </c>
      <c r="G45" s="286">
        <f>E45*U7</f>
        <v>5.6947527891428855</v>
      </c>
      <c r="O45" s="101">
        <v>1</v>
      </c>
      <c r="P45" s="109">
        <v>1</v>
      </c>
      <c r="Q45" s="110">
        <f>P45*3+3</f>
        <v>6</v>
      </c>
      <c r="R45" s="57">
        <f>SUM($Q$21)</f>
        <v>6</v>
      </c>
      <c r="S45" s="281">
        <f>R45/R7</f>
        <v>180.81302430490689</v>
      </c>
      <c r="T45" s="8">
        <f>U7/S45</f>
        <v>3.483737721124416E-4</v>
      </c>
      <c r="U45" s="289">
        <f>S45*U7</f>
        <v>11.389505578285771</v>
      </c>
    </row>
    <row r="46" spans="1:21" x14ac:dyDescent="0.2">
      <c r="A46" s="97">
        <v>2</v>
      </c>
      <c r="B46" s="93">
        <f t="shared" ref="B46:B54" si="25">B45*$O$2*2</f>
        <v>6</v>
      </c>
      <c r="C46" s="1">
        <f t="shared" si="22"/>
        <v>18</v>
      </c>
      <c r="D46" s="9">
        <f>SUM($C$45:C46)</f>
        <v>21</v>
      </c>
      <c r="E46" s="9">
        <f t="shared" si="23"/>
        <v>55.692210213594748</v>
      </c>
      <c r="F46" s="9">
        <f t="shared" si="24"/>
        <v>2.2362521143322392E-3</v>
      </c>
      <c r="G46" s="287">
        <f t="shared" ref="G46:G54" si="26">E46*U8</f>
        <v>6.9360093781002039</v>
      </c>
      <c r="O46" s="99">
        <v>2</v>
      </c>
      <c r="P46" s="93">
        <f>Q45*2</f>
        <v>12</v>
      </c>
      <c r="Q46" s="1">
        <f t="shared" ref="Q46:Q54" si="27">P46*3+3</f>
        <v>39</v>
      </c>
      <c r="R46" s="9">
        <f>SUM($Q$45:Q46)</f>
        <v>45</v>
      </c>
      <c r="S46" s="282">
        <f t="shared" ref="S46:S54" si="28">R46/R8</f>
        <v>119.34045045770303</v>
      </c>
      <c r="T46" s="9">
        <f t="shared" ref="T46:T54" si="29">U8/S46</f>
        <v>1.0435843200217116E-3</v>
      </c>
      <c r="U46" s="287">
        <f t="shared" ref="U46:U54" si="30">S46*U8</f>
        <v>14.862877238786151</v>
      </c>
    </row>
    <row r="47" spans="1:21" x14ac:dyDescent="0.2">
      <c r="A47" s="97">
        <v>3</v>
      </c>
      <c r="B47" s="93">
        <f t="shared" si="25"/>
        <v>36</v>
      </c>
      <c r="C47" s="1">
        <f t="shared" si="22"/>
        <v>108</v>
      </c>
      <c r="D47" s="9">
        <f>SUM($C$45:C47)</f>
        <v>129</v>
      </c>
      <c r="E47" s="9">
        <f t="shared" si="23"/>
        <v>235.12739667705404</v>
      </c>
      <c r="F47" s="9">
        <f t="shared" si="24"/>
        <v>7.8534909678496098E-4</v>
      </c>
      <c r="G47" s="287">
        <f t="shared" si="26"/>
        <v>43.417940522768404</v>
      </c>
      <c r="O47" s="99">
        <v>3</v>
      </c>
      <c r="P47" s="93">
        <f t="shared" ref="P47:P54" si="31">Q46*2</f>
        <v>78</v>
      </c>
      <c r="Q47" s="1">
        <f t="shared" si="27"/>
        <v>237</v>
      </c>
      <c r="R47" s="9">
        <f>SUM($Q$45:Q47)</f>
        <v>282</v>
      </c>
      <c r="S47" s="282">
        <f t="shared" si="28"/>
        <v>513.99942529402506</v>
      </c>
      <c r="T47" s="9">
        <f t="shared" si="29"/>
        <v>3.5925543789099284E-4</v>
      </c>
      <c r="U47" s="287">
        <f t="shared" si="30"/>
        <v>94.913637421865801</v>
      </c>
    </row>
    <row r="48" spans="1:21" x14ac:dyDescent="0.2">
      <c r="A48" s="97">
        <v>4</v>
      </c>
      <c r="B48" s="93">
        <f t="shared" si="25"/>
        <v>216</v>
      </c>
      <c r="C48" s="1">
        <f t="shared" si="22"/>
        <v>648</v>
      </c>
      <c r="D48" s="9">
        <f>SUM($C$45:C48)</f>
        <v>777</v>
      </c>
      <c r="E48" s="9">
        <f t="shared" si="23"/>
        <v>1193.0410584119077</v>
      </c>
      <c r="F48" s="9">
        <f t="shared" si="24"/>
        <v>2.0396677002360039E-4</v>
      </c>
      <c r="G48" s="287">
        <f t="shared" si="26"/>
        <v>290.31548349342364</v>
      </c>
      <c r="O48" s="99">
        <v>4</v>
      </c>
      <c r="P48" s="93">
        <f t="shared" si="31"/>
        <v>474</v>
      </c>
      <c r="Q48" s="1">
        <f t="shared" si="27"/>
        <v>1425</v>
      </c>
      <c r="R48" s="9">
        <f>SUM($Q$45:Q48)</f>
        <v>1707</v>
      </c>
      <c r="S48" s="282">
        <f t="shared" si="28"/>
        <v>2621.005259599905</v>
      </c>
      <c r="T48" s="9">
        <f t="shared" si="29"/>
        <v>9.2842519219881381E-5</v>
      </c>
      <c r="U48" s="287">
        <f t="shared" si="30"/>
        <v>637.79733632339014</v>
      </c>
    </row>
    <row r="49" spans="1:21" x14ac:dyDescent="0.2">
      <c r="A49" s="97">
        <v>5</v>
      </c>
      <c r="B49" s="93">
        <f t="shared" si="25"/>
        <v>1296</v>
      </c>
      <c r="C49" s="1">
        <f t="shared" si="22"/>
        <v>3888</v>
      </c>
      <c r="D49" s="9">
        <f>SUM($C$45:C49)</f>
        <v>4665</v>
      </c>
      <c r="E49" s="9">
        <f t="shared" si="23"/>
        <v>6484.1033971277839</v>
      </c>
      <c r="F49" s="9">
        <f t="shared" si="24"/>
        <v>4.6359286616311727E-5</v>
      </c>
      <c r="G49" s="287">
        <f t="shared" si="26"/>
        <v>1949.1111574286992</v>
      </c>
      <c r="O49" s="99">
        <v>5</v>
      </c>
      <c r="P49" s="93">
        <f t="shared" si="31"/>
        <v>2850</v>
      </c>
      <c r="Q49" s="1">
        <f t="shared" si="27"/>
        <v>8553</v>
      </c>
      <c r="R49" s="9">
        <f>SUM($Q$45:Q49)</f>
        <v>10260</v>
      </c>
      <c r="S49" s="282">
        <f t="shared" si="28"/>
        <v>14260.85763226818</v>
      </c>
      <c r="T49" s="9">
        <f t="shared" si="29"/>
        <v>2.1078564528761618E-5</v>
      </c>
      <c r="U49" s="287">
        <f t="shared" si="30"/>
        <v>4286.7910986534735</v>
      </c>
    </row>
    <row r="50" spans="1:21" x14ac:dyDescent="0.2">
      <c r="A50" s="97">
        <v>6</v>
      </c>
      <c r="B50" s="93">
        <f t="shared" si="25"/>
        <v>7776</v>
      </c>
      <c r="C50" s="1">
        <f t="shared" si="22"/>
        <v>23328</v>
      </c>
      <c r="D50" s="9">
        <f>SUM($C$45:C50)</f>
        <v>27993</v>
      </c>
      <c r="E50" s="9">
        <f t="shared" si="23"/>
        <v>36452.320522991809</v>
      </c>
      <c r="F50" s="9">
        <f t="shared" si="24"/>
        <v>9.7781702720356122E-6</v>
      </c>
      <c r="G50" s="287">
        <f t="shared" si="26"/>
        <v>12992.955656691243</v>
      </c>
      <c r="O50" s="99">
        <v>6</v>
      </c>
      <c r="P50" s="93">
        <f t="shared" si="31"/>
        <v>17106</v>
      </c>
      <c r="Q50" s="1">
        <f t="shared" si="27"/>
        <v>51321</v>
      </c>
      <c r="R50" s="9">
        <f>SUM($Q$45:Q50)</f>
        <v>61581</v>
      </c>
      <c r="S50" s="282">
        <f t="shared" si="28"/>
        <v>80190.417251682869</v>
      </c>
      <c r="T50" s="9">
        <f t="shared" si="29"/>
        <v>4.4448826817539971E-6</v>
      </c>
      <c r="U50" s="287">
        <f t="shared" si="30"/>
        <v>28582.831504115438</v>
      </c>
    </row>
    <row r="51" spans="1:21" x14ac:dyDescent="0.2">
      <c r="A51" s="97">
        <v>7</v>
      </c>
      <c r="B51" s="93">
        <f t="shared" si="25"/>
        <v>46656</v>
      </c>
      <c r="C51" s="1">
        <f t="shared" si="22"/>
        <v>139968</v>
      </c>
      <c r="D51" s="9">
        <f>SUM($C$45:C51)</f>
        <v>167961</v>
      </c>
      <c r="E51" s="9">
        <f t="shared" si="23"/>
        <v>208877.89411982914</v>
      </c>
      <c r="F51" s="9">
        <f t="shared" si="24"/>
        <v>1.9670084197487955E-6</v>
      </c>
      <c r="G51" s="287">
        <f t="shared" si="26"/>
        <v>85820.527493781803</v>
      </c>
      <c r="O51" s="99">
        <v>7</v>
      </c>
      <c r="P51" s="93">
        <f t="shared" si="31"/>
        <v>102642</v>
      </c>
      <c r="Q51" s="1">
        <f t="shared" si="27"/>
        <v>307929</v>
      </c>
      <c r="R51" s="9">
        <f>SUM($Q$45:Q51)</f>
        <v>369510</v>
      </c>
      <c r="S51" s="282">
        <f t="shared" si="28"/>
        <v>459526.14390375186</v>
      </c>
      <c r="T51" s="9">
        <f t="shared" si="29"/>
        <v>8.9410489889157928E-7</v>
      </c>
      <c r="U51" s="287">
        <f t="shared" si="30"/>
        <v>188803.0144749514</v>
      </c>
    </row>
    <row r="52" spans="1:21" x14ac:dyDescent="0.2">
      <c r="A52" s="97">
        <v>8</v>
      </c>
      <c r="B52" s="93">
        <f t="shared" si="25"/>
        <v>279936</v>
      </c>
      <c r="C52" s="1">
        <f t="shared" si="22"/>
        <v>839808</v>
      </c>
      <c r="D52" s="9">
        <f>SUM($C$45:C52)</f>
        <v>1007769</v>
      </c>
      <c r="E52" s="9">
        <f t="shared" si="23"/>
        <v>1211138.60130077</v>
      </c>
      <c r="F52" s="9">
        <f t="shared" si="24"/>
        <v>3.8302007629810875E-7</v>
      </c>
      <c r="G52" s="287">
        <f t="shared" si="26"/>
        <v>561835.5695804049</v>
      </c>
      <c r="O52" s="99">
        <v>8</v>
      </c>
      <c r="P52" s="93">
        <f t="shared" si="31"/>
        <v>615858</v>
      </c>
      <c r="Q52" s="1">
        <f t="shared" si="27"/>
        <v>1847577</v>
      </c>
      <c r="R52" s="9">
        <f>SUM($Q$45:Q52)</f>
        <v>2217087</v>
      </c>
      <c r="S52" s="282">
        <f t="shared" si="28"/>
        <v>2664499.1542130387</v>
      </c>
      <c r="T52" s="9">
        <f t="shared" si="29"/>
        <v>1.7410041160805545E-7</v>
      </c>
      <c r="U52" s="287">
        <f t="shared" si="30"/>
        <v>1236035.5770561618</v>
      </c>
    </row>
    <row r="53" spans="1:21" x14ac:dyDescent="0.2">
      <c r="A53" s="97">
        <v>9</v>
      </c>
      <c r="B53" s="93">
        <f t="shared" si="25"/>
        <v>1679616</v>
      </c>
      <c r="C53" s="1">
        <f t="shared" si="22"/>
        <v>5038848</v>
      </c>
      <c r="D53" s="9">
        <f>SUM($C$45:C53)</f>
        <v>6046617</v>
      </c>
      <c r="E53" s="9">
        <f t="shared" si="23"/>
        <v>7077730.7018770268</v>
      </c>
      <c r="F53" s="9">
        <f t="shared" si="24"/>
        <v>7.283759263126734E-8</v>
      </c>
      <c r="G53" s="287">
        <f t="shared" si="26"/>
        <v>3648746.168959409</v>
      </c>
      <c r="O53" s="99">
        <v>9</v>
      </c>
      <c r="P53" s="93">
        <f t="shared" si="31"/>
        <v>3695154</v>
      </c>
      <c r="Q53" s="1">
        <f t="shared" si="27"/>
        <v>11085465</v>
      </c>
      <c r="R53" s="9">
        <f>SUM($Q$45:Q53)</f>
        <v>13302552</v>
      </c>
      <c r="S53" s="282">
        <f t="shared" si="28"/>
        <v>15571001.223281654</v>
      </c>
      <c r="T53" s="9">
        <f t="shared" si="29"/>
        <v>3.3108010090341752E-8</v>
      </c>
      <c r="U53" s="287">
        <f t="shared" si="30"/>
        <v>8027238.3131564837</v>
      </c>
    </row>
    <row r="54" spans="1:21" ht="17" thickBot="1" x14ac:dyDescent="0.25">
      <c r="A54" s="145">
        <v>10</v>
      </c>
      <c r="B54" s="94">
        <f t="shared" si="25"/>
        <v>10077696</v>
      </c>
      <c r="C54" s="111">
        <f t="shared" si="22"/>
        <v>30233088</v>
      </c>
      <c r="D54" s="10">
        <f>SUM($C$45:C54)</f>
        <v>36279705</v>
      </c>
      <c r="E54" s="10">
        <f t="shared" si="23"/>
        <v>41587363.706932455</v>
      </c>
      <c r="F54" s="9">
        <f t="shared" si="24"/>
        <v>1.3604600991318693E-8</v>
      </c>
      <c r="G54" s="288">
        <f t="shared" si="26"/>
        <v>23529277.408327334</v>
      </c>
      <c r="O54" s="100">
        <v>10</v>
      </c>
      <c r="P54" s="94">
        <f t="shared" si="31"/>
        <v>22170930</v>
      </c>
      <c r="Q54" s="111">
        <f t="shared" si="27"/>
        <v>66512793</v>
      </c>
      <c r="R54" s="10">
        <f>SUM($Q$45:Q54)</f>
        <v>79815345</v>
      </c>
      <c r="S54" s="283">
        <f t="shared" si="28"/>
        <v>91492193.277461678</v>
      </c>
      <c r="T54" s="10">
        <f t="shared" si="29"/>
        <v>6.1839100063747108E-9</v>
      </c>
      <c r="U54" s="288">
        <f t="shared" si="30"/>
        <v>51764406.407007776</v>
      </c>
    </row>
  </sheetData>
  <mergeCells count="2">
    <mergeCell ref="A18:F18"/>
    <mergeCell ref="O18:T18"/>
  </mergeCells>
  <conditionalFormatting sqref="F45:F54">
    <cfRule type="cellIs" dxfId="688" priority="76" operator="equal">
      <formula>MAX($F$45:$F$54)</formula>
    </cfRule>
  </conditionalFormatting>
  <conditionalFormatting sqref="F21:F30">
    <cfRule type="cellIs" dxfId="687" priority="74" operator="equal">
      <formula>MAX($F$21:$F$30)</formula>
    </cfRule>
  </conditionalFormatting>
  <conditionalFormatting sqref="F33:F42">
    <cfRule type="cellIs" dxfId="686" priority="48" operator="lessThanOrEqual">
      <formula>0</formula>
    </cfRule>
    <cfRule type="cellIs" dxfId="685" priority="49" operator="equal">
      <formula>MAX($F$33:$F$42)</formula>
    </cfRule>
  </conditionalFormatting>
  <conditionalFormatting sqref="E21:E30">
    <cfRule type="cellIs" dxfId="684" priority="30" stopIfTrue="1" operator="lessThan">
      <formula>0</formula>
    </cfRule>
    <cfRule type="cellIs" dxfId="683" priority="31" operator="equal">
      <formula>MIN($E$21:$E$30)</formula>
    </cfRule>
  </conditionalFormatting>
  <conditionalFormatting sqref="E33:E42">
    <cfRule type="cellIs" dxfId="682" priority="28" stopIfTrue="1" operator="lessThan">
      <formula>0</formula>
    </cfRule>
    <cfRule type="cellIs" dxfId="681" priority="29" operator="equal">
      <formula>MIN($E$33:$E$42)</formula>
    </cfRule>
  </conditionalFormatting>
  <conditionalFormatting sqref="E45:E54">
    <cfRule type="cellIs" dxfId="680" priority="26" stopIfTrue="1" operator="lessThan">
      <formula>0</formula>
    </cfRule>
    <cfRule type="cellIs" dxfId="679" priority="27" operator="equal">
      <formula>MIN($E$45:$E$54)</formula>
    </cfRule>
  </conditionalFormatting>
  <conditionalFormatting sqref="S7:T16">
    <cfRule type="cellIs" dxfId="678" priority="12" operator="lessThanOrEqual">
      <formula>0</formula>
    </cfRule>
    <cfRule type="cellIs" dxfId="677" priority="13" operator="greaterThan">
      <formula>0</formula>
    </cfRule>
  </conditionalFormatting>
  <conditionalFormatting sqref="U7:U16">
    <cfRule type="cellIs" dxfId="676" priority="14" operator="lessThanOrEqual">
      <formula>0</formula>
    </cfRule>
    <cfRule type="cellIs" dxfId="675" priority="15" operator="greaterThan">
      <formula>0</formula>
    </cfRule>
  </conditionalFormatting>
  <conditionalFormatting sqref="R7:R16">
    <cfRule type="cellIs" dxfId="674" priority="16" operator="lessThanOrEqual">
      <formula>0</formula>
    </cfRule>
    <cfRule type="cellIs" dxfId="673" priority="17" operator="greaterThan">
      <formula>0</formula>
    </cfRule>
  </conditionalFormatting>
  <conditionalFormatting sqref="S21:S30">
    <cfRule type="cellIs" dxfId="672" priority="10" stopIfTrue="1" operator="lessThan">
      <formula>0</formula>
    </cfRule>
    <cfRule type="cellIs" dxfId="671" priority="11" operator="equal">
      <formula>MIN($E$21:$E$30)</formula>
    </cfRule>
  </conditionalFormatting>
  <conditionalFormatting sqref="T21:T30">
    <cfRule type="cellIs" dxfId="670" priority="7" operator="equal">
      <formula>MAX($T$21:$T$30)</formula>
    </cfRule>
  </conditionalFormatting>
  <conditionalFormatting sqref="S33:S42">
    <cfRule type="cellIs" dxfId="669" priority="5" stopIfTrue="1" operator="lessThan">
      <formula>0</formula>
    </cfRule>
    <cfRule type="cellIs" dxfId="668" priority="6" operator="equal">
      <formula>MIN($E$21:$E$30)</formula>
    </cfRule>
  </conditionalFormatting>
  <conditionalFormatting sqref="T33:T42">
    <cfRule type="cellIs" dxfId="667" priority="4" operator="equal">
      <formula>MAX($T$21:$T$30)</formula>
    </cfRule>
  </conditionalFormatting>
  <conditionalFormatting sqref="S45:S54">
    <cfRule type="cellIs" dxfId="666" priority="2" stopIfTrue="1" operator="lessThan">
      <formula>0</formula>
    </cfRule>
    <cfRule type="cellIs" dxfId="665" priority="3" operator="equal">
      <formula>MIN($E$21:$E$30)</formula>
    </cfRule>
  </conditionalFormatting>
  <conditionalFormatting sqref="T45:T54">
    <cfRule type="cellIs" dxfId="664" priority="1" operator="equal">
      <formula>MAX($T$21:$T$30)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pageSetUpPr fitToPage="1"/>
  </sheetPr>
  <dimension ref="A1:W54"/>
  <sheetViews>
    <sheetView workbookViewId="0">
      <selection activeCell="C7" sqref="C7:C16"/>
    </sheetView>
  </sheetViews>
  <sheetFormatPr baseColWidth="10" defaultColWidth="8.6640625" defaultRowHeight="16" x14ac:dyDescent="0.2"/>
  <cols>
    <col min="7" max="7" width="8.6640625" customWidth="1"/>
    <col min="14" max="14" width="5.6640625" bestFit="1" customWidth="1"/>
    <col min="21" max="21" width="8.6640625" customWidth="1"/>
  </cols>
  <sheetData>
    <row r="1" spans="1:23" x14ac:dyDescent="0.2">
      <c r="C1" t="s">
        <v>95</v>
      </c>
      <c r="D1">
        <f>C2+E2</f>
        <v>0.99999999999999989</v>
      </c>
    </row>
    <row r="2" spans="1:23" x14ac:dyDescent="0.2">
      <c r="A2" t="s">
        <v>40</v>
      </c>
      <c r="B2" s="149" t="s">
        <v>125</v>
      </c>
      <c r="C2" s="155">
        <f>Analysis!B11</f>
        <v>0.53948876424232151</v>
      </c>
      <c r="D2" s="149" t="s">
        <v>126</v>
      </c>
      <c r="E2" s="155">
        <f>Analysis!G11</f>
        <v>0.46051123575767838</v>
      </c>
      <c r="F2" s="149" t="s">
        <v>47</v>
      </c>
      <c r="G2" s="155">
        <f>Analysis!S11</f>
        <v>2.9806348340350377</v>
      </c>
      <c r="H2" t="s">
        <v>156</v>
      </c>
      <c r="I2" s="169">
        <f>Analysis!T11</f>
        <v>-3.0034450930521084</v>
      </c>
      <c r="J2" t="s">
        <v>48</v>
      </c>
      <c r="K2" s="169">
        <f>C2*G2+E2*I2</f>
        <v>0.22489879193941786</v>
      </c>
      <c r="L2" t="s">
        <v>47</v>
      </c>
      <c r="M2" s="176">
        <v>1</v>
      </c>
      <c r="N2" t="s">
        <v>156</v>
      </c>
      <c r="O2" s="176">
        <v>4</v>
      </c>
    </row>
    <row r="4" spans="1:23" x14ac:dyDescent="0.2">
      <c r="A4" t="s">
        <v>123</v>
      </c>
      <c r="B4">
        <f>$C$2</f>
        <v>0.53948876424232151</v>
      </c>
      <c r="C4" t="s">
        <v>124</v>
      </c>
      <c r="D4">
        <f>$E$2</f>
        <v>0.46051123575767838</v>
      </c>
      <c r="E4" t="s">
        <v>47</v>
      </c>
      <c r="F4">
        <f>G2</f>
        <v>2.9806348340350377</v>
      </c>
      <c r="G4" t="s">
        <v>156</v>
      </c>
      <c r="H4">
        <f>I2</f>
        <v>-3.0034450930521084</v>
      </c>
      <c r="I4" t="s">
        <v>48</v>
      </c>
      <c r="J4">
        <f>K2</f>
        <v>0.22489879193941786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60">
        <v>-10</v>
      </c>
      <c r="N6" s="104" t="s">
        <v>136</v>
      </c>
      <c r="R6" s="188" t="s">
        <v>49</v>
      </c>
      <c r="S6" s="164" t="s">
        <v>130</v>
      </c>
      <c r="T6" s="165" t="s">
        <v>137</v>
      </c>
      <c r="U6" s="184" t="s">
        <v>48</v>
      </c>
      <c r="V6" s="175" t="s">
        <v>47</v>
      </c>
      <c r="W6" s="168" t="s">
        <v>156</v>
      </c>
    </row>
    <row r="7" spans="1:23" x14ac:dyDescent="0.2">
      <c r="A7" s="101">
        <v>1</v>
      </c>
      <c r="B7" s="95">
        <f>C7*B4</f>
        <v>0.53948876424232151</v>
      </c>
      <c r="C7" s="95">
        <v>1</v>
      </c>
      <c r="D7" s="109">
        <f>C7*D4</f>
        <v>0.46051123575767838</v>
      </c>
      <c r="E7" s="110"/>
      <c r="F7" s="110"/>
      <c r="G7" s="110"/>
      <c r="H7" s="110"/>
      <c r="I7" s="110"/>
      <c r="J7" s="110"/>
      <c r="K7" s="110"/>
      <c r="L7" s="110"/>
      <c r="M7" s="263"/>
      <c r="N7" s="95">
        <f>B7+D7</f>
        <v>0.99999999999999989</v>
      </c>
      <c r="R7" s="189">
        <f>B7-D7</f>
        <v>7.8977528484643122E-2</v>
      </c>
      <c r="S7" s="109">
        <f>SUM(C7)*$B$4*$F$4</f>
        <v>1.6080190032711796</v>
      </c>
      <c r="T7" s="57">
        <f>SUM(C7)*$D$4*$H$4</f>
        <v>-1.3831202113317618</v>
      </c>
      <c r="U7" s="265">
        <f>S7+T7</f>
        <v>0.22489879193941786</v>
      </c>
      <c r="V7" s="109">
        <f>(U7+W7*D7)/B7</f>
        <v>1.270480634864958</v>
      </c>
      <c r="W7" s="57">
        <f>COUNT(D7:M7)</f>
        <v>1</v>
      </c>
    </row>
    <row r="8" spans="1:23" x14ac:dyDescent="0.2">
      <c r="A8" s="99">
        <v>2</v>
      </c>
      <c r="B8" s="97">
        <f>C8*B4</f>
        <v>0.71782588463373287</v>
      </c>
      <c r="C8" s="97">
        <f>1/(1-B4*D4*C7)</f>
        <v>1.3305668851915291</v>
      </c>
      <c r="D8" s="93">
        <f>C8*D4</f>
        <v>0.61274100055779601</v>
      </c>
      <c r="E8" s="1">
        <f>D8*D4</f>
        <v>0.28217411536626696</v>
      </c>
      <c r="F8" s="1"/>
      <c r="G8" s="1"/>
      <c r="H8" s="1"/>
      <c r="I8" s="1"/>
      <c r="J8" s="1"/>
      <c r="K8" s="1"/>
      <c r="L8" s="1"/>
      <c r="M8" s="262"/>
      <c r="N8" s="97">
        <f>B8+E8</f>
        <v>0.99999999999999978</v>
      </c>
      <c r="R8" s="190">
        <f>B8-E8</f>
        <v>0.4356517692674659</v>
      </c>
      <c r="S8" s="93">
        <f>SUM(C8:D8)*$B$4*$F$4</f>
        <v>3.1248760094916532</v>
      </c>
      <c r="T8" s="9">
        <f>SUM(C8:D8)*$D$4*$H$4</f>
        <v>-2.6878284136202857</v>
      </c>
      <c r="U8" s="266">
        <f>S8+T8</f>
        <v>0.43704759587136754</v>
      </c>
      <c r="V8" s="93">
        <f>(U8+W8*E8)/B8</f>
        <v>1.3950400062751411</v>
      </c>
      <c r="W8" s="9">
        <f>COUNT(D8:M8)</f>
        <v>2</v>
      </c>
    </row>
    <row r="9" spans="1:23" x14ac:dyDescent="0.2">
      <c r="A9" s="99">
        <v>3</v>
      </c>
      <c r="B9" s="97">
        <f>C9*B4</f>
        <v>0.80588897129278192</v>
      </c>
      <c r="C9" s="97">
        <f>1/(1-D4*B4*C8)</f>
        <v>1.4938012146084321</v>
      </c>
      <c r="D9" s="93">
        <f>C9*D4*C8</f>
        <v>0.91531325087362159</v>
      </c>
      <c r="E9" s="1">
        <f>D9*(D4)</f>
        <v>0.42151203626518935</v>
      </c>
      <c r="F9" s="1">
        <f>E9*D4</f>
        <v>0.19411102870721769</v>
      </c>
      <c r="G9" s="1"/>
      <c r="H9" s="1"/>
      <c r="I9" s="1"/>
      <c r="J9" s="1"/>
      <c r="K9" s="1"/>
      <c r="L9" s="1"/>
      <c r="M9" s="262"/>
      <c r="N9" s="97">
        <f>B9+F9</f>
        <v>0.99999999999999956</v>
      </c>
      <c r="R9" s="190">
        <f>B9-F9</f>
        <v>0.61177794258556428</v>
      </c>
      <c r="S9" s="93">
        <f>SUM(C9:E9)*$B$4*$F$4</f>
        <v>4.551701205972587</v>
      </c>
      <c r="T9" s="9">
        <f>SUM(C9:E9)*$D$4*$H$4</f>
        <v>-3.9150967252979321</v>
      </c>
      <c r="U9" s="266">
        <f t="shared" ref="U9:U16" si="0">S9+T9</f>
        <v>0.63660448067465492</v>
      </c>
      <c r="V9" s="93">
        <f>(U9+W9*F9)/B9</f>
        <v>1.5125378435703449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0.85785771317974691</v>
      </c>
      <c r="C10" s="97">
        <f>1/(1-D4*B4*C9)</f>
        <v>1.5901308239191132</v>
      </c>
      <c r="D10" s="93">
        <f>C10*D4*C9</f>
        <v>1.0938704622475599</v>
      </c>
      <c r="E10" s="1">
        <f>D10*D4*C8</f>
        <v>0.6702592815181887</v>
      </c>
      <c r="F10" s="1">
        <f>E10*D4</f>
        <v>0.3086619300099947</v>
      </c>
      <c r="G10" s="1">
        <f>F10*D4</f>
        <v>0.14214228682025271</v>
      </c>
      <c r="H10" s="1"/>
      <c r="I10" s="1"/>
      <c r="J10" s="1"/>
      <c r="K10" s="1"/>
      <c r="L10" s="1"/>
      <c r="M10" s="262"/>
      <c r="N10" s="97">
        <f>B10+G10</f>
        <v>0.99999999999999956</v>
      </c>
      <c r="R10" s="190">
        <f>B10-G10</f>
        <v>0.71571542635949426</v>
      </c>
      <c r="S10" s="93">
        <f>SUM(C10:F10)*$B$4*$F$4</f>
        <v>5.8900489838028625</v>
      </c>
      <c r="T10" s="9">
        <f>SUM(C10:F10)*$D$4*$H$4</f>
        <v>-5.0662621391035749</v>
      </c>
      <c r="U10" s="266">
        <f t="shared" si="0"/>
        <v>0.82378684469928753</v>
      </c>
      <c r="V10" s="93">
        <f>(U10+W10*G10)/B10</f>
        <v>1.6230616926195989</v>
      </c>
      <c r="W10" s="9">
        <f t="shared" si="1"/>
        <v>4</v>
      </c>
    </row>
    <row r="11" spans="1:23" x14ac:dyDescent="0.2">
      <c r="A11" s="99">
        <v>5</v>
      </c>
      <c r="B11" s="97">
        <f>C11*B4</f>
        <v>0.89179526030287504</v>
      </c>
      <c r="C11" s="97">
        <f>1/(1-D4*B4*C10)</f>
        <v>1.653037689404609</v>
      </c>
      <c r="D11" s="93">
        <f>C11*D4*C10</f>
        <v>1.2104750509897273</v>
      </c>
      <c r="E11" s="1">
        <f>D11*D4*C9</f>
        <v>0.83270060780396904</v>
      </c>
      <c r="F11" s="1">
        <f>E11*D4*C8</f>
        <v>0.51022980359088899</v>
      </c>
      <c r="G11" s="1">
        <f>F11*D4</f>
        <v>0.23496655737203781</v>
      </c>
      <c r="H11" s="1">
        <f>G11*D4</f>
        <v>0.10820473969712456</v>
      </c>
      <c r="I11" s="1"/>
      <c r="J11" s="1"/>
      <c r="K11" s="1"/>
      <c r="L11" s="1"/>
      <c r="M11" s="262"/>
      <c r="N11" s="97">
        <f>B11+H11</f>
        <v>0.99999999999999956</v>
      </c>
      <c r="R11" s="190">
        <f>B11-H11</f>
        <v>0.78359052060575052</v>
      </c>
      <c r="S11" s="93">
        <f>SUM(C11:G11)*$B$4*$F$4</f>
        <v>7.1418712136443832</v>
      </c>
      <c r="T11" s="9">
        <f>SUM(C11:G11)*$D$4*$H$4</f>
        <v>-6.1430035355460211</v>
      </c>
      <c r="U11" s="266">
        <f t="shared" si="0"/>
        <v>0.99886767809836208</v>
      </c>
      <c r="V11" s="93">
        <f>(U11+W11*H11)/B11</f>
        <v>1.7267319587020464</v>
      </c>
      <c r="W11" s="9">
        <f t="shared" si="1"/>
        <v>5</v>
      </c>
    </row>
    <row r="12" spans="1:23" x14ac:dyDescent="0.2">
      <c r="A12" s="99">
        <v>6</v>
      </c>
      <c r="B12" s="97">
        <f>C12*B4</f>
        <v>0.91544552145736502</v>
      </c>
      <c r="C12" s="97">
        <f>1/(1-D4*B4*C11)</f>
        <v>1.6968759724645079</v>
      </c>
      <c r="D12" s="93">
        <f>C12*D4*C11</f>
        <v>1.2917339871632489</v>
      </c>
      <c r="E12" s="1">
        <f>D12*D4*C10</f>
        <v>0.94590206502779683</v>
      </c>
      <c r="F12" s="1">
        <f>E12*D4*C9</f>
        <v>0.65069761151017758</v>
      </c>
      <c r="G12" s="1">
        <f>F12*D4*C8</f>
        <v>0.39870910553731431</v>
      </c>
      <c r="H12" s="1">
        <f>G12*D4</f>
        <v>0.18361002289882722</v>
      </c>
      <c r="I12" s="1">
        <f>H12*D4</f>
        <v>8.4554478542634551E-2</v>
      </c>
      <c r="J12" s="1"/>
      <c r="K12" s="1"/>
      <c r="L12" s="1"/>
      <c r="M12" s="262"/>
      <c r="N12" s="97">
        <f>B12+I12</f>
        <v>0.99999999999999956</v>
      </c>
      <c r="R12" s="190">
        <f>B12-I12</f>
        <v>0.83089104291473048</v>
      </c>
      <c r="S12" s="93">
        <f>SUM(C12:H12)*$B$4*$F$4</f>
        <v>8.3094844534302545</v>
      </c>
      <c r="T12" s="9">
        <f>SUM(C12:H12)*$D$4*$H$4</f>
        <v>-7.1473134769591011</v>
      </c>
      <c r="U12" s="266">
        <f t="shared" si="0"/>
        <v>1.1621709764711534</v>
      </c>
      <c r="V12" s="93">
        <f>(U12+W12*I12)/B12</f>
        <v>1.8236998364131647</v>
      </c>
      <c r="W12" s="9">
        <f t="shared" si="1"/>
        <v>6</v>
      </c>
    </row>
    <row r="13" spans="1:23" x14ac:dyDescent="0.2">
      <c r="A13" s="99">
        <v>7</v>
      </c>
      <c r="B13" s="97">
        <f>C13*B4</f>
        <v>0.93268245789717341</v>
      </c>
      <c r="C13" s="97">
        <f>1/(1-D4*B4*C12)</f>
        <v>1.7288264737210386</v>
      </c>
      <c r="D13" s="93">
        <f>C13*D4*C12</f>
        <v>1.3509576510729195</v>
      </c>
      <c r="E13" s="1">
        <f>D13*D4*C11</f>
        <v>1.0284062839163217</v>
      </c>
      <c r="F13" s="1">
        <f>E13*D4*C10</f>
        <v>0.75307426862731663</v>
      </c>
      <c r="G13" s="1">
        <f>F13*D4*C9</f>
        <v>0.51804900951470978</v>
      </c>
      <c r="H13" s="1">
        <f>G13*D4*C8</f>
        <v>0.31742986842801846</v>
      </c>
      <c r="I13" s="1">
        <f>H13*D4</f>
        <v>0.14618002097618404</v>
      </c>
      <c r="J13" s="1">
        <f>I13*D4</f>
        <v>6.7317542102825867E-2</v>
      </c>
      <c r="K13" s="1"/>
      <c r="L13" s="1"/>
      <c r="M13" s="262"/>
      <c r="N13" s="97">
        <f>B13+J13</f>
        <v>0.99999999999999933</v>
      </c>
      <c r="R13" s="190">
        <f>B13-J13</f>
        <v>0.86536491579434749</v>
      </c>
      <c r="S13" s="93">
        <f>SUM(C13:I13)*$B$4*$F$4</f>
        <v>9.3955321452816669</v>
      </c>
      <c r="T13" s="9">
        <f>SUM(C13:I13)*$D$4*$H$4</f>
        <v>-8.0814656915872352</v>
      </c>
      <c r="U13" s="266">
        <f t="shared" si="0"/>
        <v>1.3140664536944318</v>
      </c>
      <c r="V13" s="93">
        <f>(U13+W13*J13)/B13</f>
        <v>1.9141447695278062</v>
      </c>
      <c r="W13" s="9">
        <f t="shared" si="1"/>
        <v>7</v>
      </c>
    </row>
    <row r="14" spans="1:23" x14ac:dyDescent="0.2">
      <c r="A14" s="99">
        <v>8</v>
      </c>
      <c r="B14" s="97">
        <f>C14*B4</f>
        <v>0.94565982694646866</v>
      </c>
      <c r="C14" s="97">
        <f>1/(1-D4*B4*C13)</f>
        <v>1.7528814122284626</v>
      </c>
      <c r="D14" s="93">
        <f>C14*D4*C13</f>
        <v>1.3955460467945759</v>
      </c>
      <c r="E14" s="1">
        <f>D14*D4*C12</f>
        <v>1.0905221767479207</v>
      </c>
      <c r="F14" s="1">
        <f>E14*D4*C11</f>
        <v>0.8301517508168974</v>
      </c>
      <c r="G14" s="1">
        <f>F14*D4*C10</f>
        <v>0.60789780495642054</v>
      </c>
      <c r="H14" s="1">
        <f>G14*D4*C9</f>
        <v>0.41818034271423071</v>
      </c>
      <c r="I14" s="1">
        <f>H14*D4*C8</f>
        <v>0.25623624160831976</v>
      </c>
      <c r="J14" s="1">
        <f>I14*D4</f>
        <v>0.11799966826895038</v>
      </c>
      <c r="K14" s="1">
        <f>J14*D4</f>
        <v>5.4340173053530449E-2</v>
      </c>
      <c r="L14" s="1"/>
      <c r="M14" s="262"/>
      <c r="N14" s="97">
        <f>B14+K14</f>
        <v>0.99999999999999911</v>
      </c>
      <c r="R14" s="190">
        <f>B14-K14</f>
        <v>0.89131965389293821</v>
      </c>
      <c r="S14" s="93">
        <f>SUM(C14:J14)*$B$4*$F$4</f>
        <v>10.40294297422639</v>
      </c>
      <c r="T14" s="9">
        <f>SUM(C14:J14)*$D$4*$H$4</f>
        <v>-8.9479792562860414</v>
      </c>
      <c r="U14" s="266">
        <f t="shared" si="0"/>
        <v>1.4549637179403483</v>
      </c>
      <c r="V14" s="93">
        <f>(U14+W14*K14)/B14</f>
        <v>1.9982715227212058</v>
      </c>
      <c r="W14" s="9">
        <f t="shared" si="1"/>
        <v>8</v>
      </c>
    </row>
    <row r="15" spans="1:23" x14ac:dyDescent="0.2">
      <c r="A15" s="99">
        <v>9</v>
      </c>
      <c r="B15" s="97">
        <f>C15*B4</f>
        <v>0.95567106663848667</v>
      </c>
      <c r="C15" s="97">
        <f>1/(1-D4*B4*C14)</f>
        <v>1.7714383134200531</v>
      </c>
      <c r="D15" s="93">
        <f>C15*D4*C14</f>
        <v>1.4299432435881965</v>
      </c>
      <c r="E15" s="1">
        <f>D15*D4*C13</f>
        <v>1.1384407563505099</v>
      </c>
      <c r="F15" s="1">
        <f>E15*D4*C12</f>
        <v>0.88961227367989182</v>
      </c>
      <c r="G15" s="1">
        <f>F15*D4*C11</f>
        <v>0.67721060817479728</v>
      </c>
      <c r="H15" s="1">
        <f>G15*D4*C10</f>
        <v>0.49590311867385678</v>
      </c>
      <c r="I15" s="1">
        <f>H15*D4*C9</f>
        <v>0.34113782683415977</v>
      </c>
      <c r="J15" s="1">
        <f>I15*D4*C8</f>
        <v>0.20902913334247522</v>
      </c>
      <c r="K15" s="1">
        <f>J15*D4</f>
        <v>9.6260264504899801E-2</v>
      </c>
      <c r="L15" s="1">
        <f>K15*D4</f>
        <v>4.432893336151239E-2</v>
      </c>
      <c r="M15" s="262"/>
      <c r="N15" s="97">
        <f>B15+L15</f>
        <v>0.99999999999999911</v>
      </c>
      <c r="R15" s="190">
        <f>B15-L15</f>
        <v>0.91134213327697422</v>
      </c>
      <c r="S15" s="93">
        <f>SUM(C15:K15)*$B$4*$F$4</f>
        <v>11.334886619612393</v>
      </c>
      <c r="T15" s="9">
        <f>SUM(C15:K15)*$D$4*$H$4</f>
        <v>-9.7495805365777528</v>
      </c>
      <c r="U15" s="266">
        <f t="shared" si="0"/>
        <v>1.5853060830346397</v>
      </c>
      <c r="V15" s="93">
        <f>(U15+W15*L15)/B15</f>
        <v>2.0763069559778393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0.96354014623426842</v>
      </c>
      <c r="C16" s="145">
        <f>1/(1-D4*B4*C15)</f>
        <v>1.7860244922570367</v>
      </c>
      <c r="D16" s="94">
        <f>C16*D4*C15</f>
        <v>1.4569802827329676</v>
      </c>
      <c r="E16" s="111">
        <f>D16*D4*C14</f>
        <v>1.1761059335523136</v>
      </c>
      <c r="F16" s="111">
        <f>E16*D4*C13</f>
        <v>0.93634970097261472</v>
      </c>
      <c r="G16" s="111">
        <f>F16*D4*C12</f>
        <v>0.73169216913143365</v>
      </c>
      <c r="H16" s="111">
        <f>G16*D4*C11</f>
        <v>0.55699512418432928</v>
      </c>
      <c r="I16" s="111">
        <f>H16*D4*C10</f>
        <v>0.40787255225311836</v>
      </c>
      <c r="J16" s="111">
        <f>I16*D4*C9</f>
        <v>0.28058052240732234</v>
      </c>
      <c r="K16" s="111">
        <f>J16*D4*C8</f>
        <v>0.1719231900368918</v>
      </c>
      <c r="L16" s="111">
        <f>K16*D4</f>
        <v>7.9172560699291225E-2</v>
      </c>
      <c r="M16" s="264">
        <f>L16*D4</f>
        <v>3.6459853765730403E-2</v>
      </c>
      <c r="N16" s="145">
        <f>B16+M16</f>
        <v>0.99999999999999878</v>
      </c>
      <c r="R16" s="191">
        <f>B16-M16</f>
        <v>0.92708029246853807</v>
      </c>
      <c r="S16" s="94">
        <f>SUM(C16:L16)*$B$4*$F$4</f>
        <v>12.194728132431198</v>
      </c>
      <c r="T16" s="10">
        <f>SUM(C16:L16)*$D$4*$H$4</f>
        <v>-10.489163944797719</v>
      </c>
      <c r="U16" s="267">
        <f t="shared" si="0"/>
        <v>1.7055641876334793</v>
      </c>
      <c r="V16" s="94">
        <f>(U16+W16*M16)/B16</f>
        <v>2.1484965970348457</v>
      </c>
      <c r="W16" s="10">
        <f t="shared" si="1"/>
        <v>10</v>
      </c>
    </row>
    <row r="18" spans="1:21" x14ac:dyDescent="0.2">
      <c r="A18" s="356" t="s">
        <v>200</v>
      </c>
      <c r="B18" s="356"/>
      <c r="C18" s="356"/>
      <c r="D18" s="356"/>
      <c r="E18" s="356"/>
      <c r="F18" s="356"/>
      <c r="O18" s="356" t="s">
        <v>201</v>
      </c>
      <c r="P18" s="356"/>
      <c r="Q18" s="356"/>
      <c r="R18" s="356"/>
      <c r="S18" s="356"/>
      <c r="T18" s="356"/>
    </row>
    <row r="19" spans="1:21" ht="17" thickBot="1" x14ac:dyDescent="0.25"/>
    <row r="20" spans="1:21" ht="17" thickBot="1" x14ac:dyDescent="0.25">
      <c r="A20" s="29" t="s">
        <v>135</v>
      </c>
      <c r="B20" s="19" t="s">
        <v>140</v>
      </c>
      <c r="C20" s="19" t="s">
        <v>139</v>
      </c>
      <c r="D20" s="19" t="s">
        <v>138</v>
      </c>
      <c r="E20" s="166" t="s">
        <v>151</v>
      </c>
      <c r="F20" s="168" t="s">
        <v>152</v>
      </c>
      <c r="G20" s="166" t="s">
        <v>47</v>
      </c>
      <c r="O20" s="29" t="s">
        <v>135</v>
      </c>
      <c r="P20" s="19" t="s">
        <v>140</v>
      </c>
      <c r="Q20" s="19" t="s">
        <v>139</v>
      </c>
      <c r="R20" s="19" t="s">
        <v>138</v>
      </c>
      <c r="S20" s="166" t="s">
        <v>151</v>
      </c>
      <c r="T20" s="167" t="s">
        <v>152</v>
      </c>
      <c r="U20" s="293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4</v>
      </c>
      <c r="D21" s="57">
        <f>SUM($C$21:C21)</f>
        <v>4</v>
      </c>
      <c r="E21" s="57">
        <f t="shared" ref="E21:E30" si="3">D21/R7</f>
        <v>50.647317999800215</v>
      </c>
      <c r="F21" s="261">
        <f t="shared" ref="F21:F30" si="4">U7/E21</f>
        <v>4.4404876866393009E-3</v>
      </c>
      <c r="G21" s="286">
        <f>E21*U7</f>
        <v>11.390520633126602</v>
      </c>
      <c r="O21" s="95">
        <v>1</v>
      </c>
      <c r="P21" s="109">
        <v>1</v>
      </c>
      <c r="Q21" s="110">
        <f>P21*4+6</f>
        <v>10</v>
      </c>
      <c r="R21" s="57">
        <f>SUM($Q$21)</f>
        <v>10</v>
      </c>
      <c r="S21" s="57">
        <f>R21/R7</f>
        <v>126.61829499950055</v>
      </c>
      <c r="T21" s="261">
        <f>U7/S21</f>
        <v>1.7761950746557201E-3</v>
      </c>
      <c r="U21" s="286">
        <f>S21*U7</f>
        <v>28.476301582816507</v>
      </c>
    </row>
    <row r="22" spans="1:21" x14ac:dyDescent="0.2">
      <c r="A22" s="97">
        <v>2</v>
      </c>
      <c r="B22" s="93">
        <f>C21</f>
        <v>4</v>
      </c>
      <c r="C22" s="1">
        <f t="shared" si="2"/>
        <v>16</v>
      </c>
      <c r="D22" s="9">
        <f>SUM($C$21:C22)</f>
        <v>20</v>
      </c>
      <c r="E22" s="9">
        <f t="shared" si="3"/>
        <v>45.90822627354261</v>
      </c>
      <c r="F22" s="262">
        <f t="shared" si="4"/>
        <v>9.5200279197726837E-3</v>
      </c>
      <c r="G22" s="287">
        <f t="shared" ref="G22:G30" si="5">E22*U8</f>
        <v>20.064079923570549</v>
      </c>
      <c r="O22" s="97">
        <v>2</v>
      </c>
      <c r="P22" s="93">
        <f>Q21</f>
        <v>10</v>
      </c>
      <c r="Q22" s="1">
        <f t="shared" ref="Q22:Q30" si="6">P22*4+6</f>
        <v>46</v>
      </c>
      <c r="R22" s="9">
        <f>SUM($Q$21:Q22)</f>
        <v>56</v>
      </c>
      <c r="S22" s="9">
        <f t="shared" ref="S22:S30" si="7">R22/R8</f>
        <v>128.5430335659193</v>
      </c>
      <c r="T22" s="262">
        <f>U8/S22</f>
        <v>3.4000099713473874E-3</v>
      </c>
      <c r="U22" s="287">
        <f t="shared" ref="U22:U30" si="8">S22*U8</f>
        <v>56.179423785997535</v>
      </c>
    </row>
    <row r="23" spans="1:21" x14ac:dyDescent="0.2">
      <c r="A23" s="97">
        <v>3</v>
      </c>
      <c r="B23" s="93">
        <f t="shared" ref="B23:B30" si="9">C22</f>
        <v>16</v>
      </c>
      <c r="C23" s="1">
        <f t="shared" si="2"/>
        <v>64</v>
      </c>
      <c r="D23" s="9">
        <f>SUM($C$21:C23)</f>
        <v>84</v>
      </c>
      <c r="E23" s="9">
        <f t="shared" si="3"/>
        <v>137.30472145659553</v>
      </c>
      <c r="F23" s="262">
        <f t="shared" si="4"/>
        <v>4.6364354693796666E-3</v>
      </c>
      <c r="G23" s="287">
        <f t="shared" si="5"/>
        <v>87.408800897054149</v>
      </c>
      <c r="O23" s="97">
        <v>3</v>
      </c>
      <c r="P23" s="93">
        <f t="shared" ref="P23:P30" si="10">Q22</f>
        <v>46</v>
      </c>
      <c r="Q23" s="1">
        <f t="shared" si="6"/>
        <v>190</v>
      </c>
      <c r="R23" s="9">
        <f>SUM($Q$21:Q23)</f>
        <v>246</v>
      </c>
      <c r="S23" s="9">
        <f t="shared" si="7"/>
        <v>402.10668426574409</v>
      </c>
      <c r="T23" s="262">
        <f t="shared" ref="T23:T30" si="11">U9/S23</f>
        <v>1.583173087105252E-3</v>
      </c>
      <c r="U23" s="287">
        <f t="shared" si="8"/>
        <v>255.98291691280144</v>
      </c>
    </row>
    <row r="24" spans="1:21" x14ac:dyDescent="0.2">
      <c r="A24" s="97">
        <v>4</v>
      </c>
      <c r="B24" s="93">
        <f t="shared" si="9"/>
        <v>64</v>
      </c>
      <c r="C24" s="1">
        <f t="shared" si="2"/>
        <v>256</v>
      </c>
      <c r="D24" s="9">
        <f>SUM($C$21:C24)</f>
        <v>340</v>
      </c>
      <c r="E24" s="9">
        <f t="shared" si="3"/>
        <v>475.04914310624702</v>
      </c>
      <c r="F24" s="262">
        <f t="shared" si="4"/>
        <v>1.7341086846567443E-3</v>
      </c>
      <c r="G24" s="287">
        <f t="shared" si="5"/>
        <v>391.33923467659554</v>
      </c>
      <c r="O24" s="97">
        <v>4</v>
      </c>
      <c r="P24" s="93">
        <f t="shared" si="10"/>
        <v>190</v>
      </c>
      <c r="Q24" s="1">
        <f t="shared" si="6"/>
        <v>766</v>
      </c>
      <c r="R24" s="9">
        <f>SUM($Q$21:Q24)</f>
        <v>1012</v>
      </c>
      <c r="S24" s="9">
        <f t="shared" si="7"/>
        <v>1413.9698024221236</v>
      </c>
      <c r="T24" s="262">
        <f t="shared" si="11"/>
        <v>5.8260568456847139E-4</v>
      </c>
      <c r="U24" s="287">
        <f t="shared" si="8"/>
        <v>1164.8097220373963</v>
      </c>
    </row>
    <row r="25" spans="1:21" x14ac:dyDescent="0.2">
      <c r="A25" s="97">
        <v>5</v>
      </c>
      <c r="B25" s="93">
        <f t="shared" si="9"/>
        <v>256</v>
      </c>
      <c r="C25" s="1">
        <f t="shared" si="2"/>
        <v>1024</v>
      </c>
      <c r="D25" s="9">
        <f>SUM($C$21:C25)</f>
        <v>1364</v>
      </c>
      <c r="E25" s="9">
        <f t="shared" si="3"/>
        <v>1740.7050801808666</v>
      </c>
      <c r="F25" s="262">
        <f t="shared" si="4"/>
        <v>5.7382935769600648E-4</v>
      </c>
      <c r="G25" s="287">
        <f t="shared" si="5"/>
        <v>1738.7340416942855</v>
      </c>
      <c r="O25" s="97">
        <v>5</v>
      </c>
      <c r="P25" s="93">
        <f t="shared" si="10"/>
        <v>766</v>
      </c>
      <c r="Q25" s="1">
        <f t="shared" si="6"/>
        <v>3070</v>
      </c>
      <c r="R25" s="9">
        <f>SUM($Q$21:Q25)</f>
        <v>4082</v>
      </c>
      <c r="S25" s="9">
        <f t="shared" si="7"/>
        <v>5209.353473092594</v>
      </c>
      <c r="T25" s="262">
        <f t="shared" si="11"/>
        <v>1.9174503770145828E-4</v>
      </c>
      <c r="U25" s="287">
        <f t="shared" si="8"/>
        <v>5203.4548080616378</v>
      </c>
    </row>
    <row r="26" spans="1:21" x14ac:dyDescent="0.2">
      <c r="A26" s="97">
        <v>6</v>
      </c>
      <c r="B26" s="93">
        <f t="shared" si="9"/>
        <v>1024</v>
      </c>
      <c r="C26" s="1">
        <f t="shared" si="2"/>
        <v>4096</v>
      </c>
      <c r="D26" s="9">
        <f>SUM($C$21:C26)</f>
        <v>5460</v>
      </c>
      <c r="E26" s="9">
        <f t="shared" si="3"/>
        <v>6571.2587066127853</v>
      </c>
      <c r="F26" s="262">
        <f t="shared" si="4"/>
        <v>1.7685667668229806E-4</v>
      </c>
      <c r="G26" s="287">
        <f t="shared" si="5"/>
        <v>7636.9261477087493</v>
      </c>
      <c r="O26" s="97">
        <v>6</v>
      </c>
      <c r="P26" s="93">
        <f t="shared" si="10"/>
        <v>3070</v>
      </c>
      <c r="Q26" s="1">
        <f t="shared" si="6"/>
        <v>12286</v>
      </c>
      <c r="R26" s="9">
        <f>SUM($Q$21:Q26)</f>
        <v>16368</v>
      </c>
      <c r="S26" s="9">
        <f t="shared" si="7"/>
        <v>19699.333793010635</v>
      </c>
      <c r="T26" s="262">
        <f t="shared" si="11"/>
        <v>5.8995445667482119E-5</v>
      </c>
      <c r="U26" s="287">
        <f t="shared" si="8"/>
        <v>22893.993990054361</v>
      </c>
    </row>
    <row r="27" spans="1:21" x14ac:dyDescent="0.2">
      <c r="A27" s="97">
        <v>7</v>
      </c>
      <c r="B27" s="93">
        <f t="shared" si="9"/>
        <v>4096</v>
      </c>
      <c r="C27" s="1">
        <f t="shared" si="2"/>
        <v>16384</v>
      </c>
      <c r="D27" s="9">
        <f>SUM($C$21:C27)</f>
        <v>21844</v>
      </c>
      <c r="E27" s="9">
        <f t="shared" si="3"/>
        <v>25242.530175779844</v>
      </c>
      <c r="F27" s="262">
        <f t="shared" si="4"/>
        <v>5.2057636241048283E-5</v>
      </c>
      <c r="G27" s="287">
        <f t="shared" si="5"/>
        <v>33170.362110361704</v>
      </c>
      <c r="O27" s="97">
        <v>7</v>
      </c>
      <c r="P27" s="93">
        <f t="shared" si="10"/>
        <v>12286</v>
      </c>
      <c r="Q27" s="1">
        <f t="shared" si="6"/>
        <v>49150</v>
      </c>
      <c r="R27" s="9">
        <f>SUM($Q$21:Q27)</f>
        <v>65518</v>
      </c>
      <c r="S27" s="9">
        <f t="shared" si="7"/>
        <v>75711.412381282906</v>
      </c>
      <c r="T27" s="262">
        <f t="shared" si="11"/>
        <v>1.7356253335716274E-5</v>
      </c>
      <c r="U27" s="287">
        <f t="shared" si="8"/>
        <v>99489.827172069126</v>
      </c>
    </row>
    <row r="28" spans="1:21" x14ac:dyDescent="0.2">
      <c r="A28" s="97">
        <v>8</v>
      </c>
      <c r="B28" s="93">
        <f t="shared" si="9"/>
        <v>16384</v>
      </c>
      <c r="C28" s="1">
        <f t="shared" si="2"/>
        <v>65536</v>
      </c>
      <c r="D28" s="9">
        <f>SUM($C$21:C28)</f>
        <v>87380</v>
      </c>
      <c r="E28" s="9">
        <f t="shared" si="3"/>
        <v>98034.414049278595</v>
      </c>
      <c r="F28" s="262">
        <f t="shared" si="4"/>
        <v>1.484135680363211E-5</v>
      </c>
      <c r="G28" s="287">
        <f t="shared" si="5"/>
        <v>142636.5155512419</v>
      </c>
      <c r="O28" s="97">
        <v>8</v>
      </c>
      <c r="P28" s="93">
        <f t="shared" si="10"/>
        <v>49150</v>
      </c>
      <c r="Q28" s="1">
        <f t="shared" si="6"/>
        <v>196606</v>
      </c>
      <c r="R28" s="9">
        <f>SUM($Q$21:Q28)</f>
        <v>262124</v>
      </c>
      <c r="S28" s="9">
        <f t="shared" si="7"/>
        <v>294085.2912365885</v>
      </c>
      <c r="T28" s="262">
        <f t="shared" si="11"/>
        <v>4.9474209057597693E-6</v>
      </c>
      <c r="U28" s="287">
        <f t="shared" si="8"/>
        <v>427883.42872915691</v>
      </c>
    </row>
    <row r="29" spans="1:21" x14ac:dyDescent="0.2">
      <c r="A29" s="97">
        <v>9</v>
      </c>
      <c r="B29" s="93">
        <f t="shared" si="9"/>
        <v>65536</v>
      </c>
      <c r="C29" s="1">
        <f t="shared" si="2"/>
        <v>262144</v>
      </c>
      <c r="D29" s="9">
        <f>SUM($C$21:C29)</f>
        <v>349524</v>
      </c>
      <c r="E29" s="9">
        <f t="shared" si="3"/>
        <v>383526.65506991657</v>
      </c>
      <c r="F29" s="262">
        <f t="shared" si="4"/>
        <v>4.1334964912559721E-6</v>
      </c>
      <c r="G29" s="287">
        <f t="shared" si="5"/>
        <v>608007.13928826677</v>
      </c>
      <c r="O29" s="97">
        <v>9</v>
      </c>
      <c r="P29" s="93">
        <f t="shared" si="10"/>
        <v>196606</v>
      </c>
      <c r="Q29" s="1">
        <f t="shared" si="6"/>
        <v>786430</v>
      </c>
      <c r="R29" s="9">
        <f>SUM($Q$21:Q29)</f>
        <v>1048554</v>
      </c>
      <c r="S29" s="9">
        <f t="shared" si="7"/>
        <v>1150560.214120293</v>
      </c>
      <c r="T29" s="262">
        <f t="shared" si="11"/>
        <v>1.3778558163048851E-6</v>
      </c>
      <c r="U29" s="287">
        <f t="shared" si="8"/>
        <v>1823990.106342538</v>
      </c>
    </row>
    <row r="30" spans="1:21" ht="17" thickBot="1" x14ac:dyDescent="0.25">
      <c r="A30" s="145">
        <v>10</v>
      </c>
      <c r="B30" s="94">
        <f t="shared" si="9"/>
        <v>262144</v>
      </c>
      <c r="C30" s="111">
        <f t="shared" si="2"/>
        <v>1048576</v>
      </c>
      <c r="D30" s="10">
        <f>SUM($C$21:C30)</f>
        <v>1398100</v>
      </c>
      <c r="E30" s="10">
        <f t="shared" si="3"/>
        <v>1508067.8678620998</v>
      </c>
      <c r="F30" s="262">
        <f t="shared" si="4"/>
        <v>1.1309598354160005E-6</v>
      </c>
      <c r="G30" s="288">
        <f t="shared" si="5"/>
        <v>2572106.5479463753</v>
      </c>
      <c r="O30" s="145">
        <v>10</v>
      </c>
      <c r="P30" s="94">
        <f t="shared" si="10"/>
        <v>786430</v>
      </c>
      <c r="Q30" s="111">
        <f t="shared" si="6"/>
        <v>3145726</v>
      </c>
      <c r="R30" s="10">
        <f>SUM($Q$21:Q30)</f>
        <v>4194280</v>
      </c>
      <c r="S30" s="10">
        <f t="shared" si="7"/>
        <v>4524182.0304818302</v>
      </c>
      <c r="T30" s="264">
        <f t="shared" si="11"/>
        <v>3.7698840942786619E-7</v>
      </c>
      <c r="U30" s="288">
        <f t="shared" si="8"/>
        <v>7716282.849524728</v>
      </c>
    </row>
    <row r="31" spans="1:21" ht="17" thickBot="1" x14ac:dyDescent="0.25"/>
    <row r="32" spans="1:21" ht="17" thickBot="1" x14ac:dyDescent="0.25">
      <c r="A32" s="117" t="s">
        <v>135</v>
      </c>
      <c r="B32" s="118" t="s">
        <v>140</v>
      </c>
      <c r="C32" s="118" t="s">
        <v>139</v>
      </c>
      <c r="D32" s="170" t="s">
        <v>138</v>
      </c>
      <c r="E32" s="166" t="s">
        <v>151</v>
      </c>
      <c r="F32" s="167" t="s">
        <v>152</v>
      </c>
      <c r="G32" s="290" t="s">
        <v>47</v>
      </c>
      <c r="O32" s="29" t="s">
        <v>135</v>
      </c>
      <c r="P32" s="118" t="s">
        <v>140</v>
      </c>
      <c r="Q32" s="118" t="s">
        <v>139</v>
      </c>
      <c r="R32" s="118" t="s">
        <v>138</v>
      </c>
      <c r="S32" s="166" t="s">
        <v>151</v>
      </c>
      <c r="T32" s="167" t="s">
        <v>152</v>
      </c>
      <c r="U32" s="294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4</v>
      </c>
      <c r="D33" s="57">
        <f>SUM($C$33:C33)</f>
        <v>4</v>
      </c>
      <c r="E33" s="8">
        <f t="shared" ref="E33:E42" si="13">D33/R7</f>
        <v>50.647317999800215</v>
      </c>
      <c r="F33" s="261">
        <f t="shared" ref="F33:F42" si="14">U7/E33</f>
        <v>4.4404876866393009E-3</v>
      </c>
      <c r="G33" s="289">
        <f>E33*U7</f>
        <v>11.390520633126602</v>
      </c>
      <c r="O33" s="101">
        <v>1</v>
      </c>
      <c r="P33" s="109">
        <v>1</v>
      </c>
      <c r="Q33" s="110">
        <f>P33*4+6</f>
        <v>10</v>
      </c>
      <c r="R33" s="57">
        <f>SUM($Q$21)</f>
        <v>10</v>
      </c>
      <c r="S33" s="281">
        <f>R33/R7</f>
        <v>126.61829499950055</v>
      </c>
      <c r="T33" s="261">
        <f>U7/S33</f>
        <v>1.7761950746557201E-3</v>
      </c>
      <c r="U33" s="289">
        <f>S33*U7</f>
        <v>28.476301582816507</v>
      </c>
    </row>
    <row r="34" spans="1:21" x14ac:dyDescent="0.2">
      <c r="A34" s="97">
        <v>2</v>
      </c>
      <c r="B34" s="93">
        <f t="shared" ref="B34:B42" si="15">B33*($O$2+1)</f>
        <v>5</v>
      </c>
      <c r="C34" s="1">
        <f t="shared" si="12"/>
        <v>20</v>
      </c>
      <c r="D34" s="9">
        <f>SUM($C$33:C34)</f>
        <v>24</v>
      </c>
      <c r="E34" s="9">
        <f t="shared" si="13"/>
        <v>55.08987152825113</v>
      </c>
      <c r="F34" s="262">
        <f t="shared" si="14"/>
        <v>7.9333565998105701E-3</v>
      </c>
      <c r="G34" s="287">
        <f t="shared" ref="G34:G42" si="16">E34*U8</f>
        <v>24.076895908284659</v>
      </c>
      <c r="O34" s="99">
        <v>2</v>
      </c>
      <c r="P34" s="93">
        <f>Q33+1</f>
        <v>11</v>
      </c>
      <c r="Q34" s="1">
        <f t="shared" ref="Q34:Q42" si="17">P34*4+6</f>
        <v>50</v>
      </c>
      <c r="R34" s="9">
        <f>SUM($Q$33:Q34)</f>
        <v>60</v>
      </c>
      <c r="S34" s="282">
        <f>R34/R8</f>
        <v>137.72467882062782</v>
      </c>
      <c r="T34" s="262">
        <f t="shared" ref="T34:T42" si="18">U8/S34</f>
        <v>3.1733426399242286E-3</v>
      </c>
      <c r="U34" s="287">
        <f t="shared" ref="U34:U42" si="19">S34*U8</f>
        <v>60.192239770711637</v>
      </c>
    </row>
    <row r="35" spans="1:21" x14ac:dyDescent="0.2">
      <c r="A35" s="97">
        <v>3</v>
      </c>
      <c r="B35" s="93">
        <f t="shared" si="15"/>
        <v>25</v>
      </c>
      <c r="C35" s="1">
        <f t="shared" si="12"/>
        <v>100</v>
      </c>
      <c r="D35" s="9">
        <f>SUM($C$33:C35)</f>
        <v>124</v>
      </c>
      <c r="E35" s="9">
        <f t="shared" si="13"/>
        <v>202.68792215021244</v>
      </c>
      <c r="F35" s="262">
        <f t="shared" si="14"/>
        <v>3.1408111244184841E-3</v>
      </c>
      <c r="G35" s="287">
        <f t="shared" si="16"/>
        <v>129.03203941946089</v>
      </c>
      <c r="O35" s="99">
        <v>3</v>
      </c>
      <c r="P35" s="93">
        <f t="shared" ref="P35:P42" si="20">Q34+1</f>
        <v>51</v>
      </c>
      <c r="Q35" s="1">
        <f t="shared" si="17"/>
        <v>210</v>
      </c>
      <c r="R35" s="9">
        <f>SUM($Q$33:Q35)</f>
        <v>270</v>
      </c>
      <c r="S35" s="282">
        <f t="shared" ref="S35:S42" si="21">R35/R9</f>
        <v>441.3366046819142</v>
      </c>
      <c r="T35" s="262">
        <f t="shared" si="18"/>
        <v>1.4424465904736741E-3</v>
      </c>
      <c r="U35" s="287">
        <f t="shared" si="19"/>
        <v>280.95686002624547</v>
      </c>
    </row>
    <row r="36" spans="1:21" x14ac:dyDescent="0.2">
      <c r="A36" s="97">
        <v>4</v>
      </c>
      <c r="B36" s="93">
        <f t="shared" si="15"/>
        <v>125</v>
      </c>
      <c r="C36" s="1">
        <f t="shared" si="12"/>
        <v>500</v>
      </c>
      <c r="D36" s="9">
        <f>SUM($C$33:C36)</f>
        <v>624</v>
      </c>
      <c r="E36" s="9">
        <f t="shared" si="13"/>
        <v>871.85489793617103</v>
      </c>
      <c r="F36" s="262">
        <f t="shared" si="14"/>
        <v>9.4486691151168757E-4</v>
      </c>
      <c r="G36" s="287">
        <f t="shared" si="16"/>
        <v>718.22259540645769</v>
      </c>
      <c r="O36" s="99">
        <v>4</v>
      </c>
      <c r="P36" s="93">
        <f t="shared" si="20"/>
        <v>211</v>
      </c>
      <c r="Q36" s="1">
        <f t="shared" si="17"/>
        <v>850</v>
      </c>
      <c r="R36" s="9">
        <f>SUM($Q$33:Q36)</f>
        <v>1120</v>
      </c>
      <c r="S36" s="282">
        <f t="shared" si="21"/>
        <v>1564.8677655264607</v>
      </c>
      <c r="T36" s="262">
        <f t="shared" si="18"/>
        <v>5.2642585069936887E-4</v>
      </c>
      <c r="U36" s="287">
        <f t="shared" si="19"/>
        <v>1289.1174789346676</v>
      </c>
    </row>
    <row r="37" spans="1:21" x14ac:dyDescent="0.2">
      <c r="A37" s="97">
        <v>5</v>
      </c>
      <c r="B37" s="93">
        <f t="shared" si="15"/>
        <v>625</v>
      </c>
      <c r="C37" s="1">
        <f t="shared" si="12"/>
        <v>2500</v>
      </c>
      <c r="D37" s="9">
        <f>SUM($C$33:C37)</f>
        <v>3124</v>
      </c>
      <c r="E37" s="9">
        <f t="shared" si="13"/>
        <v>3986.7761513819851</v>
      </c>
      <c r="F37" s="262">
        <f t="shared" si="14"/>
        <v>2.5054521251515773E-4</v>
      </c>
      <c r="G37" s="287">
        <f t="shared" si="16"/>
        <v>3982.2618374288477</v>
      </c>
      <c r="O37" s="99">
        <v>5</v>
      </c>
      <c r="P37" s="93">
        <f t="shared" si="20"/>
        <v>851</v>
      </c>
      <c r="Q37" s="1">
        <f t="shared" si="17"/>
        <v>3410</v>
      </c>
      <c r="R37" s="9">
        <f>SUM($Q$33:Q37)</f>
        <v>4530</v>
      </c>
      <c r="S37" s="282">
        <f t="shared" si="21"/>
        <v>5781.0806548528781</v>
      </c>
      <c r="T37" s="262">
        <f t="shared" si="18"/>
        <v>1.7278217304577325E-4</v>
      </c>
      <c r="U37" s="287">
        <f t="shared" si="19"/>
        <v>5774.5346106122524</v>
      </c>
    </row>
    <row r="38" spans="1:21" x14ac:dyDescent="0.2">
      <c r="A38" s="97">
        <v>6</v>
      </c>
      <c r="B38" s="93">
        <f t="shared" si="15"/>
        <v>3125</v>
      </c>
      <c r="C38" s="1">
        <f t="shared" si="12"/>
        <v>12500</v>
      </c>
      <c r="D38" s="9">
        <f>SUM($C$33:C38)</f>
        <v>15624</v>
      </c>
      <c r="E38" s="9">
        <f t="shared" si="13"/>
        <v>18803.90952969197</v>
      </c>
      <c r="F38" s="262">
        <f t="shared" si="14"/>
        <v>6.1804752604028895E-5</v>
      </c>
      <c r="G38" s="287">
        <f t="shared" si="16"/>
        <v>21853.357899597344</v>
      </c>
      <c r="O38" s="99">
        <v>6</v>
      </c>
      <c r="P38" s="93">
        <f t="shared" si="20"/>
        <v>3411</v>
      </c>
      <c r="Q38" s="1">
        <f t="shared" si="17"/>
        <v>13650</v>
      </c>
      <c r="R38" s="9">
        <f>SUM($Q$33:Q38)</f>
        <v>18180</v>
      </c>
      <c r="S38" s="282">
        <f t="shared" si="21"/>
        <v>21880.125143996418</v>
      </c>
      <c r="T38" s="262">
        <f t="shared" si="18"/>
        <v>5.3115371544848587E-5</v>
      </c>
      <c r="U38" s="287">
        <f t="shared" si="19"/>
        <v>25428.446403909355</v>
      </c>
    </row>
    <row r="39" spans="1:21" x14ac:dyDescent="0.2">
      <c r="A39" s="97">
        <v>7</v>
      </c>
      <c r="B39" s="93">
        <f t="shared" si="15"/>
        <v>15625</v>
      </c>
      <c r="C39" s="1">
        <f t="shared" si="12"/>
        <v>62500</v>
      </c>
      <c r="D39" s="9">
        <f>SUM($C$33:C39)</f>
        <v>78124</v>
      </c>
      <c r="E39" s="9">
        <f t="shared" si="13"/>
        <v>90278.677323412587</v>
      </c>
      <c r="F39" s="262">
        <f t="shared" si="14"/>
        <v>1.4555667989983343E-5</v>
      </c>
      <c r="G39" s="287">
        <f t="shared" si="16"/>
        <v>118632.18135460069</v>
      </c>
      <c r="O39" s="99">
        <v>7</v>
      </c>
      <c r="P39" s="93">
        <f t="shared" si="20"/>
        <v>13651</v>
      </c>
      <c r="Q39" s="1">
        <f t="shared" si="17"/>
        <v>54610</v>
      </c>
      <c r="R39" s="9">
        <f>SUM($Q$33:Q39)</f>
        <v>72790</v>
      </c>
      <c r="S39" s="282">
        <f t="shared" si="21"/>
        <v>84114.803675838441</v>
      </c>
      <c r="T39" s="262">
        <f t="shared" si="18"/>
        <v>1.5622297101929644E-5</v>
      </c>
      <c r="U39" s="287">
        <f t="shared" si="19"/>
        <v>110532.44176951237</v>
      </c>
    </row>
    <row r="40" spans="1:21" x14ac:dyDescent="0.2">
      <c r="A40" s="97">
        <v>8</v>
      </c>
      <c r="B40" s="93">
        <f t="shared" si="15"/>
        <v>78125</v>
      </c>
      <c r="C40" s="1">
        <f t="shared" si="12"/>
        <v>312500</v>
      </c>
      <c r="D40" s="9">
        <f>SUM($C$33:C40)</f>
        <v>390624</v>
      </c>
      <c r="E40" s="9">
        <f t="shared" si="13"/>
        <v>438253.54719140998</v>
      </c>
      <c r="F40" s="262">
        <f t="shared" si="14"/>
        <v>3.3199131581812018E-6</v>
      </c>
      <c r="G40" s="287">
        <f t="shared" si="16"/>
        <v>637643.01042215968</v>
      </c>
      <c r="O40" s="99">
        <v>8</v>
      </c>
      <c r="P40" s="93">
        <f t="shared" si="20"/>
        <v>54611</v>
      </c>
      <c r="Q40" s="1">
        <f t="shared" si="17"/>
        <v>218450</v>
      </c>
      <c r="R40" s="9">
        <f>SUM($Q$33:Q40)</f>
        <v>291240</v>
      </c>
      <c r="S40" s="282">
        <f t="shared" si="21"/>
        <v>326751.46197884984</v>
      </c>
      <c r="T40" s="262">
        <f t="shared" si="18"/>
        <v>4.4528147146730318E-6</v>
      </c>
      <c r="U40" s="287">
        <f t="shared" si="19"/>
        <v>475411.52196319174</v>
      </c>
    </row>
    <row r="41" spans="1:21" x14ac:dyDescent="0.2">
      <c r="A41" s="97">
        <v>9</v>
      </c>
      <c r="B41" s="93">
        <f t="shared" si="15"/>
        <v>390625</v>
      </c>
      <c r="C41" s="1">
        <f t="shared" si="12"/>
        <v>1562500</v>
      </c>
      <c r="D41" s="9">
        <f>SUM($C$33:C41)</f>
        <v>1953124</v>
      </c>
      <c r="E41" s="9">
        <f t="shared" si="13"/>
        <v>2143129.2691110643</v>
      </c>
      <c r="F41" s="262">
        <f t="shared" si="14"/>
        <v>7.3971556727056384E-7</v>
      </c>
      <c r="G41" s="287">
        <f t="shared" si="16"/>
        <v>3397515.8670513513</v>
      </c>
      <c r="O41" s="99">
        <v>9</v>
      </c>
      <c r="P41" s="93">
        <f t="shared" si="20"/>
        <v>218451</v>
      </c>
      <c r="Q41" s="1">
        <f t="shared" si="17"/>
        <v>873810</v>
      </c>
      <c r="R41" s="9">
        <f>SUM($Q$33:Q41)</f>
        <v>1165050</v>
      </c>
      <c r="S41" s="282">
        <f t="shared" si="21"/>
        <v>1278389.2650839607</v>
      </c>
      <c r="T41" s="262">
        <f t="shared" si="18"/>
        <v>1.2400808785972727E-6</v>
      </c>
      <c r="U41" s="287">
        <f t="shared" si="19"/>
        <v>2026638.2784237855</v>
      </c>
    </row>
    <row r="42" spans="1:21" ht="17" thickBot="1" x14ac:dyDescent="0.25">
      <c r="A42" s="145">
        <v>10</v>
      </c>
      <c r="B42" s="94">
        <f t="shared" si="15"/>
        <v>1953125</v>
      </c>
      <c r="C42" s="111">
        <f t="shared" si="12"/>
        <v>7812500</v>
      </c>
      <c r="D42" s="10">
        <f>SUM($C$33:C42)</f>
        <v>9765624</v>
      </c>
      <c r="E42" s="9">
        <f t="shared" si="13"/>
        <v>10533741.337545918</v>
      </c>
      <c r="F42" s="262">
        <f t="shared" si="14"/>
        <v>1.6191437903969175E-7</v>
      </c>
      <c r="G42" s="288">
        <f t="shared" si="16"/>
        <v>17965971.987112705</v>
      </c>
      <c r="O42" s="100">
        <v>10</v>
      </c>
      <c r="P42" s="94">
        <f t="shared" si="20"/>
        <v>873811</v>
      </c>
      <c r="Q42" s="111">
        <f t="shared" si="17"/>
        <v>3495250</v>
      </c>
      <c r="R42" s="10">
        <f>SUM($Q$33:Q42)</f>
        <v>4660300</v>
      </c>
      <c r="S42" s="283">
        <f t="shared" si="21"/>
        <v>5026856.9376995517</v>
      </c>
      <c r="T42" s="264">
        <f t="shared" si="18"/>
        <v>3.3929037742100519E-7</v>
      </c>
      <c r="U42" s="288">
        <f t="shared" si="19"/>
        <v>8573627.1692972556</v>
      </c>
    </row>
    <row r="43" spans="1:21" ht="17" thickBot="1" x14ac:dyDescent="0.25">
      <c r="U43" s="285"/>
    </row>
    <row r="44" spans="1:21" ht="17" thickBot="1" x14ac:dyDescent="0.25">
      <c r="A44" s="117" t="s">
        <v>135</v>
      </c>
      <c r="B44" s="118" t="s">
        <v>140</v>
      </c>
      <c r="C44" s="118" t="s">
        <v>139</v>
      </c>
      <c r="D44" s="170" t="s">
        <v>138</v>
      </c>
      <c r="E44" s="166" t="s">
        <v>151</v>
      </c>
      <c r="F44" s="291" t="s">
        <v>152</v>
      </c>
      <c r="G44" s="290" t="s">
        <v>47</v>
      </c>
      <c r="O44" s="29" t="s">
        <v>135</v>
      </c>
      <c r="P44" s="118" t="s">
        <v>140</v>
      </c>
      <c r="Q44" s="118" t="s">
        <v>139</v>
      </c>
      <c r="R44" s="118" t="s">
        <v>138</v>
      </c>
      <c r="S44" s="166" t="s">
        <v>151</v>
      </c>
      <c r="T44" s="167" t="s">
        <v>152</v>
      </c>
      <c r="U44" s="294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4</v>
      </c>
      <c r="D45" s="57">
        <f>SUM(C45:C45)</f>
        <v>4</v>
      </c>
      <c r="E45" s="57">
        <f t="shared" ref="E45:E54" si="23">D45/R7</f>
        <v>50.647317999800215</v>
      </c>
      <c r="F45" s="292">
        <f t="shared" ref="F45:F54" si="24">U7/E45</f>
        <v>4.4404876866393009E-3</v>
      </c>
      <c r="G45" s="286">
        <f>E45*U7</f>
        <v>11.390520633126602</v>
      </c>
      <c r="O45" s="101">
        <v>1</v>
      </c>
      <c r="P45" s="109">
        <v>1</v>
      </c>
      <c r="Q45" s="110">
        <f>P45*4+6</f>
        <v>10</v>
      </c>
      <c r="R45" s="57">
        <f>SUM($Q$21)</f>
        <v>10</v>
      </c>
      <c r="S45" s="281">
        <f>R45/R7</f>
        <v>126.61829499950055</v>
      </c>
      <c r="T45" s="261">
        <f>U7/S45</f>
        <v>1.7761950746557201E-3</v>
      </c>
      <c r="U45" s="289">
        <f>S45*U7</f>
        <v>28.476301582816507</v>
      </c>
    </row>
    <row r="46" spans="1:21" x14ac:dyDescent="0.2">
      <c r="A46" s="97">
        <v>2</v>
      </c>
      <c r="B46" s="93">
        <f t="shared" ref="B46:B54" si="25">B45*$O$2*2</f>
        <v>8</v>
      </c>
      <c r="C46" s="1">
        <f t="shared" si="22"/>
        <v>32</v>
      </c>
      <c r="D46" s="9">
        <f>SUM($C$45:C46)</f>
        <v>36</v>
      </c>
      <c r="E46" s="9">
        <f t="shared" si="23"/>
        <v>82.634807292376692</v>
      </c>
      <c r="F46" s="99">
        <f t="shared" si="24"/>
        <v>5.2889043998737137E-3</v>
      </c>
      <c r="G46" s="287">
        <f t="shared" ref="G46:G54" si="26">E46*U8</f>
        <v>36.115343862426982</v>
      </c>
      <c r="O46" s="99">
        <v>2</v>
      </c>
      <c r="P46" s="93">
        <f>Q45*2</f>
        <v>20</v>
      </c>
      <c r="Q46" s="1">
        <f t="shared" ref="Q46:Q54" si="27">P46*4+6</f>
        <v>86</v>
      </c>
      <c r="R46" s="9">
        <f>SUM($Q$45:Q46)</f>
        <v>96</v>
      </c>
      <c r="S46" s="282">
        <f t="shared" ref="S46:S54" si="28">R46/R8</f>
        <v>220.35948611300452</v>
      </c>
      <c r="T46" s="262">
        <f t="shared" ref="T46:T54" si="29">U8/S46</f>
        <v>1.9833391499526425E-3</v>
      </c>
      <c r="U46" s="287">
        <f t="shared" ref="U46:U54" si="30">S46*U8</f>
        <v>96.307583633138634</v>
      </c>
    </row>
    <row r="47" spans="1:21" x14ac:dyDescent="0.2">
      <c r="A47" s="97">
        <v>3</v>
      </c>
      <c r="B47" s="93">
        <f t="shared" si="25"/>
        <v>64</v>
      </c>
      <c r="C47" s="1">
        <f t="shared" si="22"/>
        <v>256</v>
      </c>
      <c r="D47" s="9">
        <f>SUM($C$45:C47)</f>
        <v>292</v>
      </c>
      <c r="E47" s="9">
        <f t="shared" si="23"/>
        <v>477.2973650634035</v>
      </c>
      <c r="F47" s="99">
        <f t="shared" si="24"/>
        <v>1.3337691076297671E-3</v>
      </c>
      <c r="G47" s="287">
        <f t="shared" si="26"/>
        <v>303.84964121356916</v>
      </c>
      <c r="O47" s="99">
        <v>3</v>
      </c>
      <c r="P47" s="93">
        <f t="shared" ref="P47:P54" si="31">Q46*2</f>
        <v>172</v>
      </c>
      <c r="Q47" s="1">
        <f t="shared" si="27"/>
        <v>694</v>
      </c>
      <c r="R47" s="9">
        <f>SUM($Q$45:Q47)</f>
        <v>790</v>
      </c>
      <c r="S47" s="282">
        <f t="shared" si="28"/>
        <v>1291.3182136989342</v>
      </c>
      <c r="T47" s="262">
        <f t="shared" si="29"/>
        <v>4.9298807522517979E-4</v>
      </c>
      <c r="U47" s="287">
        <f t="shared" si="30"/>
        <v>822.05896081753303</v>
      </c>
    </row>
    <row r="48" spans="1:21" x14ac:dyDescent="0.2">
      <c r="A48" s="97">
        <v>4</v>
      </c>
      <c r="B48" s="93">
        <f t="shared" si="25"/>
        <v>512</v>
      </c>
      <c r="C48" s="1">
        <f t="shared" si="22"/>
        <v>2048</v>
      </c>
      <c r="D48" s="9">
        <f>SUM($C$45:C48)</f>
        <v>2340</v>
      </c>
      <c r="E48" s="9">
        <f t="shared" si="23"/>
        <v>3269.4558672606413</v>
      </c>
      <c r="F48" s="99">
        <f t="shared" si="24"/>
        <v>2.5196450973645002E-4</v>
      </c>
      <c r="G48" s="287">
        <f t="shared" si="26"/>
        <v>2693.3347327742163</v>
      </c>
      <c r="O48" s="99">
        <v>4</v>
      </c>
      <c r="P48" s="93">
        <f t="shared" si="31"/>
        <v>1388</v>
      </c>
      <c r="Q48" s="1">
        <f t="shared" si="27"/>
        <v>5558</v>
      </c>
      <c r="R48" s="9">
        <f>SUM($Q$45:Q48)</f>
        <v>6348</v>
      </c>
      <c r="S48" s="282">
        <f t="shared" si="28"/>
        <v>8869.4469424660474</v>
      </c>
      <c r="T48" s="262">
        <f t="shared" si="29"/>
        <v>9.2879167105118632E-5</v>
      </c>
      <c r="U48" s="287">
        <f t="shared" si="30"/>
        <v>7306.5337109618486</v>
      </c>
    </row>
    <row r="49" spans="1:21" x14ac:dyDescent="0.2">
      <c r="A49" s="97">
        <v>5</v>
      </c>
      <c r="B49" s="93">
        <f t="shared" si="25"/>
        <v>4096</v>
      </c>
      <c r="C49" s="1">
        <f t="shared" si="22"/>
        <v>16384</v>
      </c>
      <c r="D49" s="9">
        <f>SUM($C$45:C49)</f>
        <v>18724</v>
      </c>
      <c r="E49" s="9">
        <f t="shared" si="23"/>
        <v>23895.133373391898</v>
      </c>
      <c r="F49" s="99">
        <f t="shared" si="24"/>
        <v>4.1802138640106425E-5</v>
      </c>
      <c r="G49" s="287">
        <f t="shared" si="26"/>
        <v>23868.076390530648</v>
      </c>
      <c r="O49" s="99">
        <v>5</v>
      </c>
      <c r="P49" s="93">
        <f t="shared" si="31"/>
        <v>11116</v>
      </c>
      <c r="Q49" s="1">
        <f t="shared" si="27"/>
        <v>44470</v>
      </c>
      <c r="R49" s="9">
        <f>SUM($Q$45:Q49)</f>
        <v>50818</v>
      </c>
      <c r="S49" s="282">
        <f t="shared" si="28"/>
        <v>64852.749827442291</v>
      </c>
      <c r="T49" s="262">
        <f t="shared" si="29"/>
        <v>1.5402086738898673E-5</v>
      </c>
      <c r="U49" s="287">
        <f t="shared" si="30"/>
        <v>64779.315638431231</v>
      </c>
    </row>
    <row r="50" spans="1:21" x14ac:dyDescent="0.2">
      <c r="A50" s="97">
        <v>6</v>
      </c>
      <c r="B50" s="93">
        <f t="shared" si="25"/>
        <v>32768</v>
      </c>
      <c r="C50" s="1">
        <f t="shared" si="22"/>
        <v>131072</v>
      </c>
      <c r="D50" s="9">
        <f>SUM($C$45:C50)</f>
        <v>149796</v>
      </c>
      <c r="E50" s="9">
        <f t="shared" si="23"/>
        <v>180283.56579043384</v>
      </c>
      <c r="F50" s="99">
        <f t="shared" si="24"/>
        <v>6.446350067327214E-6</v>
      </c>
      <c r="G50" s="287">
        <f t="shared" si="26"/>
        <v>209520.32769636993</v>
      </c>
      <c r="O50" s="99">
        <v>6</v>
      </c>
      <c r="P50" s="93">
        <f t="shared" si="31"/>
        <v>88940</v>
      </c>
      <c r="Q50" s="1">
        <f t="shared" si="27"/>
        <v>355766</v>
      </c>
      <c r="R50" s="9">
        <f>SUM($Q$45:Q50)</f>
        <v>406584</v>
      </c>
      <c r="S50" s="282">
        <f t="shared" si="28"/>
        <v>489334.9175768228</v>
      </c>
      <c r="T50" s="262">
        <f t="shared" si="29"/>
        <v>2.375001118306051E-6</v>
      </c>
      <c r="U50" s="287">
        <f t="shared" si="30"/>
        <v>568690.83898168756</v>
      </c>
    </row>
    <row r="51" spans="1:21" x14ac:dyDescent="0.2">
      <c r="A51" s="97">
        <v>7</v>
      </c>
      <c r="B51" s="93">
        <f t="shared" si="25"/>
        <v>262144</v>
      </c>
      <c r="C51" s="1">
        <f t="shared" si="22"/>
        <v>1048576</v>
      </c>
      <c r="D51" s="9">
        <f>SUM($C$45:C51)</f>
        <v>1198372</v>
      </c>
      <c r="E51" s="9">
        <f t="shared" si="23"/>
        <v>1384816.9461549919</v>
      </c>
      <c r="F51" s="99">
        <f t="shared" si="24"/>
        <v>9.4890985941715823E-7</v>
      </c>
      <c r="G51" s="287">
        <f t="shared" si="26"/>
        <v>1819741.493449843</v>
      </c>
      <c r="O51" s="99">
        <v>7</v>
      </c>
      <c r="P51" s="93">
        <f t="shared" si="31"/>
        <v>711532</v>
      </c>
      <c r="Q51" s="1">
        <f t="shared" si="27"/>
        <v>2846134</v>
      </c>
      <c r="R51" s="9">
        <f>SUM($Q$45:Q51)</f>
        <v>3252718</v>
      </c>
      <c r="S51" s="282">
        <f t="shared" si="28"/>
        <v>3758781.9203580967</v>
      </c>
      <c r="T51" s="262">
        <f t="shared" si="29"/>
        <v>3.4959901413201472E-7</v>
      </c>
      <c r="U51" s="287">
        <f t="shared" si="30"/>
        <v>4939289.2282957099</v>
      </c>
    </row>
    <row r="52" spans="1:21" x14ac:dyDescent="0.2">
      <c r="A52" s="97">
        <v>8</v>
      </c>
      <c r="B52" s="93">
        <f t="shared" si="25"/>
        <v>2097152</v>
      </c>
      <c r="C52" s="1">
        <f t="shared" si="22"/>
        <v>8388608</v>
      </c>
      <c r="D52" s="9">
        <f>SUM($C$45:C52)</f>
        <v>9586980</v>
      </c>
      <c r="E52" s="9">
        <f t="shared" si="23"/>
        <v>10755939.194348283</v>
      </c>
      <c r="F52" s="99">
        <f t="shared" si="24"/>
        <v>1.3527072733033487E-7</v>
      </c>
      <c r="G52" s="287">
        <f t="shared" si="26"/>
        <v>15649501.280149292</v>
      </c>
      <c r="O52" s="99">
        <v>8</v>
      </c>
      <c r="P52" s="93">
        <f t="shared" si="31"/>
        <v>5692268</v>
      </c>
      <c r="Q52" s="1">
        <f t="shared" si="27"/>
        <v>22769078</v>
      </c>
      <c r="R52" s="9">
        <f>SUM($Q$45:Q52)</f>
        <v>26021796</v>
      </c>
      <c r="S52" s="282">
        <f t="shared" si="28"/>
        <v>29194684.405697662</v>
      </c>
      <c r="T52" s="262">
        <f t="shared" si="29"/>
        <v>4.9836596885986413E-8</v>
      </c>
      <c r="U52" s="287">
        <f t="shared" si="30"/>
        <v>42477206.56700898</v>
      </c>
    </row>
    <row r="53" spans="1:21" x14ac:dyDescent="0.2">
      <c r="A53" s="97">
        <v>9</v>
      </c>
      <c r="B53" s="93">
        <f t="shared" si="25"/>
        <v>16777216</v>
      </c>
      <c r="C53" s="1">
        <f t="shared" si="22"/>
        <v>67108864</v>
      </c>
      <c r="D53" s="9">
        <f>SUM($C$45:C53)</f>
        <v>76695844</v>
      </c>
      <c r="E53" s="9">
        <f t="shared" si="23"/>
        <v>84157026.433332562</v>
      </c>
      <c r="F53" s="99">
        <f t="shared" si="24"/>
        <v>1.8837477394599796E-8</v>
      </c>
      <c r="G53" s="287">
        <f t="shared" si="26"/>
        <v>133414645.93486908</v>
      </c>
      <c r="O53" s="99">
        <v>9</v>
      </c>
      <c r="P53" s="93">
        <f t="shared" si="31"/>
        <v>45538156</v>
      </c>
      <c r="Q53" s="1">
        <f t="shared" si="27"/>
        <v>182152630</v>
      </c>
      <c r="R53" s="9">
        <f>SUM($Q$45:Q53)</f>
        <v>208174426</v>
      </c>
      <c r="S53" s="282">
        <f t="shared" si="28"/>
        <v>228426206.14000717</v>
      </c>
      <c r="T53" s="262">
        <f t="shared" si="29"/>
        <v>6.9401235078210449E-9</v>
      </c>
      <c r="U53" s="287">
        <f t="shared" si="30"/>
        <v>362125454.11827791</v>
      </c>
    </row>
    <row r="54" spans="1:21" ht="17" thickBot="1" x14ac:dyDescent="0.25">
      <c r="A54" s="145">
        <v>10</v>
      </c>
      <c r="B54" s="94">
        <f t="shared" si="25"/>
        <v>134217728</v>
      </c>
      <c r="C54" s="111">
        <f t="shared" si="22"/>
        <v>536870912</v>
      </c>
      <c r="D54" s="10">
        <f>SUM($C$45:C54)</f>
        <v>613566756</v>
      </c>
      <c r="E54" s="10">
        <f t="shared" si="23"/>
        <v>661826986.27564919</v>
      </c>
      <c r="F54" s="100">
        <f t="shared" si="24"/>
        <v>2.5770544613650982E-9</v>
      </c>
      <c r="G54" s="288">
        <f t="shared" si="26"/>
        <v>1128788406.2011414</v>
      </c>
      <c r="O54" s="100">
        <v>10</v>
      </c>
      <c r="P54" s="94">
        <f t="shared" si="31"/>
        <v>364305260</v>
      </c>
      <c r="Q54" s="111">
        <f t="shared" si="27"/>
        <v>1457221046</v>
      </c>
      <c r="R54" s="10">
        <f>SUM($Q$45:Q54)</f>
        <v>1665395472</v>
      </c>
      <c r="S54" s="283">
        <f t="shared" si="28"/>
        <v>1796387524.9311459</v>
      </c>
      <c r="T54" s="264">
        <f t="shared" si="29"/>
        <v>9.4944112223160323E-10</v>
      </c>
      <c r="U54" s="288">
        <f t="shared" si="30"/>
        <v>3063854229.6341062</v>
      </c>
    </row>
  </sheetData>
  <mergeCells count="2">
    <mergeCell ref="A18:F18"/>
    <mergeCell ref="O18:T18"/>
  </mergeCells>
  <conditionalFormatting sqref="F45:F54">
    <cfRule type="cellIs" dxfId="663" priority="74" operator="equal">
      <formula>MAX($F$45:$F$54)</formula>
    </cfRule>
  </conditionalFormatting>
  <conditionalFormatting sqref="F21:F30">
    <cfRule type="cellIs" dxfId="662" priority="72" operator="equal">
      <formula>MAX($F$21:$F$30)</formula>
    </cfRule>
  </conditionalFormatting>
  <conditionalFormatting sqref="F33:F42">
    <cfRule type="cellIs" dxfId="661" priority="46" operator="lessThanOrEqual">
      <formula>0</formula>
    </cfRule>
    <cfRule type="cellIs" dxfId="660" priority="47" operator="equal">
      <formula>MAX($F$33:$F$42)</formula>
    </cfRule>
  </conditionalFormatting>
  <conditionalFormatting sqref="E21:E30">
    <cfRule type="cellIs" dxfId="659" priority="34" stopIfTrue="1" operator="lessThan">
      <formula>0</formula>
    </cfRule>
    <cfRule type="cellIs" dxfId="658" priority="35" operator="equal">
      <formula>MIN($E$21:$E$30)</formula>
    </cfRule>
  </conditionalFormatting>
  <conditionalFormatting sqref="E33:E42">
    <cfRule type="cellIs" dxfId="657" priority="32" stopIfTrue="1" operator="lessThan">
      <formula>0</formula>
    </cfRule>
    <cfRule type="cellIs" dxfId="656" priority="33" operator="equal">
      <formula>MIN($E$33:$E$42)</formula>
    </cfRule>
  </conditionalFormatting>
  <conditionalFormatting sqref="E45:E54">
    <cfRule type="cellIs" dxfId="655" priority="30" stopIfTrue="1" operator="lessThan">
      <formula>0</formula>
    </cfRule>
    <cfRule type="cellIs" dxfId="654" priority="31" operator="equal">
      <formula>MIN($E$45:$E$54)</formula>
    </cfRule>
  </conditionalFormatting>
  <conditionalFormatting sqref="S7:T16">
    <cfRule type="cellIs" dxfId="653" priority="16" operator="lessThanOrEqual">
      <formula>0</formula>
    </cfRule>
    <cfRule type="cellIs" dxfId="652" priority="17" operator="greaterThan">
      <formula>0</formula>
    </cfRule>
  </conditionalFormatting>
  <conditionalFormatting sqref="U7:U16">
    <cfRule type="cellIs" dxfId="651" priority="18" operator="lessThanOrEqual">
      <formula>0</formula>
    </cfRule>
    <cfRule type="cellIs" dxfId="650" priority="19" operator="greaterThan">
      <formula>0</formula>
    </cfRule>
  </conditionalFormatting>
  <conditionalFormatting sqref="R7:R16">
    <cfRule type="cellIs" dxfId="649" priority="20" operator="lessThanOrEqual">
      <formula>0</formula>
    </cfRule>
    <cfRule type="cellIs" dxfId="648" priority="21" operator="greaterThan">
      <formula>0</formula>
    </cfRule>
  </conditionalFormatting>
  <conditionalFormatting sqref="S21:S30">
    <cfRule type="cellIs" dxfId="647" priority="8" stopIfTrue="1" operator="lessThan">
      <formula>0</formula>
    </cfRule>
    <cfRule type="cellIs" dxfId="646" priority="9" operator="equal">
      <formula>MIN($E$21:$E$30)</formula>
    </cfRule>
  </conditionalFormatting>
  <conditionalFormatting sqref="S45:S54">
    <cfRule type="cellIs" dxfId="645" priority="2" stopIfTrue="1" operator="lessThan">
      <formula>0</formula>
    </cfRule>
    <cfRule type="cellIs" dxfId="644" priority="3" operator="equal">
      <formula>MIN($E$21:$E$30)</formula>
    </cfRule>
  </conditionalFormatting>
  <conditionalFormatting sqref="T21:T30">
    <cfRule type="cellIs" dxfId="643" priority="7" operator="equal">
      <formula>MAX($T$21:$T$30)</formula>
    </cfRule>
  </conditionalFormatting>
  <conditionalFormatting sqref="S33:S42">
    <cfRule type="cellIs" dxfId="642" priority="5" stopIfTrue="1" operator="lessThan">
      <formula>0</formula>
    </cfRule>
    <cfRule type="cellIs" dxfId="641" priority="6" operator="equal">
      <formula>MIN($E$21:$E$30)</formula>
    </cfRule>
  </conditionalFormatting>
  <conditionalFormatting sqref="T33:T42">
    <cfRule type="cellIs" dxfId="640" priority="4" operator="equal">
      <formula>MAX($T$21:$T$30)</formula>
    </cfRule>
  </conditionalFormatting>
  <conditionalFormatting sqref="T45:T54">
    <cfRule type="cellIs" dxfId="639" priority="1" operator="equal">
      <formula>MAX($T$21:$T$30)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pageSetUpPr fitToPage="1"/>
  </sheetPr>
  <dimension ref="A1:W54"/>
  <sheetViews>
    <sheetView workbookViewId="0">
      <selection activeCell="C7" sqref="C7:C16"/>
    </sheetView>
  </sheetViews>
  <sheetFormatPr baseColWidth="10" defaultColWidth="8.6640625" defaultRowHeight="16" x14ac:dyDescent="0.2"/>
  <cols>
    <col min="14" max="14" width="5.6640625" bestFit="1" customWidth="1"/>
  </cols>
  <sheetData>
    <row r="1" spans="1:23" x14ac:dyDescent="0.2">
      <c r="C1" t="s">
        <v>95</v>
      </c>
      <c r="D1">
        <f>C2+E2</f>
        <v>0.99999999999999989</v>
      </c>
    </row>
    <row r="2" spans="1:23" x14ac:dyDescent="0.2">
      <c r="A2" t="s">
        <v>40</v>
      </c>
      <c r="B2" s="149" t="s">
        <v>125</v>
      </c>
      <c r="C2" s="155">
        <f>Analysis!B12</f>
        <v>0.55151876826411739</v>
      </c>
      <c r="D2" s="149" t="s">
        <v>126</v>
      </c>
      <c r="E2" s="155">
        <f>Analysis!H12</f>
        <v>0.4484812317358825</v>
      </c>
      <c r="F2" s="149" t="s">
        <v>47</v>
      </c>
      <c r="G2" s="155">
        <f>Analysis!S12</f>
        <v>3.8692518129931615</v>
      </c>
      <c r="H2" t="s">
        <v>156</v>
      </c>
      <c r="I2" s="169">
        <f>Analysis!T12</f>
        <v>-3.8988624969484191</v>
      </c>
      <c r="J2" t="s">
        <v>48</v>
      </c>
      <c r="K2" s="169">
        <f>C2*G2+E2*I2</f>
        <v>0.38539833900542586</v>
      </c>
      <c r="L2" t="s">
        <v>47</v>
      </c>
      <c r="M2" s="176">
        <v>1</v>
      </c>
      <c r="N2" t="s">
        <v>156</v>
      </c>
      <c r="O2" s="176">
        <v>5</v>
      </c>
    </row>
    <row r="4" spans="1:23" x14ac:dyDescent="0.2">
      <c r="A4" t="s">
        <v>123</v>
      </c>
      <c r="B4">
        <f>$C$2</f>
        <v>0.55151876826411739</v>
      </c>
      <c r="C4" t="s">
        <v>124</v>
      </c>
      <c r="D4">
        <f>$E$2</f>
        <v>0.4484812317358825</v>
      </c>
      <c r="E4" t="s">
        <v>47</v>
      </c>
      <c r="F4">
        <f>G2</f>
        <v>3.8692518129931615</v>
      </c>
      <c r="G4" t="s">
        <v>156</v>
      </c>
      <c r="H4">
        <f>I2</f>
        <v>-3.8988624969484191</v>
      </c>
      <c r="I4" t="s">
        <v>48</v>
      </c>
      <c r="J4">
        <f>K2</f>
        <v>0.38539833900542586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60">
        <v>-10</v>
      </c>
      <c r="N6" s="104" t="s">
        <v>136</v>
      </c>
      <c r="R6" s="188" t="s">
        <v>49</v>
      </c>
      <c r="S6" s="164" t="s">
        <v>130</v>
      </c>
      <c r="T6" s="165" t="s">
        <v>137</v>
      </c>
      <c r="U6" s="184" t="s">
        <v>48</v>
      </c>
      <c r="V6" s="175" t="s">
        <v>47</v>
      </c>
      <c r="W6" s="168" t="s">
        <v>156</v>
      </c>
    </row>
    <row r="7" spans="1:23" x14ac:dyDescent="0.2">
      <c r="A7" s="101">
        <v>1</v>
      </c>
      <c r="B7" s="95">
        <f>C7*B4</f>
        <v>0.55151876826411739</v>
      </c>
      <c r="C7" s="95">
        <v>1</v>
      </c>
      <c r="D7" s="109">
        <f>C7*D4</f>
        <v>0.4484812317358825</v>
      </c>
      <c r="E7" s="110"/>
      <c r="F7" s="110"/>
      <c r="G7" s="110"/>
      <c r="H7" s="110"/>
      <c r="I7" s="110"/>
      <c r="J7" s="110"/>
      <c r="K7" s="110"/>
      <c r="L7" s="110"/>
      <c r="M7" s="263"/>
      <c r="N7" s="95">
        <f>B7+D7</f>
        <v>0.99999999999999989</v>
      </c>
      <c r="R7" s="189">
        <f>B7-D7</f>
        <v>0.10303753652823489</v>
      </c>
      <c r="S7" s="109">
        <f>SUM(C7)*$B$4*$F$4</f>
        <v>2.1339649940056913</v>
      </c>
      <c r="T7" s="57">
        <f>SUM(C7)*$D$4*$H$4</f>
        <v>-1.7485666550002654</v>
      </c>
      <c r="U7" s="265">
        <f>S7+T7</f>
        <v>0.38539833900542586</v>
      </c>
      <c r="V7" s="109">
        <f>(U7+W7*D7)/B7</f>
        <v>1.5119695261974673</v>
      </c>
      <c r="W7" s="57">
        <f>COUNT(D7:M7)</f>
        <v>1</v>
      </c>
    </row>
    <row r="8" spans="1:23" x14ac:dyDescent="0.2">
      <c r="A8" s="99">
        <v>2</v>
      </c>
      <c r="B8" s="97">
        <f>C8*B4</f>
        <v>0.73276516674837999</v>
      </c>
      <c r="C8" s="97">
        <f>1/(1-B4*D4*C7)</f>
        <v>1.3286314245564628</v>
      </c>
      <c r="D8" s="93">
        <f>C8*D4</f>
        <v>0.59586625780808267</v>
      </c>
      <c r="E8" s="1">
        <f>D8*D4</f>
        <v>0.26723483325161984</v>
      </c>
      <c r="F8" s="1"/>
      <c r="G8" s="1"/>
      <c r="H8" s="1"/>
      <c r="I8" s="1"/>
      <c r="J8" s="1"/>
      <c r="K8" s="1"/>
      <c r="L8" s="1"/>
      <c r="M8" s="262"/>
      <c r="N8" s="97">
        <f>B8+E8</f>
        <v>0.99999999999999978</v>
      </c>
      <c r="R8" s="190">
        <f>B8-E8</f>
        <v>0.46553033349676015</v>
      </c>
      <c r="S8" s="93">
        <f>SUM(C8:D8)*$B$4*$F$4</f>
        <v>4.1068106852110242</v>
      </c>
      <c r="T8" s="9">
        <f>SUM(C8:D8)*$D$4*$H$4</f>
        <v>-3.3651124750079364</v>
      </c>
      <c r="U8" s="266">
        <f>S8+T8</f>
        <v>0.74169821020308779</v>
      </c>
      <c r="V8" s="93">
        <f>(U8+W8*E8)/B8</f>
        <v>1.7415782499177441</v>
      </c>
      <c r="W8" s="9">
        <f>COUNT(D8:M8)</f>
        <v>2</v>
      </c>
    </row>
    <row r="9" spans="1:23" x14ac:dyDescent="0.2">
      <c r="A9" s="99">
        <v>3</v>
      </c>
      <c r="B9" s="97">
        <f>C9*B4</f>
        <v>0.82148433578345326</v>
      </c>
      <c r="C9" s="97">
        <f>1/(1-D4*B4*C8)</f>
        <v>1.4894947970112447</v>
      </c>
      <c r="D9" s="93">
        <f>C9*D4*C8</f>
        <v>0.88753969071970007</v>
      </c>
      <c r="E9" s="1">
        <f>D9*(D4)</f>
        <v>0.39804489370845531</v>
      </c>
      <c r="F9" s="1">
        <f>E9*D4</f>
        <v>0.17851566421654647</v>
      </c>
      <c r="G9" s="1"/>
      <c r="H9" s="1"/>
      <c r="I9" s="1"/>
      <c r="J9" s="1"/>
      <c r="K9" s="1"/>
      <c r="L9" s="1"/>
      <c r="M9" s="262"/>
      <c r="N9" s="97">
        <f>B9+F9</f>
        <v>0.99999999999999978</v>
      </c>
      <c r="R9" s="190">
        <f>B9-F9</f>
        <v>0.64296867156690674</v>
      </c>
      <c r="S9" s="93">
        <f>SUM(C9:E9)*$B$4*$F$4</f>
        <v>5.9219222555786475</v>
      </c>
      <c r="T9" s="9">
        <f>SUM(C9:E9)*$D$4*$H$4</f>
        <v>-4.8524112713636969</v>
      </c>
      <c r="U9" s="266">
        <f t="shared" ref="U9:U16" si="0">S9+T9</f>
        <v>1.0695109842149506</v>
      </c>
      <c r="V9" s="93">
        <f>(U9+W9*F9)/B9</f>
        <v>1.9538509828478217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0.87323701849600621</v>
      </c>
      <c r="C10" s="97">
        <f>1/(1-D4*B4*C9)</f>
        <v>1.5833314634866984</v>
      </c>
      <c r="D10" s="93">
        <f>C10*D4*C9</f>
        <v>1.0576819812002232</v>
      </c>
      <c r="E10" s="1">
        <f>D10*D4*C8</f>
        <v>0.63023700408881578</v>
      </c>
      <c r="F10" s="1">
        <f>E10*D4</f>
        <v>0.28264946787928452</v>
      </c>
      <c r="G10" s="1">
        <f>F10*D4</f>
        <v>0.12676298150399329</v>
      </c>
      <c r="H10" s="1"/>
      <c r="I10" s="1"/>
      <c r="J10" s="1"/>
      <c r="K10" s="1"/>
      <c r="L10" s="1"/>
      <c r="M10" s="262"/>
      <c r="N10" s="97">
        <f>B10+G10</f>
        <v>0.99999999999999956</v>
      </c>
      <c r="R10" s="190">
        <f>B10-G10</f>
        <v>0.74647403699201287</v>
      </c>
      <c r="S10" s="93">
        <f>SUM(C10:F10)*$B$4*$F$4</f>
        <v>7.5838980143415604</v>
      </c>
      <c r="T10" s="9">
        <f>SUM(C10:F10)*$D$4*$H$4</f>
        <v>-6.2142308894711933</v>
      </c>
      <c r="U10" s="266">
        <f t="shared" si="0"/>
        <v>1.3696671248703671</v>
      </c>
      <c r="V10" s="93">
        <f>(U10+W10*G10)/B10</f>
        <v>2.1491519611922221</v>
      </c>
      <c r="W10" s="9">
        <f t="shared" si="1"/>
        <v>4</v>
      </c>
    </row>
    <row r="11" spans="1:23" x14ac:dyDescent="0.2">
      <c r="A11" s="99">
        <v>5</v>
      </c>
      <c r="B11" s="97">
        <f>C11*B4</f>
        <v>0.90655216934045224</v>
      </c>
      <c r="C11" s="97">
        <f>1/(1-D4*B4*C10)</f>
        <v>1.6437376595429161</v>
      </c>
      <c r="D11" s="93">
        <f>C11*D4*C10</f>
        <v>1.1672089810634261</v>
      </c>
      <c r="E11" s="1">
        <f>D11*D4*C9</f>
        <v>0.77970780978939958</v>
      </c>
      <c r="F11" s="1">
        <f>E11*D4*C8</f>
        <v>0.46460157480294584</v>
      </c>
      <c r="G11" s="1">
        <f>F11*D4</f>
        <v>0.20836508653405589</v>
      </c>
      <c r="H11" s="1">
        <f>G11*D4</f>
        <v>9.3447830659547135E-2</v>
      </c>
      <c r="I11" s="1"/>
      <c r="J11" s="1"/>
      <c r="K11" s="1"/>
      <c r="L11" s="1"/>
      <c r="M11" s="262"/>
      <c r="N11" s="97">
        <f>B11+H11</f>
        <v>0.99999999999999933</v>
      </c>
      <c r="R11" s="190">
        <f>B11-H11</f>
        <v>0.81310433868090515</v>
      </c>
      <c r="S11" s="93">
        <f>SUM(C11:G11)*$B$4*$F$4</f>
        <v>9.098418200141305</v>
      </c>
      <c r="T11" s="9">
        <f>SUM(C11:G11)*$D$4*$H$4</f>
        <v>-7.4552257055310367</v>
      </c>
      <c r="U11" s="266">
        <f t="shared" si="0"/>
        <v>1.6431924946102683</v>
      </c>
      <c r="V11" s="93">
        <f>(U11+W11*H11)/B11</f>
        <v>2.3279759502902246</v>
      </c>
      <c r="W11" s="9">
        <f t="shared" si="1"/>
        <v>5</v>
      </c>
    </row>
    <row r="12" spans="1:23" x14ac:dyDescent="0.2">
      <c r="A12" s="99">
        <v>6</v>
      </c>
      <c r="B12" s="97">
        <f>C12*B4</f>
        <v>0.92937715726811432</v>
      </c>
      <c r="C12" s="97">
        <f>1/(1-D4*B4*C11)</f>
        <v>1.6851233552636671</v>
      </c>
      <c r="D12" s="93">
        <f>C12*D4*C11</f>
        <v>1.2422484867016668</v>
      </c>
      <c r="E12" s="1">
        <f>D12*D4*C10</f>
        <v>0.88211374970494705</v>
      </c>
      <c r="F12" s="1">
        <f>E12*D4*C9</f>
        <v>0.58926121279577814</v>
      </c>
      <c r="G12" s="1">
        <f>F12*D4*C8</f>
        <v>0.35112087374007261</v>
      </c>
      <c r="H12" s="1">
        <f>G12*D4</f>
        <v>0.15747112194312704</v>
      </c>
      <c r="I12" s="1">
        <f>H12*D4</f>
        <v>7.0622842731884974E-2</v>
      </c>
      <c r="J12" s="1"/>
      <c r="K12" s="1"/>
      <c r="L12" s="1"/>
      <c r="M12" s="262"/>
      <c r="N12" s="97">
        <f>B12+I12</f>
        <v>0.99999999999999933</v>
      </c>
      <c r="R12" s="190">
        <f>B12-I12</f>
        <v>0.8587543145362293</v>
      </c>
      <c r="S12" s="93">
        <f>SUM(C12:H12)*$B$4*$F$4</f>
        <v>10.472089213244407</v>
      </c>
      <c r="T12" s="9">
        <f>SUM(C12:H12)*$D$4*$H$4</f>
        <v>-8.580808990730004</v>
      </c>
      <c r="U12" s="266">
        <f t="shared" si="0"/>
        <v>1.8912802225144034</v>
      </c>
      <c r="V12" s="93">
        <f>(U12+W12*I12)/B12</f>
        <v>2.490934128089247</v>
      </c>
      <c r="W12" s="9">
        <f t="shared" si="1"/>
        <v>6</v>
      </c>
    </row>
    <row r="13" spans="1:23" x14ac:dyDescent="0.2">
      <c r="A13" s="99">
        <v>7</v>
      </c>
      <c r="B13" s="97">
        <f>C13*B4</f>
        <v>0.94569021690330313</v>
      </c>
      <c r="C13" s="97">
        <f>1/(1-D4*B4*C12)</f>
        <v>1.7147017859062605</v>
      </c>
      <c r="D13" s="93">
        <f>C13*D4*C12</f>
        <v>1.2958793553948402</v>
      </c>
      <c r="E13" s="1">
        <f>D13*D4*C11</f>
        <v>0.95530345784999793</v>
      </c>
      <c r="F13" s="1">
        <f>E13*D4*C10</f>
        <v>0.67835567869968316</v>
      </c>
      <c r="G13" s="1">
        <f>F13*D4*C9</f>
        <v>0.45314868980466677</v>
      </c>
      <c r="H13" s="1">
        <f>G13*D4*C8</f>
        <v>0.27001601402454245</v>
      </c>
      <c r="I13" s="1">
        <f>H13*D4</f>
        <v>0.12109711455814012</v>
      </c>
      <c r="J13" s="1">
        <f>I13*D4</f>
        <v>5.430978309669595E-2</v>
      </c>
      <c r="K13" s="1"/>
      <c r="L13" s="1"/>
      <c r="M13" s="262"/>
      <c r="N13" s="97">
        <f>B13+J13</f>
        <v>0.99999999999999911</v>
      </c>
      <c r="R13" s="190">
        <f>B13-J13</f>
        <v>0.89138043380660714</v>
      </c>
      <c r="S13" s="93">
        <f>SUM(C13:I13)*$B$4*$F$4</f>
        <v>11.712271342899028</v>
      </c>
      <c r="T13" s="9">
        <f>SUM(C13:I13)*$D$4*$H$4</f>
        <v>-9.5970117513810536</v>
      </c>
      <c r="U13" s="266">
        <f t="shared" si="0"/>
        <v>2.1152595915179742</v>
      </c>
      <c r="V13" s="93">
        <f>(U13+W13*J13)/B13</f>
        <v>2.6387373249627295</v>
      </c>
      <c r="W13" s="9">
        <f t="shared" si="1"/>
        <v>7</v>
      </c>
    </row>
    <row r="14" spans="1:23" x14ac:dyDescent="0.2">
      <c r="A14" s="99">
        <v>8</v>
      </c>
      <c r="B14" s="97">
        <f>C14*B4</f>
        <v>0.95770455502501795</v>
      </c>
      <c r="C14" s="97">
        <f>1/(1-D4*B4*C13)</f>
        <v>1.7364858825010681</v>
      </c>
      <c r="D14" s="93">
        <f>C14*D4*C13</f>
        <v>1.3353777330536312</v>
      </c>
      <c r="E14" s="1">
        <f>D14*D4*C12</f>
        <v>1.0092066446432015</v>
      </c>
      <c r="F14" s="1">
        <f>E14*D4*C11</f>
        <v>0.74397249504688212</v>
      </c>
      <c r="G14" s="1">
        <f>F14*D4*C10</f>
        <v>0.52829073595865605</v>
      </c>
      <c r="H14" s="1">
        <f>G14*D4*C9</f>
        <v>0.35290373819011112</v>
      </c>
      <c r="I14" s="1">
        <f>H14*D4*C8</f>
        <v>0.21028342984182485</v>
      </c>
      <c r="J14" s="1">
        <f>I14*D4</f>
        <v>9.4308171629107637E-2</v>
      </c>
      <c r="K14" s="1">
        <f>J14*D4</f>
        <v>4.2295444974981201E-2</v>
      </c>
      <c r="L14" s="1"/>
      <c r="M14" s="262"/>
      <c r="N14" s="97">
        <f>B14+K14</f>
        <v>0.99999999999999911</v>
      </c>
      <c r="R14" s="190">
        <f>B14-K14</f>
        <v>0.91540911005003678</v>
      </c>
      <c r="S14" s="93">
        <f>SUM(C14:J14)*$B$4*$F$4</f>
        <v>12.826898310024962</v>
      </c>
      <c r="T14" s="9">
        <f>SUM(C14:J14)*$D$4*$H$4</f>
        <v>-10.510334862563864</v>
      </c>
      <c r="U14" s="266">
        <f t="shared" si="0"/>
        <v>2.3165634474610979</v>
      </c>
      <c r="V14" s="93">
        <f>(U14+W14*K14)/B14</f>
        <v>2.7721774876507648</v>
      </c>
      <c r="W14" s="9">
        <f t="shared" si="1"/>
        <v>8</v>
      </c>
    </row>
    <row r="15" spans="1:23" x14ac:dyDescent="0.2">
      <c r="A15" s="99">
        <v>9</v>
      </c>
      <c r="B15" s="97">
        <f>C15*B4</f>
        <v>0.96674999211455592</v>
      </c>
      <c r="C15" s="97">
        <f>1/(1-D4*B4*C14)</f>
        <v>1.7528868421964345</v>
      </c>
      <c r="D15" s="93">
        <f>C15*D4*C14</f>
        <v>1.3651155418810406</v>
      </c>
      <c r="E15" s="1">
        <f>D15*D4*C13</f>
        <v>1.0497896447322612</v>
      </c>
      <c r="F15" s="1">
        <f>E15*D4*C12</f>
        <v>0.79337453270150826</v>
      </c>
      <c r="G15" s="1">
        <f>F15*D4*C11</f>
        <v>0.58486419380371191</v>
      </c>
      <c r="H15" s="1">
        <f>G15*D4*C10</f>
        <v>0.41530881509397533</v>
      </c>
      <c r="I15" s="1">
        <f>H15*D4*C9</f>
        <v>0.27743063312289395</v>
      </c>
      <c r="J15" s="1">
        <f>I15*D4*C8</f>
        <v>0.16531155316026591</v>
      </c>
      <c r="K15" s="1">
        <f>J15*D4</f>
        <v>7.4139128981487876E-2</v>
      </c>
      <c r="L15" s="1">
        <f>K15*D4</f>
        <v>3.3250007885443147E-2</v>
      </c>
      <c r="M15" s="262"/>
      <c r="N15" s="97">
        <f>B15+L15</f>
        <v>0.99999999999999911</v>
      </c>
      <c r="R15" s="190">
        <f>B15-L15</f>
        <v>0.93349998422911273</v>
      </c>
      <c r="S15" s="93">
        <f>SUM(C15:K15)*$B$4*$F$4</f>
        <v>13.824296593463966</v>
      </c>
      <c r="T15" s="9">
        <f>SUM(C15:K15)*$D$4*$H$4</f>
        <v>-11.32760102441511</v>
      </c>
      <c r="U15" s="266">
        <f t="shared" si="0"/>
        <v>2.4966955690488568</v>
      </c>
      <c r="V15" s="93">
        <f>(U15+W15*L15)/B15</f>
        <v>2.8921082625533003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0.97367373877103847</v>
      </c>
      <c r="C16" s="145">
        <f>1/(1-D4*B4*C15)</f>
        <v>1.7654408060049098</v>
      </c>
      <c r="D16" s="94">
        <f>C16*D4*C15</f>
        <v>1.3878780742387125</v>
      </c>
      <c r="E16" s="111">
        <f>D16*D4*C14</f>
        <v>1.0808535290305281</v>
      </c>
      <c r="F16" s="111">
        <f>E16*D4*C13</f>
        <v>0.83118886822214977</v>
      </c>
      <c r="G16" s="111">
        <f>F16*D4*C12</f>
        <v>0.62816782697511597</v>
      </c>
      <c r="H16" s="111">
        <f>G16*D4*C11</f>
        <v>0.46307620745806721</v>
      </c>
      <c r="I16" s="111">
        <f>H16*D4*C10</f>
        <v>0.3288278425233308</v>
      </c>
      <c r="J16" s="111">
        <f>I16*D4*C9</f>
        <v>0.21966043874854974</v>
      </c>
      <c r="K16" s="111">
        <f>J16*D4*C8</f>
        <v>0.13088824362557988</v>
      </c>
      <c r="L16" s="111">
        <f>K16*D4</f>
        <v>5.8700920720946334E-2</v>
      </c>
      <c r="M16" s="264">
        <f>L16*D4</f>
        <v>2.6326261228960399E-2</v>
      </c>
      <c r="N16" s="145">
        <f>B16+M16</f>
        <v>0.99999999999999889</v>
      </c>
      <c r="R16" s="191">
        <f>B16-M16</f>
        <v>0.94734747754207804</v>
      </c>
      <c r="S16" s="94">
        <f>SUM(C16:L16)*$B$4*$F$4</f>
        <v>14.713011649381828</v>
      </c>
      <c r="T16" s="10">
        <f>SUM(C16:L16)*$D$4*$H$4</f>
        <v>-12.055812366653521</v>
      </c>
      <c r="U16" s="267">
        <f t="shared" si="0"/>
        <v>2.6571992827283069</v>
      </c>
      <c r="V16" s="94">
        <f>(U16+W16*M16)/B16</f>
        <v>2.999425555735014</v>
      </c>
      <c r="W16" s="10">
        <f t="shared" si="1"/>
        <v>10</v>
      </c>
    </row>
    <row r="18" spans="1:21" x14ac:dyDescent="0.2">
      <c r="A18" s="356" t="s">
        <v>200</v>
      </c>
      <c r="B18" s="356"/>
      <c r="C18" s="356"/>
      <c r="D18" s="356"/>
      <c r="E18" s="356"/>
      <c r="F18" s="356"/>
      <c r="O18" s="356" t="s">
        <v>201</v>
      </c>
      <c r="P18" s="356"/>
      <c r="Q18" s="356"/>
      <c r="R18" s="356"/>
      <c r="S18" s="356"/>
      <c r="T18" s="356"/>
    </row>
    <row r="19" spans="1:21" ht="17" thickBot="1" x14ac:dyDescent="0.25"/>
    <row r="20" spans="1:21" ht="17" thickBot="1" x14ac:dyDescent="0.25">
      <c r="A20" s="29" t="s">
        <v>135</v>
      </c>
      <c r="B20" s="19" t="s">
        <v>140</v>
      </c>
      <c r="C20" s="19" t="s">
        <v>139</v>
      </c>
      <c r="D20" s="19" t="s">
        <v>138</v>
      </c>
      <c r="E20" s="166" t="s">
        <v>151</v>
      </c>
      <c r="F20" s="168" t="s">
        <v>152</v>
      </c>
      <c r="G20" s="166" t="s">
        <v>47</v>
      </c>
      <c r="O20" s="29" t="s">
        <v>135</v>
      </c>
      <c r="P20" s="118" t="s">
        <v>140</v>
      </c>
      <c r="Q20" s="118" t="s">
        <v>139</v>
      </c>
      <c r="R20" s="118" t="s">
        <v>138</v>
      </c>
      <c r="S20" s="166" t="s">
        <v>151</v>
      </c>
      <c r="T20" s="168" t="s">
        <v>152</v>
      </c>
      <c r="U20" s="293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5</v>
      </c>
      <c r="D21" s="57">
        <f>SUM($C$21:C21)</f>
        <v>5</v>
      </c>
      <c r="E21" s="57">
        <f t="shared" ref="E21:E30" si="3">D21/R7</f>
        <v>48.526004876192609</v>
      </c>
      <c r="F21" s="8">
        <f t="shared" ref="F21:F30" si="4">U7/E21</f>
        <v>7.9420990866385238E-3</v>
      </c>
      <c r="G21" s="286">
        <f>E21*U7</f>
        <v>18.701841677853828</v>
      </c>
      <c r="O21" s="101">
        <v>1</v>
      </c>
      <c r="P21" s="109">
        <v>1</v>
      </c>
      <c r="Q21" s="110">
        <f>P21*5+10</f>
        <v>15</v>
      </c>
      <c r="R21" s="57">
        <f>SUM($Q$21)</f>
        <v>15</v>
      </c>
      <c r="S21" s="195">
        <f>R21/R7</f>
        <v>145.57801462857782</v>
      </c>
      <c r="T21" s="8">
        <f>U7/S21</f>
        <v>2.6473663622128413E-3</v>
      </c>
      <c r="U21" s="286">
        <f>S21*U7</f>
        <v>56.105525033561477</v>
      </c>
    </row>
    <row r="22" spans="1:21" x14ac:dyDescent="0.2">
      <c r="A22" s="97">
        <v>2</v>
      </c>
      <c r="B22" s="93">
        <f>C21</f>
        <v>5</v>
      </c>
      <c r="C22" s="1">
        <f t="shared" si="2"/>
        <v>25</v>
      </c>
      <c r="D22" s="9">
        <f>SUM($C$21:C22)</f>
        <v>30</v>
      </c>
      <c r="E22" s="9">
        <f t="shared" si="3"/>
        <v>64.442632072242361</v>
      </c>
      <c r="F22" s="9">
        <f t="shared" si="4"/>
        <v>1.1509433838326453E-2</v>
      </c>
      <c r="G22" s="287">
        <f t="shared" ref="G22:G30" si="5">E22*U8</f>
        <v>47.796984868758258</v>
      </c>
      <c r="O22" s="99">
        <v>2</v>
      </c>
      <c r="P22" s="93">
        <f>Q21</f>
        <v>15</v>
      </c>
      <c r="Q22" s="1">
        <f t="shared" ref="Q22:Q30" si="6">P22*5+10</f>
        <v>85</v>
      </c>
      <c r="R22" s="9">
        <f>SUM($Q$21:Q22)</f>
        <v>100</v>
      </c>
      <c r="S22" s="196">
        <f t="shared" ref="S22:S30" si="7">R22/R8</f>
        <v>214.80877357414121</v>
      </c>
      <c r="T22" s="9">
        <f>U8/S22</f>
        <v>3.4528301514979358E-3</v>
      </c>
      <c r="U22" s="287">
        <f t="shared" ref="U22:U30" si="8">S22*U8</f>
        <v>159.32328289586087</v>
      </c>
    </row>
    <row r="23" spans="1:21" x14ac:dyDescent="0.2">
      <c r="A23" s="97">
        <v>3</v>
      </c>
      <c r="B23" s="93">
        <f t="shared" ref="B23:B30" si="9">C22</f>
        <v>25</v>
      </c>
      <c r="C23" s="1">
        <f t="shared" si="2"/>
        <v>125</v>
      </c>
      <c r="D23" s="9">
        <f>SUM($C$21:C23)</f>
        <v>155</v>
      </c>
      <c r="E23" s="9">
        <f t="shared" si="3"/>
        <v>241.06928821627795</v>
      </c>
      <c r="F23" s="9">
        <f t="shared" si="4"/>
        <v>4.4365293983671082E-3</v>
      </c>
      <c r="G23" s="287">
        <f t="shared" si="5"/>
        <v>257.82625170418902</v>
      </c>
      <c r="O23" s="99">
        <v>3</v>
      </c>
      <c r="P23" s="93">
        <f t="shared" ref="P23:P30" si="10">Q22</f>
        <v>85</v>
      </c>
      <c r="Q23" s="1">
        <f t="shared" si="6"/>
        <v>435</v>
      </c>
      <c r="R23" s="9">
        <f>SUM($Q$21:Q23)</f>
        <v>535</v>
      </c>
      <c r="S23" s="196">
        <f t="shared" si="7"/>
        <v>832.07786577876584</v>
      </c>
      <c r="T23" s="9">
        <f t="shared" ref="T23:T30" si="11">U9/S23</f>
        <v>1.2853496387792557E-3</v>
      </c>
      <c r="U23" s="287">
        <f t="shared" si="8"/>
        <v>889.91641717252344</v>
      </c>
    </row>
    <row r="24" spans="1:21" x14ac:dyDescent="0.2">
      <c r="A24" s="97">
        <v>4</v>
      </c>
      <c r="B24" s="93">
        <f t="shared" si="9"/>
        <v>125</v>
      </c>
      <c r="C24" s="1">
        <f t="shared" si="2"/>
        <v>625</v>
      </c>
      <c r="D24" s="9">
        <f>SUM($C$21:C24)</f>
        <v>780</v>
      </c>
      <c r="E24" s="9">
        <f t="shared" si="3"/>
        <v>1044.9124301001589</v>
      </c>
      <c r="F24" s="9">
        <f t="shared" si="4"/>
        <v>1.3107960872272132E-3</v>
      </c>
      <c r="G24" s="287">
        <f t="shared" si="5"/>
        <v>1431.1822038765931</v>
      </c>
      <c r="O24" s="99">
        <v>4</v>
      </c>
      <c r="P24" s="93">
        <f t="shared" si="10"/>
        <v>435</v>
      </c>
      <c r="Q24" s="1">
        <f t="shared" si="6"/>
        <v>2185</v>
      </c>
      <c r="R24" s="9">
        <f>SUM($Q$21:Q24)</f>
        <v>2720</v>
      </c>
      <c r="S24" s="196">
        <f t="shared" si="7"/>
        <v>3643.7971921441435</v>
      </c>
      <c r="T24" s="9">
        <f t="shared" si="11"/>
        <v>3.7589005442545083E-4</v>
      </c>
      <c r="U24" s="287">
        <f t="shared" si="8"/>
        <v>4990.7892237747856</v>
      </c>
    </row>
    <row r="25" spans="1:21" x14ac:dyDescent="0.2">
      <c r="A25" s="97">
        <v>5</v>
      </c>
      <c r="B25" s="93">
        <f t="shared" si="9"/>
        <v>625</v>
      </c>
      <c r="C25" s="1">
        <f t="shared" si="2"/>
        <v>3125</v>
      </c>
      <c r="D25" s="9">
        <f>SUM($C$21:C25)</f>
        <v>3905</v>
      </c>
      <c r="E25" s="9">
        <f t="shared" si="3"/>
        <v>4802.5816789208884</v>
      </c>
      <c r="F25" s="9">
        <f t="shared" si="4"/>
        <v>3.4214774562240947E-4</v>
      </c>
      <c r="G25" s="287">
        <f t="shared" si="5"/>
        <v>7891.5661695555855</v>
      </c>
      <c r="O25" s="99">
        <v>5</v>
      </c>
      <c r="P25" s="93">
        <f t="shared" si="10"/>
        <v>2185</v>
      </c>
      <c r="Q25" s="1">
        <f t="shared" si="6"/>
        <v>10935</v>
      </c>
      <c r="R25" s="9">
        <f>SUM($Q$21:Q25)</f>
        <v>13655</v>
      </c>
      <c r="S25" s="9">
        <f t="shared" si="7"/>
        <v>16793.662695432708</v>
      </c>
      <c r="T25" s="9">
        <f t="shared" si="11"/>
        <v>9.7845986573087449E-5</v>
      </c>
      <c r="U25" s="287">
        <f t="shared" si="8"/>
        <v>27595.220498151473</v>
      </c>
    </row>
    <row r="26" spans="1:21" x14ac:dyDescent="0.2">
      <c r="A26" s="97">
        <v>6</v>
      </c>
      <c r="B26" s="93">
        <f t="shared" si="9"/>
        <v>3125</v>
      </c>
      <c r="C26" s="1">
        <f t="shared" si="2"/>
        <v>15625</v>
      </c>
      <c r="D26" s="9">
        <f>SUM($C$21:C26)</f>
        <v>19530</v>
      </c>
      <c r="E26" s="9">
        <f t="shared" si="3"/>
        <v>22742.24381690261</v>
      </c>
      <c r="F26" s="9">
        <f t="shared" si="4"/>
        <v>8.3161548954494816E-5</v>
      </c>
      <c r="G26" s="287">
        <f t="shared" si="5"/>
        <v>43011.95594650838</v>
      </c>
      <c r="O26" s="99">
        <v>6</v>
      </c>
      <c r="P26" s="93">
        <f t="shared" si="10"/>
        <v>10935</v>
      </c>
      <c r="Q26" s="1">
        <f t="shared" si="6"/>
        <v>54685</v>
      </c>
      <c r="R26" s="9">
        <f>SUM($Q$21:Q26)</f>
        <v>68340</v>
      </c>
      <c r="S26" s="9">
        <f t="shared" si="7"/>
        <v>79580.386198009437</v>
      </c>
      <c r="T26" s="9">
        <f t="shared" si="11"/>
        <v>2.3765657756530344E-5</v>
      </c>
      <c r="U26" s="287">
        <f t="shared" si="8"/>
        <v>150508.81051635343</v>
      </c>
    </row>
    <row r="27" spans="1:21" x14ac:dyDescent="0.2">
      <c r="A27" s="97">
        <v>7</v>
      </c>
      <c r="B27" s="93">
        <f t="shared" si="9"/>
        <v>15625</v>
      </c>
      <c r="C27" s="1">
        <f t="shared" si="2"/>
        <v>78125</v>
      </c>
      <c r="D27" s="9">
        <f>SUM($C$21:C27)</f>
        <v>97655</v>
      </c>
      <c r="E27" s="9">
        <f t="shared" si="3"/>
        <v>109554.79422289756</v>
      </c>
      <c r="F27" s="9">
        <f t="shared" si="4"/>
        <v>1.9307777505513063E-5</v>
      </c>
      <c r="G27" s="287">
        <f t="shared" si="5"/>
        <v>231736.829276762</v>
      </c>
      <c r="O27" s="99">
        <v>7</v>
      </c>
      <c r="P27" s="93">
        <f t="shared" si="10"/>
        <v>54685</v>
      </c>
      <c r="Q27" s="1">
        <f t="shared" si="6"/>
        <v>273435</v>
      </c>
      <c r="R27" s="9">
        <f>SUM($Q$21:Q27)</f>
        <v>341775</v>
      </c>
      <c r="S27" s="9">
        <f t="shared" si="7"/>
        <v>383422.1473097211</v>
      </c>
      <c r="T27" s="9">
        <f t="shared" si="11"/>
        <v>5.5167903219980346E-6</v>
      </c>
      <c r="U27" s="287">
        <f t="shared" si="8"/>
        <v>811037.37469730515</v>
      </c>
    </row>
    <row r="28" spans="1:21" x14ac:dyDescent="0.2">
      <c r="A28" s="97">
        <v>8</v>
      </c>
      <c r="B28" s="93">
        <f t="shared" si="9"/>
        <v>78125</v>
      </c>
      <c r="C28" s="1">
        <f t="shared" si="2"/>
        <v>390625</v>
      </c>
      <c r="D28" s="9">
        <f>SUM($C$21:C28)</f>
        <v>488280</v>
      </c>
      <c r="E28" s="9">
        <f t="shared" si="3"/>
        <v>533400.85284197179</v>
      </c>
      <c r="F28" s="9">
        <f t="shared" si="4"/>
        <v>4.3430066433497351E-6</v>
      </c>
      <c r="G28" s="287">
        <f t="shared" si="5"/>
        <v>1235656.918538288</v>
      </c>
      <c r="O28" s="99">
        <v>8</v>
      </c>
      <c r="P28" s="93">
        <f t="shared" si="10"/>
        <v>273435</v>
      </c>
      <c r="Q28" s="1">
        <f t="shared" si="6"/>
        <v>1367185</v>
      </c>
      <c r="R28" s="9">
        <f>SUM($Q$21:Q28)</f>
        <v>1708960</v>
      </c>
      <c r="S28" s="9">
        <f t="shared" si="7"/>
        <v>1866881.1367920374</v>
      </c>
      <c r="T28" s="9">
        <f t="shared" si="11"/>
        <v>1.2408735627602803E-6</v>
      </c>
      <c r="U28" s="287">
        <f t="shared" si="8"/>
        <v>4324748.6022470556</v>
      </c>
    </row>
    <row r="29" spans="1:21" x14ac:dyDescent="0.2">
      <c r="A29" s="97">
        <v>9</v>
      </c>
      <c r="B29" s="93">
        <f t="shared" si="9"/>
        <v>390625</v>
      </c>
      <c r="C29" s="1">
        <f t="shared" si="2"/>
        <v>1953125</v>
      </c>
      <c r="D29" s="9">
        <f>SUM($C$21:C29)</f>
        <v>2441405</v>
      </c>
      <c r="E29" s="9">
        <f t="shared" si="3"/>
        <v>2615324.093461148</v>
      </c>
      <c r="F29" s="9">
        <f t="shared" si="4"/>
        <v>9.5464098514257285E-7</v>
      </c>
      <c r="G29" s="287">
        <f t="shared" si="5"/>
        <v>6529668.075771166</v>
      </c>
      <c r="O29" s="99">
        <v>9</v>
      </c>
      <c r="P29" s="93">
        <f t="shared" si="10"/>
        <v>1367185</v>
      </c>
      <c r="Q29" s="1">
        <f t="shared" si="6"/>
        <v>6835935</v>
      </c>
      <c r="R29" s="9">
        <f>SUM($Q$21:Q29)</f>
        <v>8544895</v>
      </c>
      <c r="S29" s="9">
        <f t="shared" si="7"/>
        <v>9153610.2242748309</v>
      </c>
      <c r="T29" s="9">
        <f t="shared" si="11"/>
        <v>2.7275528538759149E-7</v>
      </c>
      <c r="U29" s="287">
        <f t="shared" si="8"/>
        <v>22853778.087747283</v>
      </c>
    </row>
    <row r="30" spans="1:21" ht="17" thickBot="1" x14ac:dyDescent="0.25">
      <c r="A30" s="145">
        <v>10</v>
      </c>
      <c r="B30" s="94">
        <f t="shared" si="9"/>
        <v>1953125</v>
      </c>
      <c r="C30" s="111">
        <f t="shared" si="2"/>
        <v>9765625</v>
      </c>
      <c r="D30" s="10">
        <f>SUM($C$21:C30)</f>
        <v>12207030</v>
      </c>
      <c r="E30" s="10">
        <f t="shared" si="3"/>
        <v>12885483.193211759</v>
      </c>
      <c r="F30" s="10">
        <f t="shared" si="4"/>
        <v>2.0621650293472536E-7</v>
      </c>
      <c r="G30" s="288">
        <f t="shared" si="5"/>
        <v>34239296.698609941</v>
      </c>
      <c r="O30" s="100">
        <v>10</v>
      </c>
      <c r="P30" s="94">
        <f t="shared" si="10"/>
        <v>6835935</v>
      </c>
      <c r="Q30" s="111">
        <f t="shared" si="6"/>
        <v>34179685</v>
      </c>
      <c r="R30" s="10">
        <f>SUM($Q$21:Q30)</f>
        <v>42724580</v>
      </c>
      <c r="S30" s="10">
        <f t="shared" si="7"/>
        <v>45099164.786768869</v>
      </c>
      <c r="T30" s="10">
        <f t="shared" si="11"/>
        <v>5.891903531454916E-8</v>
      </c>
      <c r="U30" s="288">
        <f t="shared" si="8"/>
        <v>119837468.32304795</v>
      </c>
    </row>
    <row r="31" spans="1:21" ht="17" thickBot="1" x14ac:dyDescent="0.25"/>
    <row r="32" spans="1:21" ht="17" thickBot="1" x14ac:dyDescent="0.25">
      <c r="A32" s="117" t="s">
        <v>135</v>
      </c>
      <c r="B32" s="118" t="s">
        <v>140</v>
      </c>
      <c r="C32" s="118" t="s">
        <v>139</v>
      </c>
      <c r="D32" s="170" t="s">
        <v>138</v>
      </c>
      <c r="E32" s="166" t="s">
        <v>151</v>
      </c>
      <c r="F32" s="168" t="s">
        <v>152</v>
      </c>
      <c r="G32" s="290" t="s">
        <v>47</v>
      </c>
      <c r="O32" s="29" t="s">
        <v>135</v>
      </c>
      <c r="P32" s="118" t="s">
        <v>140</v>
      </c>
      <c r="Q32" s="118" t="s">
        <v>139</v>
      </c>
      <c r="R32" s="118" t="s">
        <v>138</v>
      </c>
      <c r="S32" s="166" t="s">
        <v>151</v>
      </c>
      <c r="T32" s="168" t="s">
        <v>152</v>
      </c>
      <c r="U32" s="294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5</v>
      </c>
      <c r="D33" s="57">
        <f>SUM($C$33:C33)</f>
        <v>5</v>
      </c>
      <c r="E33" s="9">
        <f t="shared" ref="E33:E42" si="13">D33/R7</f>
        <v>48.526004876192609</v>
      </c>
      <c r="F33" s="8">
        <f t="shared" ref="F33:F42" si="14">U7/E33</f>
        <v>7.9420990866385238E-3</v>
      </c>
      <c r="G33" s="289">
        <f>E33*U7</f>
        <v>18.701841677853828</v>
      </c>
      <c r="O33" s="101">
        <v>1</v>
      </c>
      <c r="P33" s="109">
        <v>1</v>
      </c>
      <c r="Q33" s="110">
        <f>P33*5+10</f>
        <v>15</v>
      </c>
      <c r="R33" s="57">
        <f>SUM($Q$21)</f>
        <v>15</v>
      </c>
      <c r="S33" s="281">
        <f>R33/R7</f>
        <v>145.57801462857782</v>
      </c>
      <c r="T33" s="8">
        <f>U7/S33</f>
        <v>2.6473663622128413E-3</v>
      </c>
      <c r="U33" s="289">
        <f>S33*U7</f>
        <v>56.105525033561477</v>
      </c>
    </row>
    <row r="34" spans="1:21" x14ac:dyDescent="0.2">
      <c r="A34" s="97">
        <v>2</v>
      </c>
      <c r="B34" s="93">
        <f t="shared" ref="B34:B42" si="15">B33*($O$2+1)</f>
        <v>6</v>
      </c>
      <c r="C34" s="1">
        <f t="shared" si="12"/>
        <v>30</v>
      </c>
      <c r="D34" s="9">
        <f>SUM($C$33:C34)</f>
        <v>35</v>
      </c>
      <c r="E34" s="9">
        <f t="shared" si="13"/>
        <v>75.183070750949426</v>
      </c>
      <c r="F34" s="9">
        <f t="shared" si="14"/>
        <v>9.8652290042798157E-3</v>
      </c>
      <c r="G34" s="287">
        <f t="shared" ref="G34:G42" si="16">E34*U8</f>
        <v>55.763149013551306</v>
      </c>
      <c r="O34" s="99">
        <v>2</v>
      </c>
      <c r="P34" s="93">
        <f>Q33+1</f>
        <v>16</v>
      </c>
      <c r="Q34" s="1">
        <f t="shared" ref="Q34:Q42" si="17">P34*5+10</f>
        <v>90</v>
      </c>
      <c r="R34" s="9">
        <f>SUM($Q$33:Q34)</f>
        <v>105</v>
      </c>
      <c r="S34" s="282">
        <f>R34/R8</f>
        <v>225.54921225284829</v>
      </c>
      <c r="T34" s="9">
        <f t="shared" ref="T34:T42" si="18">U8/S34</f>
        <v>3.2884096680932721E-3</v>
      </c>
      <c r="U34" s="287">
        <f t="shared" ref="U34:U42" si="19">S34*U8</f>
        <v>167.28944704065393</v>
      </c>
    </row>
    <row r="35" spans="1:21" x14ac:dyDescent="0.2">
      <c r="A35" s="97">
        <v>3</v>
      </c>
      <c r="B35" s="93">
        <f t="shared" si="15"/>
        <v>36</v>
      </c>
      <c r="C35" s="1">
        <f t="shared" si="12"/>
        <v>180</v>
      </c>
      <c r="D35" s="9">
        <f>SUM($C$33:C35)</f>
        <v>215</v>
      </c>
      <c r="E35" s="9">
        <f t="shared" si="13"/>
        <v>334.38643204193392</v>
      </c>
      <c r="F35" s="9">
        <f t="shared" si="14"/>
        <v>3.1984281709158224E-3</v>
      </c>
      <c r="G35" s="287">
        <f t="shared" si="16"/>
        <v>357.62996204129445</v>
      </c>
      <c r="O35" s="99">
        <v>3</v>
      </c>
      <c r="P35" s="93">
        <f t="shared" ref="P35:P42" si="20">Q34+1</f>
        <v>91</v>
      </c>
      <c r="Q35" s="1">
        <f t="shared" si="17"/>
        <v>465</v>
      </c>
      <c r="R35" s="9">
        <f>SUM($Q$33:Q35)</f>
        <v>570</v>
      </c>
      <c r="S35" s="282">
        <f t="shared" ref="S35:S42" si="21">R35/R9</f>
        <v>886.51286634373184</v>
      </c>
      <c r="T35" s="9">
        <f t="shared" si="18"/>
        <v>1.2064246609594768E-3</v>
      </c>
      <c r="U35" s="287">
        <f t="shared" si="19"/>
        <v>948.13524820250166</v>
      </c>
    </row>
    <row r="36" spans="1:21" x14ac:dyDescent="0.2">
      <c r="A36" s="97">
        <v>4</v>
      </c>
      <c r="B36" s="93">
        <f t="shared" si="15"/>
        <v>216</v>
      </c>
      <c r="C36" s="1">
        <f t="shared" si="12"/>
        <v>1080</v>
      </c>
      <c r="D36" s="9">
        <f>SUM($C$33:C36)</f>
        <v>1295</v>
      </c>
      <c r="E36" s="9">
        <f t="shared" si="13"/>
        <v>1734.8225602303919</v>
      </c>
      <c r="F36" s="9">
        <f t="shared" si="14"/>
        <v>7.8951424558859173E-4</v>
      </c>
      <c r="G36" s="287">
        <f t="shared" si="16"/>
        <v>2376.12942823101</v>
      </c>
      <c r="O36" s="99">
        <v>4</v>
      </c>
      <c r="P36" s="93">
        <f t="shared" si="20"/>
        <v>466</v>
      </c>
      <c r="Q36" s="1">
        <f t="shared" si="17"/>
        <v>2340</v>
      </c>
      <c r="R36" s="9">
        <f>SUM($Q$33:Q36)</f>
        <v>2910</v>
      </c>
      <c r="S36" s="282">
        <f t="shared" si="21"/>
        <v>3898.327143065977</v>
      </c>
      <c r="T36" s="9">
        <f t="shared" si="18"/>
        <v>3.5134740482378914E-4</v>
      </c>
      <c r="U36" s="287">
        <f t="shared" si="19"/>
        <v>5339.4105298472887</v>
      </c>
    </row>
    <row r="37" spans="1:21" x14ac:dyDescent="0.2">
      <c r="A37" s="97">
        <v>5</v>
      </c>
      <c r="B37" s="93">
        <f t="shared" si="15"/>
        <v>1296</v>
      </c>
      <c r="C37" s="1">
        <f t="shared" si="12"/>
        <v>6480</v>
      </c>
      <c r="D37" s="9">
        <f>SUM($C$33:C37)</f>
        <v>7775</v>
      </c>
      <c r="E37" s="9">
        <f t="shared" si="13"/>
        <v>9562.1184516286576</v>
      </c>
      <c r="F37" s="9">
        <f t="shared" si="14"/>
        <v>1.7184398027723588E-4</v>
      </c>
      <c r="G37" s="287">
        <f t="shared" si="16"/>
        <v>15712.40127229057</v>
      </c>
      <c r="O37" s="99">
        <v>5</v>
      </c>
      <c r="P37" s="93">
        <f t="shared" si="20"/>
        <v>2341</v>
      </c>
      <c r="Q37" s="1">
        <f t="shared" si="17"/>
        <v>11715</v>
      </c>
      <c r="R37" s="9">
        <f>SUM($Q$33:Q37)</f>
        <v>14625</v>
      </c>
      <c r="S37" s="282">
        <f t="shared" si="21"/>
        <v>17986.621524767732</v>
      </c>
      <c r="T37" s="9">
        <f t="shared" si="18"/>
        <v>9.1356372420889494E-5</v>
      </c>
      <c r="U37" s="287">
        <f t="shared" si="19"/>
        <v>29555.481492893836</v>
      </c>
    </row>
    <row r="38" spans="1:21" x14ac:dyDescent="0.2">
      <c r="A38" s="97">
        <v>6</v>
      </c>
      <c r="B38" s="93">
        <f t="shared" si="15"/>
        <v>7776</v>
      </c>
      <c r="C38" s="1">
        <f t="shared" si="12"/>
        <v>38880</v>
      </c>
      <c r="D38" s="9">
        <f>SUM($C$33:C38)</f>
        <v>46655</v>
      </c>
      <c r="E38" s="9">
        <f t="shared" si="13"/>
        <v>54328.693562600682</v>
      </c>
      <c r="F38" s="9">
        <f t="shared" si="14"/>
        <v>3.4811811190253643E-5</v>
      </c>
      <c r="G38" s="287">
        <f t="shared" si="16"/>
        <v>102750.78364999226</v>
      </c>
      <c r="O38" s="99">
        <v>6</v>
      </c>
      <c r="P38" s="93">
        <f t="shared" si="20"/>
        <v>11716</v>
      </c>
      <c r="Q38" s="1">
        <f t="shared" si="17"/>
        <v>58590</v>
      </c>
      <c r="R38" s="9">
        <f>SUM($Q$33:Q38)</f>
        <v>73215</v>
      </c>
      <c r="S38" s="282">
        <f t="shared" si="21"/>
        <v>85257.21357166025</v>
      </c>
      <c r="T38" s="9">
        <f t="shared" si="18"/>
        <v>2.218322817839628E-5</v>
      </c>
      <c r="U38" s="287">
        <f t="shared" si="19"/>
        <v>161245.28185476761</v>
      </c>
    </row>
    <row r="39" spans="1:21" x14ac:dyDescent="0.2">
      <c r="A39" s="97">
        <v>7</v>
      </c>
      <c r="B39" s="93">
        <f t="shared" si="15"/>
        <v>46656</v>
      </c>
      <c r="C39" s="1">
        <f t="shared" si="12"/>
        <v>233280</v>
      </c>
      <c r="D39" s="9">
        <f>SUM($C$33:C39)</f>
        <v>279935</v>
      </c>
      <c r="E39" s="9">
        <f t="shared" si="13"/>
        <v>314046.60612141545</v>
      </c>
      <c r="F39" s="9">
        <f t="shared" si="14"/>
        <v>6.7354957840244285E-6</v>
      </c>
      <c r="G39" s="287">
        <f t="shared" si="16"/>
        <v>664290.09578199137</v>
      </c>
      <c r="O39" s="99">
        <v>7</v>
      </c>
      <c r="P39" s="93">
        <f t="shared" si="20"/>
        <v>58591</v>
      </c>
      <c r="Q39" s="1">
        <f t="shared" si="17"/>
        <v>292965</v>
      </c>
      <c r="R39" s="9">
        <f>SUM($Q$33:Q39)</f>
        <v>366180</v>
      </c>
      <c r="S39" s="282">
        <f t="shared" si="21"/>
        <v>410801.02963023528</v>
      </c>
      <c r="T39" s="9">
        <f t="shared" si="18"/>
        <v>5.1491097610488786E-6</v>
      </c>
      <c r="U39" s="287">
        <f t="shared" si="19"/>
        <v>868950.8181308147</v>
      </c>
    </row>
    <row r="40" spans="1:21" x14ac:dyDescent="0.2">
      <c r="A40" s="97">
        <v>8</v>
      </c>
      <c r="B40" s="93">
        <f t="shared" si="15"/>
        <v>279936</v>
      </c>
      <c r="C40" s="1">
        <f t="shared" si="12"/>
        <v>1399680</v>
      </c>
      <c r="D40" s="9">
        <f>SUM($C$33:C40)</f>
        <v>1679615</v>
      </c>
      <c r="E40" s="9">
        <f t="shared" si="13"/>
        <v>1834824.4315682978</v>
      </c>
      <c r="F40" s="9">
        <f t="shared" si="14"/>
        <v>1.2625531945206542E-6</v>
      </c>
      <c r="G40" s="287">
        <f t="shared" si="16"/>
        <v>4250487.2106797053</v>
      </c>
      <c r="O40" s="99">
        <v>8</v>
      </c>
      <c r="P40" s="93">
        <f t="shared" si="20"/>
        <v>292966</v>
      </c>
      <c r="Q40" s="1">
        <f t="shared" si="17"/>
        <v>1464840</v>
      </c>
      <c r="R40" s="9">
        <f>SUM($Q$33:Q40)</f>
        <v>1831020</v>
      </c>
      <c r="S40" s="282">
        <f t="shared" si="21"/>
        <v>2000220.4259250986</v>
      </c>
      <c r="T40" s="9">
        <f t="shared" si="18"/>
        <v>1.1581540801382884E-6</v>
      </c>
      <c r="U40" s="287">
        <f t="shared" si="19"/>
        <v>4633637.5255631516</v>
      </c>
    </row>
    <row r="41" spans="1:21" x14ac:dyDescent="0.2">
      <c r="A41" s="97">
        <v>9</v>
      </c>
      <c r="B41" s="93">
        <f t="shared" si="15"/>
        <v>1679616</v>
      </c>
      <c r="C41" s="1">
        <f t="shared" si="12"/>
        <v>8398080</v>
      </c>
      <c r="D41" s="9">
        <f>SUM($C$33:C41)</f>
        <v>10077695</v>
      </c>
      <c r="E41" s="9">
        <f t="shared" si="13"/>
        <v>10795602.753354294</v>
      </c>
      <c r="F41" s="9">
        <f t="shared" si="14"/>
        <v>2.3126967767252367E-7</v>
      </c>
      <c r="G41" s="287">
        <f t="shared" si="16"/>
        <v>26953333.559511304</v>
      </c>
      <c r="O41" s="99">
        <v>9</v>
      </c>
      <c r="P41" s="93">
        <f t="shared" si="20"/>
        <v>1464841</v>
      </c>
      <c r="Q41" s="1">
        <f t="shared" si="17"/>
        <v>7324215</v>
      </c>
      <c r="R41" s="9">
        <f>SUM($Q$33:Q41)</f>
        <v>9155235</v>
      </c>
      <c r="S41" s="282">
        <f t="shared" si="21"/>
        <v>9807429.1962205246</v>
      </c>
      <c r="T41" s="9">
        <f t="shared" si="18"/>
        <v>2.5457186782556683E-7</v>
      </c>
      <c r="U41" s="287">
        <f t="shared" si="19"/>
        <v>24486165.017964177</v>
      </c>
    </row>
    <row r="42" spans="1:21" ht="17" thickBot="1" x14ac:dyDescent="0.25">
      <c r="A42" s="145">
        <v>10</v>
      </c>
      <c r="B42" s="94">
        <f t="shared" si="15"/>
        <v>10077696</v>
      </c>
      <c r="C42" s="111">
        <f t="shared" si="12"/>
        <v>50388480</v>
      </c>
      <c r="D42" s="10">
        <f>SUM($C$33:C42)</f>
        <v>60466175</v>
      </c>
      <c r="E42" s="9">
        <f t="shared" si="13"/>
        <v>63826817.966393217</v>
      </c>
      <c r="F42" s="10">
        <f t="shared" si="14"/>
        <v>4.1631392060425196E-8</v>
      </c>
      <c r="G42" s="288">
        <f t="shared" si="16"/>
        <v>169600574.91913027</v>
      </c>
      <c r="O42" s="100">
        <v>10</v>
      </c>
      <c r="P42" s="94">
        <f t="shared" si="20"/>
        <v>7324216</v>
      </c>
      <c r="Q42" s="111">
        <f t="shared" si="17"/>
        <v>36621090</v>
      </c>
      <c r="R42" s="10">
        <f>SUM($Q$33:Q42)</f>
        <v>45776325</v>
      </c>
      <c r="S42" s="283">
        <f t="shared" si="21"/>
        <v>48320522.390335672</v>
      </c>
      <c r="T42" s="10">
        <f t="shared" si="18"/>
        <v>5.4991112497984065E-8</v>
      </c>
      <c r="U42" s="288">
        <f t="shared" si="19"/>
        <v>128397257.43665704</v>
      </c>
    </row>
    <row r="43" spans="1:21" ht="17" thickBot="1" x14ac:dyDescent="0.25">
      <c r="U43" s="285"/>
    </row>
    <row r="44" spans="1:21" ht="17" thickBot="1" x14ac:dyDescent="0.25">
      <c r="A44" s="117" t="s">
        <v>135</v>
      </c>
      <c r="B44" s="118" t="s">
        <v>140</v>
      </c>
      <c r="C44" s="118" t="s">
        <v>139</v>
      </c>
      <c r="D44" s="170" t="s">
        <v>138</v>
      </c>
      <c r="E44" s="166" t="s">
        <v>151</v>
      </c>
      <c r="F44" s="168" t="s">
        <v>152</v>
      </c>
      <c r="G44" s="290" t="s">
        <v>47</v>
      </c>
      <c r="O44" s="29" t="s">
        <v>135</v>
      </c>
      <c r="P44" s="118" t="s">
        <v>140</v>
      </c>
      <c r="Q44" s="118" t="s">
        <v>139</v>
      </c>
      <c r="R44" s="118" t="s">
        <v>138</v>
      </c>
      <c r="S44" s="166" t="s">
        <v>151</v>
      </c>
      <c r="T44" s="168" t="s">
        <v>152</v>
      </c>
      <c r="U44" s="294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5</v>
      </c>
      <c r="D45" s="57">
        <f>SUM(C45:C45)</f>
        <v>5</v>
      </c>
      <c r="E45" s="57">
        <f t="shared" ref="E45:E54" si="23">D45/R7</f>
        <v>48.526004876192609</v>
      </c>
      <c r="F45" s="8">
        <f t="shared" ref="F45:F54" si="24">U7/E45</f>
        <v>7.9420990866385238E-3</v>
      </c>
      <c r="G45" s="286">
        <f>E45*U7</f>
        <v>18.701841677853828</v>
      </c>
      <c r="O45" s="101">
        <v>1</v>
      </c>
      <c r="P45" s="109">
        <v>1</v>
      </c>
      <c r="Q45" s="110">
        <f>P45*5+10</f>
        <v>15</v>
      </c>
      <c r="R45" s="57">
        <f>SUM($Q$21)</f>
        <v>15</v>
      </c>
      <c r="S45" s="281">
        <f>R45/R7</f>
        <v>145.57801462857782</v>
      </c>
      <c r="T45" s="8">
        <f>U7/S45</f>
        <v>2.6473663622128413E-3</v>
      </c>
      <c r="U45" s="289">
        <f>S45*U7</f>
        <v>56.105525033561477</v>
      </c>
    </row>
    <row r="46" spans="1:21" x14ac:dyDescent="0.2">
      <c r="A46" s="97">
        <v>2</v>
      </c>
      <c r="B46" s="93">
        <f t="shared" ref="B46:B54" si="25">B45*$O$2*2</f>
        <v>10</v>
      </c>
      <c r="C46" s="1">
        <f t="shared" si="22"/>
        <v>50</v>
      </c>
      <c r="D46" s="9">
        <f>SUM($C$45:C46)</f>
        <v>55</v>
      </c>
      <c r="E46" s="9">
        <f t="shared" si="23"/>
        <v>118.14482546577767</v>
      </c>
      <c r="F46" s="9">
        <f t="shared" si="24"/>
        <v>6.2778730027235191E-3</v>
      </c>
      <c r="G46" s="287">
        <f t="shared" ref="G46:G54" si="26">E46*U8</f>
        <v>87.62780559272349</v>
      </c>
      <c r="O46" s="99">
        <v>2</v>
      </c>
      <c r="P46" s="93">
        <f>Q45*2</f>
        <v>30</v>
      </c>
      <c r="Q46" s="1">
        <f t="shared" ref="Q46:Q54" si="27">P46*5+10</f>
        <v>160</v>
      </c>
      <c r="R46" s="9">
        <f>SUM($Q$45:Q46)</f>
        <v>175</v>
      </c>
      <c r="S46" s="282">
        <f t="shared" ref="S46:S54" si="28">R46/R8</f>
        <v>375.91535375474712</v>
      </c>
      <c r="T46" s="9">
        <f t="shared" ref="T46:T54" si="29">U8/S46</f>
        <v>1.9730458008559632E-3</v>
      </c>
      <c r="U46" s="287">
        <f t="shared" ref="U46:U54" si="30">S46*U8</f>
        <v>278.81574506775655</v>
      </c>
    </row>
    <row r="47" spans="1:21" x14ac:dyDescent="0.2">
      <c r="A47" s="97">
        <v>3</v>
      </c>
      <c r="B47" s="93">
        <f t="shared" si="25"/>
        <v>100</v>
      </c>
      <c r="C47" s="1">
        <f t="shared" si="22"/>
        <v>500</v>
      </c>
      <c r="D47" s="9">
        <f>SUM($C$45:C47)</f>
        <v>555</v>
      </c>
      <c r="E47" s="9">
        <f t="shared" si="23"/>
        <v>863.18358038731787</v>
      </c>
      <c r="F47" s="9">
        <f t="shared" si="24"/>
        <v>1.2390307328773004E-3</v>
      </c>
      <c r="G47" s="287">
        <f t="shared" si="26"/>
        <v>923.18432061822523</v>
      </c>
      <c r="O47" s="99">
        <v>3</v>
      </c>
      <c r="P47" s="93">
        <f t="shared" ref="P47:P54" si="31">Q46*2</f>
        <v>320</v>
      </c>
      <c r="Q47" s="1">
        <f t="shared" si="27"/>
        <v>1610</v>
      </c>
      <c r="R47" s="9">
        <f>SUM($Q$45:Q47)</f>
        <v>1785</v>
      </c>
      <c r="S47" s="282">
        <f t="shared" si="28"/>
        <v>2776.1850288132655</v>
      </c>
      <c r="T47" s="9">
        <f t="shared" si="29"/>
        <v>3.8524484971815226E-4</v>
      </c>
      <c r="U47" s="287">
        <f t="shared" si="30"/>
        <v>2969.1603825288867</v>
      </c>
    </row>
    <row r="48" spans="1:21" x14ac:dyDescent="0.2">
      <c r="A48" s="97">
        <v>4</v>
      </c>
      <c r="B48" s="93">
        <f t="shared" si="25"/>
        <v>1000</v>
      </c>
      <c r="C48" s="1">
        <f t="shared" si="22"/>
        <v>5000</v>
      </c>
      <c r="D48" s="9">
        <f>SUM($C$45:C48)</f>
        <v>5555</v>
      </c>
      <c r="E48" s="9">
        <f t="shared" si="23"/>
        <v>7441.6519861620282</v>
      </c>
      <c r="F48" s="9">
        <f t="shared" si="24"/>
        <v>1.8405417606430719E-4</v>
      </c>
      <c r="G48" s="287">
        <f t="shared" si="26"/>
        <v>10192.586080172403</v>
      </c>
      <c r="O48" s="99">
        <v>4</v>
      </c>
      <c r="P48" s="93">
        <f t="shared" si="31"/>
        <v>3220</v>
      </c>
      <c r="Q48" s="1">
        <f t="shared" si="27"/>
        <v>16110</v>
      </c>
      <c r="R48" s="9">
        <f>SUM($Q$45:Q48)</f>
        <v>17895</v>
      </c>
      <c r="S48" s="282">
        <f t="shared" si="28"/>
        <v>23972.702482874796</v>
      </c>
      <c r="T48" s="9">
        <f t="shared" si="29"/>
        <v>5.7134448060197057E-5</v>
      </c>
      <c r="U48" s="287">
        <f t="shared" si="30"/>
        <v>32834.622485091837</v>
      </c>
    </row>
    <row r="49" spans="1:21" x14ac:dyDescent="0.2">
      <c r="A49" s="97">
        <v>5</v>
      </c>
      <c r="B49" s="93">
        <f t="shared" si="25"/>
        <v>10000</v>
      </c>
      <c r="C49" s="1">
        <f t="shared" si="22"/>
        <v>50000</v>
      </c>
      <c r="D49" s="9">
        <f>SUM($C$45:C49)</f>
        <v>55555</v>
      </c>
      <c r="E49" s="9">
        <f t="shared" si="23"/>
        <v>68324.564704852746</v>
      </c>
      <c r="F49" s="9">
        <f t="shared" si="24"/>
        <v>2.4049805537854539E-5</v>
      </c>
      <c r="G49" s="287">
        <f t="shared" si="26"/>
        <v>112270.41192052767</v>
      </c>
      <c r="O49" s="99">
        <v>5</v>
      </c>
      <c r="P49" s="93">
        <f t="shared" si="31"/>
        <v>32220</v>
      </c>
      <c r="Q49" s="1">
        <f t="shared" si="27"/>
        <v>161110</v>
      </c>
      <c r="R49" s="9">
        <f>SUM($Q$45:Q49)</f>
        <v>179005</v>
      </c>
      <c r="S49" s="282">
        <f t="shared" si="28"/>
        <v>220150.09819084086</v>
      </c>
      <c r="T49" s="9">
        <f t="shared" si="29"/>
        <v>7.4639643957180473E-6</v>
      </c>
      <c r="U49" s="287">
        <f t="shared" si="30"/>
        <v>361748.98903490329</v>
      </c>
    </row>
    <row r="50" spans="1:21" x14ac:dyDescent="0.2">
      <c r="A50" s="97">
        <v>6</v>
      </c>
      <c r="B50" s="93">
        <f t="shared" si="25"/>
        <v>100000</v>
      </c>
      <c r="C50" s="1">
        <f t="shared" si="22"/>
        <v>500000</v>
      </c>
      <c r="D50" s="9">
        <f>SUM($C$45:C50)</f>
        <v>555555</v>
      </c>
      <c r="E50" s="9">
        <f t="shared" si="23"/>
        <v>646931.2475012457</v>
      </c>
      <c r="F50" s="9">
        <f t="shared" si="24"/>
        <v>2.9234640154103265E-6</v>
      </c>
      <c r="G50" s="287">
        <f t="shared" si="26"/>
        <v>1223528.2737256766</v>
      </c>
      <c r="O50" s="99">
        <v>6</v>
      </c>
      <c r="P50" s="93">
        <f t="shared" si="31"/>
        <v>322220</v>
      </c>
      <c r="Q50" s="1">
        <f t="shared" si="27"/>
        <v>1611110</v>
      </c>
      <c r="R50" s="9">
        <f>SUM($Q$45:Q50)</f>
        <v>1790115</v>
      </c>
      <c r="S50" s="282">
        <f t="shared" si="28"/>
        <v>2084548.4787657254</v>
      </c>
      <c r="T50" s="9">
        <f t="shared" si="29"/>
        <v>9.0728531467603125E-7</v>
      </c>
      <c r="U50" s="287">
        <f t="shared" si="30"/>
        <v>3942465.3107621023</v>
      </c>
    </row>
    <row r="51" spans="1:21" x14ac:dyDescent="0.2">
      <c r="A51" s="97">
        <v>7</v>
      </c>
      <c r="B51" s="93">
        <f t="shared" si="25"/>
        <v>1000000</v>
      </c>
      <c r="C51" s="1">
        <f t="shared" si="22"/>
        <v>5000000</v>
      </c>
      <c r="D51" s="9">
        <f>SUM($C$45:C51)</f>
        <v>5555555</v>
      </c>
      <c r="E51" s="9">
        <f t="shared" si="23"/>
        <v>6232529.6689262157</v>
      </c>
      <c r="F51" s="9">
        <f t="shared" si="24"/>
        <v>3.3939021615317973E-7</v>
      </c>
      <c r="G51" s="287">
        <f t="shared" si="26"/>
        <v>13183418.161616521</v>
      </c>
      <c r="O51" s="99">
        <v>7</v>
      </c>
      <c r="P51" s="93">
        <f t="shared" si="31"/>
        <v>3222220</v>
      </c>
      <c r="Q51" s="1">
        <f t="shared" si="27"/>
        <v>16111110</v>
      </c>
      <c r="R51" s="9">
        <f>SUM($Q$45:Q51)</f>
        <v>17901225</v>
      </c>
      <c r="S51" s="282">
        <f t="shared" si="28"/>
        <v>20082586.874330953</v>
      </c>
      <c r="T51" s="9">
        <f t="shared" si="29"/>
        <v>1.053280438797277E-7</v>
      </c>
      <c r="U51" s="287">
        <f t="shared" si="30"/>
        <v>42479884.508421518</v>
      </c>
    </row>
    <row r="52" spans="1:21" x14ac:dyDescent="0.2">
      <c r="A52" s="97">
        <v>8</v>
      </c>
      <c r="B52" s="93">
        <f t="shared" si="25"/>
        <v>10000000</v>
      </c>
      <c r="C52" s="1">
        <f t="shared" si="22"/>
        <v>50000000</v>
      </c>
      <c r="D52" s="9">
        <f>SUM($C$45:C52)</f>
        <v>55555555</v>
      </c>
      <c r="E52" s="9">
        <f t="shared" si="23"/>
        <v>60689318.458894625</v>
      </c>
      <c r="F52" s="9">
        <f t="shared" si="24"/>
        <v>3.8170859490375156E-8</v>
      </c>
      <c r="G52" s="287">
        <f t="shared" si="26"/>
        <v>140590656.79320139</v>
      </c>
      <c r="O52" s="99">
        <v>8</v>
      </c>
      <c r="P52" s="93">
        <f t="shared" si="31"/>
        <v>32222220</v>
      </c>
      <c r="Q52" s="1">
        <f t="shared" si="27"/>
        <v>161111110</v>
      </c>
      <c r="R52" s="9">
        <f>SUM($Q$45:Q52)</f>
        <v>179012335</v>
      </c>
      <c r="S52" s="282">
        <f t="shared" si="28"/>
        <v>195554460.87948051</v>
      </c>
      <c r="T52" s="9">
        <f t="shared" si="29"/>
        <v>1.184612939557941E-8</v>
      </c>
      <c r="U52" s="287">
        <f t="shared" si="30"/>
        <v>453014316.06136578</v>
      </c>
    </row>
    <row r="53" spans="1:21" x14ac:dyDescent="0.2">
      <c r="A53" s="97">
        <v>9</v>
      </c>
      <c r="B53" s="93">
        <f t="shared" si="25"/>
        <v>100000000</v>
      </c>
      <c r="C53" s="1">
        <f t="shared" si="22"/>
        <v>500000000</v>
      </c>
      <c r="D53" s="9">
        <f>SUM($C$45:C53)</f>
        <v>555555555</v>
      </c>
      <c r="E53" s="9">
        <f t="shared" si="23"/>
        <v>595131831.15774715</v>
      </c>
      <c r="F53" s="9">
        <f t="shared" si="24"/>
        <v>4.1951974979928038E-9</v>
      </c>
      <c r="G53" s="287">
        <f t="shared" si="26"/>
        <v>1485863005.8514798</v>
      </c>
      <c r="O53" s="99">
        <v>9</v>
      </c>
      <c r="P53" s="93">
        <f t="shared" si="31"/>
        <v>322222220</v>
      </c>
      <c r="Q53" s="1">
        <f t="shared" si="27"/>
        <v>1611111110</v>
      </c>
      <c r="R53" s="9">
        <f>SUM($Q$45:Q53)</f>
        <v>1790123445</v>
      </c>
      <c r="S53" s="282">
        <f t="shared" si="28"/>
        <v>1917647000.7959235</v>
      </c>
      <c r="T53" s="9">
        <f t="shared" si="29"/>
        <v>1.3019578514776693E-9</v>
      </c>
      <c r="U53" s="287">
        <f t="shared" si="30"/>
        <v>4787780769.8870115</v>
      </c>
    </row>
    <row r="54" spans="1:21" ht="17" thickBot="1" x14ac:dyDescent="0.25">
      <c r="A54" s="145">
        <v>10</v>
      </c>
      <c r="B54" s="94">
        <f t="shared" si="25"/>
        <v>1000000000</v>
      </c>
      <c r="C54" s="111">
        <f t="shared" si="22"/>
        <v>5000000000</v>
      </c>
      <c r="D54" s="10">
        <f>SUM($C$45:C54)</f>
        <v>5555555555</v>
      </c>
      <c r="E54" s="10">
        <f t="shared" si="23"/>
        <v>5864327173.186821</v>
      </c>
      <c r="F54" s="10">
        <f t="shared" si="24"/>
        <v>4.5311238685278177E-10</v>
      </c>
      <c r="G54" s="288">
        <f t="shared" si="26"/>
        <v>15582685958.27614</v>
      </c>
      <c r="O54" s="100">
        <v>10</v>
      </c>
      <c r="P54" s="94">
        <f t="shared" si="31"/>
        <v>3222222220</v>
      </c>
      <c r="Q54" s="111">
        <f t="shared" si="27"/>
        <v>16111111110</v>
      </c>
      <c r="R54" s="10">
        <f>SUM($Q$45:Q54)</f>
        <v>17901234555</v>
      </c>
      <c r="S54" s="283">
        <f t="shared" si="28"/>
        <v>18896165324.095547</v>
      </c>
      <c r="T54" s="10">
        <f t="shared" si="29"/>
        <v>1.406210856622833E-10</v>
      </c>
      <c r="U54" s="288">
        <f t="shared" si="30"/>
        <v>50210876945.50219</v>
      </c>
    </row>
  </sheetData>
  <mergeCells count="2">
    <mergeCell ref="A18:F18"/>
    <mergeCell ref="O18:T18"/>
  </mergeCells>
  <conditionalFormatting sqref="F45:F54">
    <cfRule type="cellIs" dxfId="638" priority="57" operator="equal">
      <formula>MAX($F$45:$F$54)</formula>
    </cfRule>
  </conditionalFormatting>
  <conditionalFormatting sqref="F21:F30">
    <cfRule type="cellIs" dxfId="637" priority="55" operator="equal">
      <formula>MAX($F$21:$F$30)</formula>
    </cfRule>
  </conditionalFormatting>
  <conditionalFormatting sqref="E33:E42">
    <cfRule type="cellIs" dxfId="636" priority="51" stopIfTrue="1" operator="lessThan">
      <formula>0</formula>
    </cfRule>
    <cfRule type="cellIs" dxfId="635" priority="52" operator="equal">
      <formula>MIN($E$33:$E$42)</formula>
    </cfRule>
  </conditionalFormatting>
  <conditionalFormatting sqref="E21:E30">
    <cfRule type="cellIs" dxfId="634" priority="47" stopIfTrue="1" operator="lessThan">
      <formula>0</formula>
    </cfRule>
    <cfRule type="cellIs" dxfId="633" priority="48" operator="equal">
      <formula>MIN($E$21:$E$30)</formula>
    </cfRule>
  </conditionalFormatting>
  <conditionalFormatting sqref="E45:E54">
    <cfRule type="cellIs" dxfId="632" priority="43" stopIfTrue="1" operator="lessThan">
      <formula>0</formula>
    </cfRule>
    <cfRule type="cellIs" dxfId="631" priority="44" operator="equal">
      <formula>MIN($E$45:$E$54)</formula>
    </cfRule>
  </conditionalFormatting>
  <conditionalFormatting sqref="F33:F42">
    <cfRule type="cellIs" dxfId="630" priority="29" operator="lessThanOrEqual">
      <formula>0</formula>
    </cfRule>
    <cfRule type="cellIs" dxfId="629" priority="30" operator="equal">
      <formula>MAX($F$33:$F$42)</formula>
    </cfRule>
  </conditionalFormatting>
  <conditionalFormatting sqref="S7:T16">
    <cfRule type="cellIs" dxfId="628" priority="11" operator="lessThanOrEqual">
      <formula>0</formula>
    </cfRule>
    <cfRule type="cellIs" dxfId="627" priority="12" operator="greaterThan">
      <formula>0</formula>
    </cfRule>
  </conditionalFormatting>
  <conditionalFormatting sqref="U7:U16">
    <cfRule type="cellIs" dxfId="626" priority="13" operator="lessThanOrEqual">
      <formula>0</formula>
    </cfRule>
    <cfRule type="cellIs" dxfId="625" priority="14" operator="greaterThan">
      <formula>0</formula>
    </cfRule>
  </conditionalFormatting>
  <conditionalFormatting sqref="R7:R16">
    <cfRule type="cellIs" dxfId="624" priority="15" operator="lessThanOrEqual">
      <formula>0</formula>
    </cfRule>
    <cfRule type="cellIs" dxfId="623" priority="16" operator="greaterThan">
      <formula>0</formula>
    </cfRule>
  </conditionalFormatting>
  <conditionalFormatting sqref="S21:S30">
    <cfRule type="cellIs" dxfId="622" priority="9" stopIfTrue="1" operator="lessThan">
      <formula>0</formula>
    </cfRule>
    <cfRule type="cellIs" dxfId="621" priority="10" operator="equal">
      <formula>MIN($E$21:$E$30)</formula>
    </cfRule>
  </conditionalFormatting>
  <conditionalFormatting sqref="T21:T30">
    <cfRule type="cellIs" dxfId="620" priority="7" operator="equal">
      <formula>MAX($T$21:$T$30)</formula>
    </cfRule>
  </conditionalFormatting>
  <conditionalFormatting sqref="S33:S42">
    <cfRule type="cellIs" dxfId="619" priority="5" stopIfTrue="1" operator="lessThan">
      <formula>0</formula>
    </cfRule>
    <cfRule type="cellIs" dxfId="618" priority="6" operator="equal">
      <formula>MIN($E$21:$E$30)</formula>
    </cfRule>
  </conditionalFormatting>
  <conditionalFormatting sqref="T33:T42">
    <cfRule type="cellIs" dxfId="617" priority="4" operator="equal">
      <formula>MAX($T$21:$T$30)</formula>
    </cfRule>
  </conditionalFormatting>
  <conditionalFormatting sqref="S45:S54">
    <cfRule type="cellIs" dxfId="616" priority="2" stopIfTrue="1" operator="lessThan">
      <formula>0</formula>
    </cfRule>
    <cfRule type="cellIs" dxfId="615" priority="3" operator="equal">
      <formula>MIN($E$21:$E$30)</formula>
    </cfRule>
  </conditionalFormatting>
  <conditionalFormatting sqref="T45:T54">
    <cfRule type="cellIs" dxfId="614" priority="1" operator="equal">
      <formula>MAX($T$21:$T$30)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pageSetUpPr fitToPage="1"/>
  </sheetPr>
  <dimension ref="A1:W54"/>
  <sheetViews>
    <sheetView workbookViewId="0">
      <selection activeCell="C7" sqref="C7:C16"/>
    </sheetView>
  </sheetViews>
  <sheetFormatPr baseColWidth="10" defaultColWidth="8.6640625" defaultRowHeight="16" x14ac:dyDescent="0.2"/>
  <cols>
    <col min="14" max="14" width="5.6640625" bestFit="1" customWidth="1"/>
    <col min="19" max="19" width="8.6640625" customWidth="1"/>
  </cols>
  <sheetData>
    <row r="1" spans="1:23" x14ac:dyDescent="0.2">
      <c r="C1" t="s">
        <v>95</v>
      </c>
      <c r="D1">
        <f>C2+E2</f>
        <v>0.99999999999999989</v>
      </c>
    </row>
    <row r="2" spans="1:23" x14ac:dyDescent="0.2">
      <c r="A2" t="s">
        <v>40</v>
      </c>
      <c r="B2" s="149" t="s">
        <v>125</v>
      </c>
      <c r="C2" s="155">
        <f>Analysis!B13</f>
        <v>0.55805681820413922</v>
      </c>
      <c r="D2" s="149" t="s">
        <v>126</v>
      </c>
      <c r="E2" s="155">
        <f>Analysis!I13</f>
        <v>0.44194318179586067</v>
      </c>
      <c r="F2" s="149" t="s">
        <v>47</v>
      </c>
      <c r="G2" s="155">
        <f>Analysis!S13</f>
        <v>4.7907828958630123</v>
      </c>
      <c r="H2" t="s">
        <v>156</v>
      </c>
      <c r="I2" s="169">
        <f>Analysis!T13</f>
        <v>-4.8274458904376445</v>
      </c>
      <c r="J2" t="s">
        <v>48</v>
      </c>
      <c r="K2" s="169">
        <f>C2*G2+E2*I2</f>
        <v>0.54007226280476051</v>
      </c>
      <c r="L2" t="s">
        <v>47</v>
      </c>
      <c r="M2" s="176">
        <v>1</v>
      </c>
      <c r="N2" t="s">
        <v>156</v>
      </c>
      <c r="O2" s="176">
        <v>6</v>
      </c>
    </row>
    <row r="4" spans="1:23" x14ac:dyDescent="0.2">
      <c r="A4" t="s">
        <v>123</v>
      </c>
      <c r="B4">
        <f>$C$2</f>
        <v>0.55805681820413922</v>
      </c>
      <c r="C4" t="s">
        <v>124</v>
      </c>
      <c r="D4">
        <f>$E$2</f>
        <v>0.44194318179586067</v>
      </c>
      <c r="E4" t="s">
        <v>47</v>
      </c>
      <c r="F4">
        <f>G2</f>
        <v>4.7907828958630123</v>
      </c>
      <c r="G4" t="s">
        <v>156</v>
      </c>
      <c r="H4">
        <f>I2</f>
        <v>-4.8274458904376445</v>
      </c>
      <c r="I4" t="s">
        <v>48</v>
      </c>
      <c r="J4">
        <f>K2</f>
        <v>0.54007226280476051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60">
        <v>-10</v>
      </c>
      <c r="N6" s="104" t="s">
        <v>136</v>
      </c>
      <c r="R6" s="188" t="s">
        <v>49</v>
      </c>
      <c r="S6" s="164" t="s">
        <v>130</v>
      </c>
      <c r="T6" s="165" t="s">
        <v>137</v>
      </c>
      <c r="U6" s="184" t="s">
        <v>48</v>
      </c>
      <c r="V6" s="175" t="s">
        <v>47</v>
      </c>
      <c r="W6" s="168" t="s">
        <v>156</v>
      </c>
    </row>
    <row r="7" spans="1:23" x14ac:dyDescent="0.2">
      <c r="A7" s="101">
        <v>1</v>
      </c>
      <c r="B7" s="95">
        <f>C7*B4</f>
        <v>0.55805681820413922</v>
      </c>
      <c r="C7" s="95">
        <v>1</v>
      </c>
      <c r="D7" s="109">
        <f>C7*D4</f>
        <v>0.44194318179586067</v>
      </c>
      <c r="E7" s="110"/>
      <c r="F7" s="110"/>
      <c r="G7" s="110"/>
      <c r="H7" s="110"/>
      <c r="I7" s="110"/>
      <c r="J7" s="110"/>
      <c r="K7" s="110"/>
      <c r="L7" s="110"/>
      <c r="M7" s="263"/>
      <c r="N7" s="95">
        <f>B7+D7</f>
        <v>0.99999999999999989</v>
      </c>
      <c r="R7" s="189">
        <f>B7-D7</f>
        <v>0.11611363640827854</v>
      </c>
      <c r="S7" s="109">
        <f>SUM(C7)*$B$4*$F$4</f>
        <v>2.6735290595721248</v>
      </c>
      <c r="T7" s="57">
        <f>SUM(C7)*$D$4*$H$4</f>
        <v>-2.1334567967673643</v>
      </c>
      <c r="U7" s="265">
        <f>S7+T7</f>
        <v>0.54007226280476051</v>
      </c>
      <c r="V7" s="109">
        <f>(U7+W7*D7)/B7</f>
        <v>1.7597051278054565</v>
      </c>
      <c r="W7" s="57">
        <f>COUNT(D7:M7)</f>
        <v>1</v>
      </c>
    </row>
    <row r="8" spans="1:23" x14ac:dyDescent="0.2">
      <c r="A8" s="99">
        <v>2</v>
      </c>
      <c r="B8" s="97">
        <f>C8*B4</f>
        <v>0.74074674873816904</v>
      </c>
      <c r="C8" s="97">
        <f>1/(1-B4*D4*C7)</f>
        <v>1.3273679750422853</v>
      </c>
      <c r="D8" s="93">
        <f>C8*D4</f>
        <v>0.58662122630411617</v>
      </c>
      <c r="E8" s="1">
        <f>D8*D4</f>
        <v>0.25925325126183074</v>
      </c>
      <c r="F8" s="1"/>
      <c r="G8" s="1"/>
      <c r="H8" s="1"/>
      <c r="I8" s="1"/>
      <c r="J8" s="1"/>
      <c r="K8" s="1"/>
      <c r="L8" s="1"/>
      <c r="M8" s="262"/>
      <c r="N8" s="97">
        <f>B8+E8</f>
        <v>0.99999999999999978</v>
      </c>
      <c r="R8" s="190">
        <f>B8-E8</f>
        <v>0.48149349747633829</v>
      </c>
      <c r="S8" s="93">
        <f>SUM(C8:D8)*$B$4*$F$4</f>
        <v>5.1171057495068473</v>
      </c>
      <c r="T8" s="9">
        <f>SUM(C8:D8)*$D$4*$H$4</f>
        <v>-4.0834132705518202</v>
      </c>
      <c r="U8" s="266">
        <f>S8+T8</f>
        <v>1.033692478955027</v>
      </c>
      <c r="V8" s="93">
        <f>(U8+W8*E8)/B8</f>
        <v>2.0954516292144301</v>
      </c>
      <c r="W8" s="9">
        <f>COUNT(D8:M8)</f>
        <v>2</v>
      </c>
    </row>
    <row r="9" spans="1:23" x14ac:dyDescent="0.2">
      <c r="A9" s="99">
        <v>3</v>
      </c>
      <c r="B9" s="97">
        <f>C9*B4</f>
        <v>0.82966138616314278</v>
      </c>
      <c r="C9" s="97">
        <f>1/(1-D4*B4*C8)</f>
        <v>1.4866969797681957</v>
      </c>
      <c r="D9" s="93">
        <f>C9*D4*C8</f>
        <v>0.87212800541424473</v>
      </c>
      <c r="E9" s="1">
        <f>D9*(D4)</f>
        <v>0.38543102564604892</v>
      </c>
      <c r="F9" s="1">
        <f>E9*D4</f>
        <v>0.17033861383685683</v>
      </c>
      <c r="G9" s="1"/>
      <c r="H9" s="1"/>
      <c r="I9" s="1"/>
      <c r="J9" s="1"/>
      <c r="K9" s="1"/>
      <c r="L9" s="1"/>
      <c r="M9" s="262"/>
      <c r="N9" s="97">
        <f>B9+F9</f>
        <v>0.99999999999999956</v>
      </c>
      <c r="R9" s="190">
        <f>B9-F9</f>
        <v>0.659322772326286</v>
      </c>
      <c r="S9" s="93">
        <f>SUM(C9:E9)*$B$4*$F$4</f>
        <v>7.3368481918554416</v>
      </c>
      <c r="T9" s="9">
        <f>SUM(C9:E9)*$D$4*$H$4</f>
        <v>-5.8547516383717344</v>
      </c>
      <c r="U9" s="266">
        <f t="shared" ref="U9:U16" si="0">S9+T9</f>
        <v>1.4820965534837072</v>
      </c>
      <c r="V9" s="93">
        <f>(U9+W9*F9)/B9</f>
        <v>2.4023203058920672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0.88113751146684716</v>
      </c>
      <c r="C10" s="97">
        <f>1/(1-D4*B4*C9)</f>
        <v>1.5789387078942987</v>
      </c>
      <c r="D10" s="93">
        <f>C10*D4*C9</f>
        <v>1.0374189312073254</v>
      </c>
      <c r="E10" s="1">
        <f>D10*D4*C8</f>
        <v>0.60857196561594673</v>
      </c>
      <c r="F10" s="1">
        <f>E10*D4</f>
        <v>0.26895423083607262</v>
      </c>
      <c r="G10" s="1">
        <f>F10*D4</f>
        <v>0.11886248853315232</v>
      </c>
      <c r="H10" s="1"/>
      <c r="I10" s="1"/>
      <c r="J10" s="1"/>
      <c r="K10" s="1"/>
      <c r="L10" s="1"/>
      <c r="M10" s="262"/>
      <c r="N10" s="97">
        <f>B10+G10</f>
        <v>0.99999999999999944</v>
      </c>
      <c r="R10" s="190">
        <f>B10-G10</f>
        <v>0.76227502293369487</v>
      </c>
      <c r="S10" s="93">
        <f>SUM(C10:F10)*$B$4*$F$4</f>
        <v>9.3409999651219806</v>
      </c>
      <c r="T10" s="9">
        <f>SUM(C10:F10)*$D$4*$H$4</f>
        <v>-7.4540502160775493</v>
      </c>
      <c r="U10" s="266">
        <f t="shared" si="0"/>
        <v>1.8869497490444314</v>
      </c>
      <c r="V10" s="93">
        <f>(U10+W10*G10)/B10</f>
        <v>2.6810794824116688</v>
      </c>
      <c r="W10" s="9">
        <f t="shared" si="1"/>
        <v>4</v>
      </c>
    </row>
    <row r="11" spans="1:23" x14ac:dyDescent="0.2">
      <c r="A11" s="99">
        <v>5</v>
      </c>
      <c r="B11" s="97">
        <f>C11*B4</f>
        <v>0.91396731031760503</v>
      </c>
      <c r="C11" s="97">
        <f>1/(1-D4*B4*C10)</f>
        <v>1.6377674826352044</v>
      </c>
      <c r="D11" s="93">
        <f>C11*D4*C10</f>
        <v>1.1428361088528209</v>
      </c>
      <c r="E11" s="1">
        <f>D11*D4*C9</f>
        <v>0.75088400117340182</v>
      </c>
      <c r="F11" s="1">
        <f>E11*D4*C8</f>
        <v>0.44048449358048231</v>
      </c>
      <c r="G11" s="1">
        <f>F11*D4</f>
        <v>0.19466911862469671</v>
      </c>
      <c r="H11" s="1">
        <f>G11*D4</f>
        <v>8.6032689682394303E-2</v>
      </c>
      <c r="I11" s="1"/>
      <c r="J11" s="1"/>
      <c r="K11" s="1"/>
      <c r="L11" s="1"/>
      <c r="M11" s="262"/>
      <c r="N11" s="97">
        <f>B11+H11</f>
        <v>0.99999999999999933</v>
      </c>
      <c r="R11" s="190">
        <f>B11-H11</f>
        <v>0.82793462063521073</v>
      </c>
      <c r="S11" s="93">
        <f>SUM(C11:G11)*$B$4*$F$4</f>
        <v>11.139636342021483</v>
      </c>
      <c r="T11" s="9">
        <f>SUM(C11:G11)*$D$4*$H$4</f>
        <v>-8.889348998213622</v>
      </c>
      <c r="U11" s="266">
        <f t="shared" si="0"/>
        <v>2.2502873438078606</v>
      </c>
      <c r="V11" s="93">
        <f>(U11+W11*H11)/B11</f>
        <v>2.9327644019219585</v>
      </c>
      <c r="W11" s="9">
        <f t="shared" si="1"/>
        <v>5</v>
      </c>
    </row>
    <row r="12" spans="1:23" x14ac:dyDescent="0.2">
      <c r="A12" s="99">
        <v>6</v>
      </c>
      <c r="B12" s="97">
        <f>C12*B4</f>
        <v>0.93621382360502969</v>
      </c>
      <c r="C12" s="97">
        <f>1/(1-D4*B4*C11)</f>
        <v>1.6776317268514391</v>
      </c>
      <c r="D12" s="93">
        <f>C12*D4*C11</f>
        <v>1.2142701329805432</v>
      </c>
      <c r="E12" s="1">
        <f>D12*D4*C10</f>
        <v>0.84731915157994353</v>
      </c>
      <c r="F12" s="1">
        <f>E12*D4*C9</f>
        <v>0.55671884173125785</v>
      </c>
      <c r="G12" s="1">
        <f>F12*D4*C8</f>
        <v>0.32658308964299765</v>
      </c>
      <c r="H12" s="1">
        <f>G12*D4</f>
        <v>0.14433116975754917</v>
      </c>
      <c r="I12" s="1">
        <f>H12*D4</f>
        <v>6.3786176394969779E-2</v>
      </c>
      <c r="J12" s="1"/>
      <c r="K12" s="1"/>
      <c r="L12" s="1"/>
      <c r="M12" s="262"/>
      <c r="N12" s="97">
        <f>B12+I12</f>
        <v>0.99999999999999944</v>
      </c>
      <c r="R12" s="190">
        <f>B12-I12</f>
        <v>0.87242764721005994</v>
      </c>
      <c r="S12" s="93">
        <f>SUM(C12:H12)*$B$4*$F$4</f>
        <v>12.744322992626554</v>
      </c>
      <c r="T12" s="9">
        <f>SUM(C12:H12)*$D$4*$H$4</f>
        <v>-10.169877305604885</v>
      </c>
      <c r="U12" s="266">
        <f t="shared" si="0"/>
        <v>2.5744456870216688</v>
      </c>
      <c r="V12" s="93">
        <f>(U12+W12*I12)/B12</f>
        <v>3.1586403349658898</v>
      </c>
      <c r="W12" s="9">
        <f t="shared" si="1"/>
        <v>6</v>
      </c>
    </row>
    <row r="13" spans="1:23" x14ac:dyDescent="0.2">
      <c r="A13" s="99">
        <v>7</v>
      </c>
      <c r="B13" s="97">
        <f>C13*B4</f>
        <v>0.9519146691620991</v>
      </c>
      <c r="C13" s="97">
        <f>1/(1-D4*B4*C12)</f>
        <v>1.7057665780796629</v>
      </c>
      <c r="D13" s="93">
        <f>C13*D4*C12</f>
        <v>1.2646858797476259</v>
      </c>
      <c r="E13" s="1">
        <f>D13*D4*C11</f>
        <v>0.91537985768896624</v>
      </c>
      <c r="F13" s="1">
        <f>E13*D4*C10</f>
        <v>0.63875315988095083</v>
      </c>
      <c r="G13" s="1">
        <f>F13*D4*C9</f>
        <v>0.41968356156948372</v>
      </c>
      <c r="H13" s="1">
        <f>G13*D4*C8</f>
        <v>0.24619528554756959</v>
      </c>
      <c r="I13" s="1">
        <f>H13*D4</f>
        <v>0.10880432783803337</v>
      </c>
      <c r="J13" s="1">
        <f>I13*D4</f>
        <v>4.8085330837900404E-2</v>
      </c>
      <c r="K13" s="1"/>
      <c r="L13" s="1"/>
      <c r="M13" s="262"/>
      <c r="N13" s="97">
        <f>B13+J13</f>
        <v>0.99999999999999956</v>
      </c>
      <c r="R13" s="190">
        <f>B13-J13</f>
        <v>0.90382933832419865</v>
      </c>
      <c r="S13" s="93">
        <f>SUM(C13:I13)*$B$4*$F$4</f>
        <v>14.167748731196408</v>
      </c>
      <c r="T13" s="9">
        <f>SUM(C13:I13)*$D$4*$H$4</f>
        <v>-11.305760719990317</v>
      </c>
      <c r="U13" s="266">
        <f t="shared" si="0"/>
        <v>2.8619880112060905</v>
      </c>
      <c r="V13" s="93">
        <f>(U13+W13*J13)/B13</f>
        <v>3.3601597188189927</v>
      </c>
      <c r="W13" s="9">
        <f t="shared" si="1"/>
        <v>7</v>
      </c>
    </row>
    <row r="14" spans="1:23" x14ac:dyDescent="0.2">
      <c r="A14" s="99">
        <v>8</v>
      </c>
      <c r="B14" s="97">
        <f>C14*B4</f>
        <v>0.96331659262419067</v>
      </c>
      <c r="C14" s="97">
        <f>1/(1-D4*B4*C13)</f>
        <v>1.7261980522417091</v>
      </c>
      <c r="D14" s="93">
        <f>C14*D4*C13</f>
        <v>1.3012976968521925</v>
      </c>
      <c r="E14" s="1">
        <f>D14*D4*C12</f>
        <v>0.96480540989953412</v>
      </c>
      <c r="F14" s="1">
        <f>E14*D4*C11</f>
        <v>0.69832632193823485</v>
      </c>
      <c r="G14" s="1">
        <f>F14*D4*C10</f>
        <v>0.48729294294528186</v>
      </c>
      <c r="H14" s="1">
        <f>G14*D4*C9</f>
        <v>0.32016880802760633</v>
      </c>
      <c r="I14" s="1">
        <f>H14*D4*C8</f>
        <v>0.18781781878948159</v>
      </c>
      <c r="J14" s="1">
        <f>I14*D4</f>
        <v>8.3004804433781873E-2</v>
      </c>
      <c r="K14" s="1">
        <f>J14*D4</f>
        <v>3.6683407375808726E-2</v>
      </c>
      <c r="L14" s="1"/>
      <c r="M14" s="262"/>
      <c r="N14" s="97">
        <f>B14+K14</f>
        <v>0.99999999999999944</v>
      </c>
      <c r="R14" s="190">
        <f>B14-K14</f>
        <v>0.9266331852483819</v>
      </c>
      <c r="S14" s="93">
        <f>SUM(C14:J14)*$B$4*$F$4</f>
        <v>15.423353486794369</v>
      </c>
      <c r="T14" s="9">
        <f>SUM(C14:J14)*$D$4*$H$4</f>
        <v>-12.307724207274276</v>
      </c>
      <c r="U14" s="266">
        <f t="shared" si="0"/>
        <v>3.1156292795200926</v>
      </c>
      <c r="V14" s="93">
        <f>(U14+W14*K14)/B14</f>
        <v>3.5389160371874961</v>
      </c>
      <c r="W14" s="9">
        <f t="shared" si="1"/>
        <v>8</v>
      </c>
    </row>
    <row r="15" spans="1:23" x14ac:dyDescent="0.2">
      <c r="A15" s="99">
        <v>9</v>
      </c>
      <c r="B15" s="97">
        <f>C15*B4</f>
        <v>0.97176934951824978</v>
      </c>
      <c r="C15" s="97">
        <f>1/(1-D4*B4*C14)</f>
        <v>1.7413448197720487</v>
      </c>
      <c r="D15" s="93">
        <f>C15*D4*C14</f>
        <v>1.3284396778051049</v>
      </c>
      <c r="E15" s="1">
        <f>D15*D4*C13</f>
        <v>1.0014467869952115</v>
      </c>
      <c r="F15" s="1">
        <f>E15*D4*C12</f>
        <v>0.74249057702684318</v>
      </c>
      <c r="G15" s="1">
        <f>F15*D4*C11</f>
        <v>0.53741480759622273</v>
      </c>
      <c r="H15" s="1">
        <f>G15*D4*C10</f>
        <v>0.37500869571847278</v>
      </c>
      <c r="I15" s="1">
        <f>H15*D4*C9</f>
        <v>0.24639406099844335</v>
      </c>
      <c r="J15" s="1">
        <f>I15*D4*C8</f>
        <v>0.14453998621695804</v>
      </c>
      <c r="K15" s="1">
        <f>J15*D4</f>
        <v>6.387846140545228E-2</v>
      </c>
      <c r="L15" s="1">
        <f>K15*D4</f>
        <v>2.8230650481749667E-2</v>
      </c>
      <c r="M15" s="262"/>
      <c r="N15" s="97">
        <f>B15+L15</f>
        <v>0.99999999999999944</v>
      </c>
      <c r="R15" s="190">
        <f>B15-L15</f>
        <v>0.94353869903650012</v>
      </c>
      <c r="S15" s="93">
        <f>SUM(C15:K15)*$B$4*$F$4</f>
        <v>16.5249704908863</v>
      </c>
      <c r="T15" s="9">
        <f>SUM(C15:K15)*$D$4*$H$4</f>
        <v>-13.186806585825483</v>
      </c>
      <c r="U15" s="266">
        <f t="shared" si="0"/>
        <v>3.3381639050608172</v>
      </c>
      <c r="V15" s="93">
        <f>(U15+W15*L15)/B15</f>
        <v>3.6965971001013775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0.97813213265141685</v>
      </c>
      <c r="C16" s="145">
        <f>1/(1-D4*B4*C15)</f>
        <v>1.7527464959555652</v>
      </c>
      <c r="D16" s="94">
        <f>C16*D4*C15</f>
        <v>1.3488707088607022</v>
      </c>
      <c r="E16" s="111">
        <f>D16*D4*C14</f>
        <v>1.029028455210969</v>
      </c>
      <c r="F16" s="111">
        <f>E16*D4*C13</f>
        <v>0.77573506529128067</v>
      </c>
      <c r="G16" s="111">
        <f>F16*D4*C12</f>
        <v>0.5751438655829777</v>
      </c>
      <c r="H16" s="111">
        <f>G16*D4*C11</f>
        <v>0.41628922901636939</v>
      </c>
      <c r="I16" s="111">
        <f>H16*D4*C10</f>
        <v>0.29048712206748384</v>
      </c>
      <c r="J16" s="111">
        <f>I16*D4*C9</f>
        <v>0.19086037868223263</v>
      </c>
      <c r="K16" s="111">
        <f>J16*D4*C8</f>
        <v>0.11196274939543928</v>
      </c>
      <c r="L16" s="111">
        <f>K16*D4</f>
        <v>4.9481173710433014E-2</v>
      </c>
      <c r="M16" s="264">
        <f>L16*D4</f>
        <v>2.1867867348582461E-2</v>
      </c>
      <c r="N16" s="145">
        <f>B16+M16</f>
        <v>0.99999999999999933</v>
      </c>
      <c r="R16" s="191">
        <f>B16-M16</f>
        <v>0.95626426530283437</v>
      </c>
      <c r="S16" s="94">
        <f>SUM(C16:L16)*$B$4*$F$4</f>
        <v>17.486498186418146</v>
      </c>
      <c r="T16" s="10">
        <f>SUM(C16:L16)*$D$4*$H$4</f>
        <v>-13.954098712300736</v>
      </c>
      <c r="U16" s="267">
        <f t="shared" si="0"/>
        <v>3.5323994741174101</v>
      </c>
      <c r="V16" s="94">
        <f>(U16+W16*M16)/B16</f>
        <v>3.8349401092010034</v>
      </c>
      <c r="W16" s="10">
        <f t="shared" si="1"/>
        <v>10</v>
      </c>
    </row>
    <row r="18" spans="1:21" x14ac:dyDescent="0.2">
      <c r="A18" s="356" t="s">
        <v>200</v>
      </c>
      <c r="B18" s="356"/>
      <c r="C18" s="356"/>
      <c r="D18" s="356"/>
      <c r="E18" s="356"/>
      <c r="F18" s="356"/>
      <c r="O18" s="356" t="s">
        <v>201</v>
      </c>
      <c r="P18" s="356"/>
      <c r="Q18" s="356"/>
      <c r="R18" s="356"/>
      <c r="S18" s="356"/>
      <c r="T18" s="356"/>
    </row>
    <row r="19" spans="1:21" ht="17" thickBot="1" x14ac:dyDescent="0.25"/>
    <row r="20" spans="1:21" ht="17" thickBot="1" x14ac:dyDescent="0.25">
      <c r="A20" s="29" t="s">
        <v>135</v>
      </c>
      <c r="B20" s="19" t="s">
        <v>140</v>
      </c>
      <c r="C20" s="19" t="s">
        <v>139</v>
      </c>
      <c r="D20" s="19" t="s">
        <v>138</v>
      </c>
      <c r="E20" s="166" t="s">
        <v>151</v>
      </c>
      <c r="F20" s="168" t="s">
        <v>152</v>
      </c>
      <c r="G20" s="166" t="s">
        <v>47</v>
      </c>
      <c r="O20" s="29" t="s">
        <v>135</v>
      </c>
      <c r="P20" s="118" t="s">
        <v>140</v>
      </c>
      <c r="Q20" s="118" t="s">
        <v>139</v>
      </c>
      <c r="R20" s="118" t="s">
        <v>138</v>
      </c>
      <c r="S20" s="166" t="s">
        <v>151</v>
      </c>
      <c r="T20" s="168" t="s">
        <v>152</v>
      </c>
      <c r="U20" s="293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6</v>
      </c>
      <c r="D21" s="57">
        <f>SUM($C$21:C21)</f>
        <v>6</v>
      </c>
      <c r="E21" s="57">
        <f t="shared" ref="E21:E30" si="3">D21/R7</f>
        <v>51.673517302505381</v>
      </c>
      <c r="F21" s="8">
        <f t="shared" ref="F21:F30" si="4">U7/E21</f>
        <v>1.0451625726251369E-2</v>
      </c>
      <c r="G21" s="286">
        <f>E21*U7</f>
        <v>27.907433416645027</v>
      </c>
      <c r="O21" s="101">
        <v>1</v>
      </c>
      <c r="P21" s="109">
        <v>1</v>
      </c>
      <c r="Q21" s="110">
        <f>P21*6+15</f>
        <v>21</v>
      </c>
      <c r="R21" s="57">
        <f>SUM($Q$21)</f>
        <v>21</v>
      </c>
      <c r="S21" s="281">
        <f>R21/R7</f>
        <v>180.85731055876883</v>
      </c>
      <c r="T21" s="8">
        <f>U7/S21</f>
        <v>2.9861787789289629E-3</v>
      </c>
      <c r="U21" s="286">
        <f>S21*U7</f>
        <v>97.676016958257591</v>
      </c>
    </row>
    <row r="22" spans="1:21" x14ac:dyDescent="0.2">
      <c r="A22" s="97">
        <v>2</v>
      </c>
      <c r="B22" s="93">
        <f>C21</f>
        <v>6</v>
      </c>
      <c r="C22" s="1">
        <f t="shared" si="2"/>
        <v>36</v>
      </c>
      <c r="D22" s="9">
        <f>SUM($C$21:C22)</f>
        <v>42</v>
      </c>
      <c r="E22" s="9">
        <f t="shared" si="3"/>
        <v>87.228592328111304</v>
      </c>
      <c r="F22" s="9">
        <f t="shared" si="4"/>
        <v>1.1850385881120052E-2</v>
      </c>
      <c r="G22" s="287">
        <f t="shared" ref="G22:G30" si="5">E22*U8</f>
        <v>90.167539839402821</v>
      </c>
      <c r="O22" s="99">
        <v>2</v>
      </c>
      <c r="P22" s="93">
        <f>Q21</f>
        <v>21</v>
      </c>
      <c r="Q22" s="1">
        <f t="shared" ref="Q22:Q30" si="6">P22*6+15</f>
        <v>141</v>
      </c>
      <c r="R22" s="9">
        <f>SUM($Q$21:Q22)</f>
        <v>162</v>
      </c>
      <c r="S22" s="282">
        <f t="shared" ref="S22:S30" si="7">R22/R8</f>
        <v>336.45314183700071</v>
      </c>
      <c r="T22" s="9">
        <f>U8/S22</f>
        <v>3.0723222654755692E-3</v>
      </c>
      <c r="U22" s="287">
        <f t="shared" ref="U22:U30" si="8">S22*U8</f>
        <v>347.78908223769656</v>
      </c>
    </row>
    <row r="23" spans="1:21" x14ac:dyDescent="0.2">
      <c r="A23" s="97">
        <v>3</v>
      </c>
      <c r="B23" s="93">
        <f t="shared" ref="B23:B30" si="9">C22</f>
        <v>36</v>
      </c>
      <c r="C23" s="1">
        <f t="shared" si="2"/>
        <v>216</v>
      </c>
      <c r="D23" s="9">
        <f>SUM($C$21:C23)</f>
        <v>258</v>
      </c>
      <c r="E23" s="9">
        <f t="shared" si="3"/>
        <v>391.31061572422198</v>
      </c>
      <c r="F23" s="9">
        <f t="shared" si="4"/>
        <v>3.7875194127833778E-3</v>
      </c>
      <c r="G23" s="287">
        <f t="shared" si="5"/>
        <v>579.96011490645674</v>
      </c>
      <c r="O23" s="99">
        <v>3</v>
      </c>
      <c r="P23" s="93">
        <f t="shared" ref="P23:P30" si="10">Q22</f>
        <v>141</v>
      </c>
      <c r="Q23" s="1">
        <f t="shared" si="6"/>
        <v>861</v>
      </c>
      <c r="R23" s="9">
        <f>SUM($Q$21:Q23)</f>
        <v>1023</v>
      </c>
      <c r="S23" s="282">
        <f t="shared" si="7"/>
        <v>1551.5920925809266</v>
      </c>
      <c r="T23" s="9">
        <f t="shared" ref="T23:T30" si="11">U9/S23</f>
        <v>9.5521017448495747E-4</v>
      </c>
      <c r="U23" s="287">
        <f t="shared" si="8"/>
        <v>2299.6092928267644</v>
      </c>
    </row>
    <row r="24" spans="1:21" x14ac:dyDescent="0.2">
      <c r="A24" s="97">
        <v>4</v>
      </c>
      <c r="B24" s="93">
        <f t="shared" si="9"/>
        <v>216</v>
      </c>
      <c r="C24" s="1">
        <f t="shared" si="2"/>
        <v>1296</v>
      </c>
      <c r="D24" s="9">
        <f>SUM($C$21:C24)</f>
        <v>1554</v>
      </c>
      <c r="E24" s="9">
        <f t="shared" si="3"/>
        <v>2038.6342897859477</v>
      </c>
      <c r="F24" s="9">
        <f t="shared" si="4"/>
        <v>9.2559502138196508E-4</v>
      </c>
      <c r="G24" s="287">
        <f t="shared" si="5"/>
        <v>3846.8004615049663</v>
      </c>
      <c r="O24" s="99">
        <v>4</v>
      </c>
      <c r="P24" s="93">
        <f t="shared" si="10"/>
        <v>861</v>
      </c>
      <c r="Q24" s="1">
        <f t="shared" si="6"/>
        <v>5181</v>
      </c>
      <c r="R24" s="9">
        <f>SUM($Q$21:Q24)</f>
        <v>6204</v>
      </c>
      <c r="S24" s="282">
        <f t="shared" si="7"/>
        <v>8138.7948094157136</v>
      </c>
      <c r="T24" s="9">
        <f t="shared" si="11"/>
        <v>2.3184633514306476E-4</v>
      </c>
      <c r="U24" s="287">
        <f t="shared" si="8"/>
        <v>15357.496823151101</v>
      </c>
    </row>
    <row r="25" spans="1:21" x14ac:dyDescent="0.2">
      <c r="A25" s="97">
        <v>5</v>
      </c>
      <c r="B25" s="93">
        <f t="shared" si="9"/>
        <v>1296</v>
      </c>
      <c r="C25" s="1">
        <f t="shared" si="2"/>
        <v>7776</v>
      </c>
      <c r="D25" s="9">
        <f>SUM($C$21:C25)</f>
        <v>9330</v>
      </c>
      <c r="E25" s="9">
        <f t="shared" si="3"/>
        <v>11269.00574932089</v>
      </c>
      <c r="F25" s="9">
        <f t="shared" si="4"/>
        <v>1.9968818845828265E-4</v>
      </c>
      <c r="G25" s="287">
        <f t="shared" si="5"/>
        <v>25358.501014994814</v>
      </c>
      <c r="O25" s="99">
        <v>5</v>
      </c>
      <c r="P25" s="93">
        <f t="shared" si="10"/>
        <v>5181</v>
      </c>
      <c r="Q25" s="1">
        <f t="shared" si="6"/>
        <v>31101</v>
      </c>
      <c r="R25" s="9">
        <f>SUM($Q$21:Q25)</f>
        <v>37305</v>
      </c>
      <c r="S25" s="282">
        <f t="shared" si="7"/>
        <v>45057.905624696228</v>
      </c>
      <c r="T25" s="9">
        <f t="shared" si="11"/>
        <v>4.9942120314053802E-5</v>
      </c>
      <c r="U25" s="287">
        <f t="shared" si="8"/>
        <v>101393.23476574293</v>
      </c>
    </row>
    <row r="26" spans="1:21" x14ac:dyDescent="0.2">
      <c r="A26" s="97">
        <v>6</v>
      </c>
      <c r="B26" s="93">
        <f t="shared" si="9"/>
        <v>7776</v>
      </c>
      <c r="C26" s="1">
        <f t="shared" si="2"/>
        <v>46656</v>
      </c>
      <c r="D26" s="9">
        <f>SUM($C$21:C26)</f>
        <v>55986</v>
      </c>
      <c r="E26" s="9">
        <f t="shared" si="3"/>
        <v>64172.656814622809</v>
      </c>
      <c r="F26" s="9">
        <f t="shared" si="4"/>
        <v>4.011748640014291E-5</v>
      </c>
      <c r="G26" s="287">
        <f t="shared" si="5"/>
        <v>165209.01956112738</v>
      </c>
      <c r="O26" s="99">
        <v>6</v>
      </c>
      <c r="P26" s="93">
        <f t="shared" si="10"/>
        <v>31101</v>
      </c>
      <c r="Q26" s="1">
        <f t="shared" si="6"/>
        <v>186621</v>
      </c>
      <c r="R26" s="9">
        <f>SUM($Q$21:Q26)</f>
        <v>223926</v>
      </c>
      <c r="S26" s="282">
        <f t="shared" si="7"/>
        <v>256669.99517506571</v>
      </c>
      <c r="T26" s="9">
        <f t="shared" si="11"/>
        <v>1.003017779801542E-5</v>
      </c>
      <c r="U26" s="287">
        <f t="shared" si="8"/>
        <v>660782.96206632047</v>
      </c>
    </row>
    <row r="27" spans="1:21" x14ac:dyDescent="0.2">
      <c r="A27" s="97">
        <v>7</v>
      </c>
      <c r="B27" s="93">
        <f t="shared" si="9"/>
        <v>46656</v>
      </c>
      <c r="C27" s="1">
        <f t="shared" si="2"/>
        <v>279936</v>
      </c>
      <c r="D27" s="9">
        <f>SUM($C$21:C27)</f>
        <v>335922</v>
      </c>
      <c r="E27" s="9">
        <f t="shared" si="3"/>
        <v>371665.29759128776</v>
      </c>
      <c r="F27" s="9">
        <f t="shared" si="4"/>
        <v>7.7004445390899963E-6</v>
      </c>
      <c r="G27" s="287">
        <f t="shared" si="5"/>
        <v>1063701.6258876093</v>
      </c>
      <c r="O27" s="99">
        <v>7</v>
      </c>
      <c r="P27" s="93">
        <f t="shared" si="10"/>
        <v>186621</v>
      </c>
      <c r="Q27" s="1">
        <f t="shared" si="6"/>
        <v>1119741</v>
      </c>
      <c r="R27" s="9">
        <f>SUM($Q$21:Q27)</f>
        <v>1343667</v>
      </c>
      <c r="S27" s="282">
        <f t="shared" si="7"/>
        <v>1486637.9558903342</v>
      </c>
      <c r="T27" s="9">
        <f t="shared" si="11"/>
        <v>1.9251412220886499E-6</v>
      </c>
      <c r="U27" s="287">
        <f t="shared" si="8"/>
        <v>4254740.006762065</v>
      </c>
    </row>
    <row r="28" spans="1:21" x14ac:dyDescent="0.2">
      <c r="A28" s="97">
        <v>8</v>
      </c>
      <c r="B28" s="93">
        <f t="shared" si="9"/>
        <v>279936</v>
      </c>
      <c r="C28" s="1">
        <f t="shared" si="2"/>
        <v>1679616</v>
      </c>
      <c r="D28" s="9">
        <f>SUM($C$21:C28)</f>
        <v>2015538</v>
      </c>
      <c r="E28" s="9">
        <f t="shared" si="3"/>
        <v>2175119.5964989532</v>
      </c>
      <c r="F28" s="9">
        <f t="shared" si="4"/>
        <v>1.4323944690374602E-6</v>
      </c>
      <c r="G28" s="287">
        <f t="shared" si="5"/>
        <v>6776866.301310068</v>
      </c>
      <c r="O28" s="99">
        <v>8</v>
      </c>
      <c r="P28" s="93">
        <f t="shared" si="10"/>
        <v>1119741</v>
      </c>
      <c r="Q28" s="1">
        <f t="shared" si="6"/>
        <v>6718461</v>
      </c>
      <c r="R28" s="9">
        <f>SUM($Q$21:Q28)</f>
        <v>8062128</v>
      </c>
      <c r="S28" s="282">
        <f t="shared" si="7"/>
        <v>8700452.4857794344</v>
      </c>
      <c r="T28" s="9">
        <f t="shared" si="11"/>
        <v>3.5809968327652759E-7</v>
      </c>
      <c r="U28" s="287">
        <f t="shared" si="8"/>
        <v>27107384.509767778</v>
      </c>
    </row>
    <row r="29" spans="1:21" x14ac:dyDescent="0.2">
      <c r="A29" s="97">
        <v>9</v>
      </c>
      <c r="B29" s="93">
        <f t="shared" si="9"/>
        <v>1679616</v>
      </c>
      <c r="C29" s="1">
        <f t="shared" si="2"/>
        <v>10077696</v>
      </c>
      <c r="D29" s="9">
        <f>SUM($C$21:C29)</f>
        <v>12093234</v>
      </c>
      <c r="E29" s="9">
        <f t="shared" si="3"/>
        <v>12816892.42036291</v>
      </c>
      <c r="F29" s="9">
        <f t="shared" si="4"/>
        <v>2.6045033348000099E-7</v>
      </c>
      <c r="G29" s="287">
        <f t="shared" si="5"/>
        <v>42784887.652703039</v>
      </c>
      <c r="O29" s="99">
        <v>9</v>
      </c>
      <c r="P29" s="93">
        <f t="shared" si="10"/>
        <v>6718461</v>
      </c>
      <c r="Q29" s="1">
        <f t="shared" si="6"/>
        <v>40310781</v>
      </c>
      <c r="R29" s="9">
        <f>SUM($Q$21:Q29)</f>
        <v>48372909</v>
      </c>
      <c r="S29" s="282">
        <f t="shared" si="7"/>
        <v>51267541.065773211</v>
      </c>
      <c r="T29" s="9">
        <f t="shared" si="11"/>
        <v>6.5112619713478182E-8</v>
      </c>
      <c r="U29" s="287">
        <f t="shared" si="8"/>
        <v>171139455.08698732</v>
      </c>
    </row>
    <row r="30" spans="1:21" ht="17" thickBot="1" x14ac:dyDescent="0.25">
      <c r="A30" s="145">
        <v>10</v>
      </c>
      <c r="B30" s="94">
        <f t="shared" si="9"/>
        <v>10077696</v>
      </c>
      <c r="C30" s="111">
        <f t="shared" si="2"/>
        <v>60466176</v>
      </c>
      <c r="D30" s="10">
        <f>SUM($C$21:C30)</f>
        <v>72559410</v>
      </c>
      <c r="E30" s="10">
        <f t="shared" si="3"/>
        <v>75877989.623528942</v>
      </c>
      <c r="F30" s="10">
        <f t="shared" si="4"/>
        <v>4.655367770869421E-8</v>
      </c>
      <c r="G30" s="288">
        <f t="shared" si="5"/>
        <v>268031370.64323995</v>
      </c>
      <c r="O30" s="100">
        <v>10</v>
      </c>
      <c r="P30" s="94">
        <f t="shared" si="10"/>
        <v>40310781</v>
      </c>
      <c r="Q30" s="111">
        <f t="shared" si="6"/>
        <v>241864701</v>
      </c>
      <c r="R30" s="10">
        <f>SUM($Q$21:Q30)</f>
        <v>290237610</v>
      </c>
      <c r="S30" s="283">
        <f t="shared" si="7"/>
        <v>303511927.12203479</v>
      </c>
      <c r="T30" s="10">
        <f t="shared" si="11"/>
        <v>1.1638420630162312E-8</v>
      </c>
      <c r="U30" s="288">
        <f t="shared" si="8"/>
        <v>1072125371.7542374</v>
      </c>
    </row>
    <row r="31" spans="1:21" ht="17" thickBot="1" x14ac:dyDescent="0.25"/>
    <row r="32" spans="1:21" ht="17" thickBot="1" x14ac:dyDescent="0.25">
      <c r="A32" s="117" t="s">
        <v>135</v>
      </c>
      <c r="B32" s="118" t="s">
        <v>140</v>
      </c>
      <c r="C32" s="118" t="s">
        <v>139</v>
      </c>
      <c r="D32" s="170" t="s">
        <v>138</v>
      </c>
      <c r="E32" s="166" t="s">
        <v>151</v>
      </c>
      <c r="F32" s="168" t="s">
        <v>152</v>
      </c>
      <c r="G32" s="290" t="s">
        <v>47</v>
      </c>
      <c r="O32" s="29" t="s">
        <v>135</v>
      </c>
      <c r="P32" s="118" t="s">
        <v>140</v>
      </c>
      <c r="Q32" s="118" t="s">
        <v>139</v>
      </c>
      <c r="R32" s="118" t="s">
        <v>138</v>
      </c>
      <c r="S32" s="166" t="s">
        <v>151</v>
      </c>
      <c r="T32" s="168" t="s">
        <v>152</v>
      </c>
      <c r="U32" s="294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6</v>
      </c>
      <c r="D33" s="57">
        <f>SUM($C$33:C33)</f>
        <v>6</v>
      </c>
      <c r="E33" s="9">
        <f t="shared" ref="E33:E42" si="13">D33/R7</f>
        <v>51.673517302505381</v>
      </c>
      <c r="F33" s="8">
        <f t="shared" ref="F33:F42" si="14">U7/E33</f>
        <v>1.0451625726251369E-2</v>
      </c>
      <c r="G33" s="289">
        <f>E33*U7</f>
        <v>27.907433416645027</v>
      </c>
      <c r="O33" s="101">
        <v>1</v>
      </c>
      <c r="P33" s="109">
        <v>1</v>
      </c>
      <c r="Q33" s="110">
        <f>P33*6+15</f>
        <v>21</v>
      </c>
      <c r="R33" s="57">
        <f>SUM($Q$21)</f>
        <v>21</v>
      </c>
      <c r="S33" s="281">
        <f>R33/R7</f>
        <v>180.85731055876883</v>
      </c>
      <c r="T33" s="8">
        <f>U7/S33</f>
        <v>2.9861787789289629E-3</v>
      </c>
      <c r="U33" s="289">
        <f>S33*U7</f>
        <v>97.676016958257591</v>
      </c>
    </row>
    <row r="34" spans="1:21" x14ac:dyDescent="0.2">
      <c r="A34" s="97">
        <v>2</v>
      </c>
      <c r="B34" s="93">
        <f t="shared" ref="B34:B42" si="15">B33*($O$2+1)</f>
        <v>7</v>
      </c>
      <c r="C34" s="1">
        <f t="shared" si="12"/>
        <v>42</v>
      </c>
      <c r="D34" s="9">
        <f>SUM($C$33:C34)</f>
        <v>48</v>
      </c>
      <c r="E34" s="9">
        <f t="shared" si="13"/>
        <v>99.689819803555764</v>
      </c>
      <c r="F34" s="9">
        <f t="shared" si="14"/>
        <v>1.0369087645980046E-2</v>
      </c>
      <c r="G34" s="287">
        <f t="shared" ref="G34:G42" si="16">E34*U8</f>
        <v>103.0486169593175</v>
      </c>
      <c r="O34" s="99">
        <v>2</v>
      </c>
      <c r="P34" s="93">
        <f>Q33+1</f>
        <v>22</v>
      </c>
      <c r="Q34" s="1">
        <f t="shared" ref="Q34:Q42" si="17">P34*6+15</f>
        <v>147</v>
      </c>
      <c r="R34" s="9">
        <f>SUM($Q$33:Q34)</f>
        <v>168</v>
      </c>
      <c r="S34" s="282">
        <f>R34/R8</f>
        <v>348.91436931244522</v>
      </c>
      <c r="T34" s="9">
        <f t="shared" ref="T34:T42" si="18">U8/S34</f>
        <v>2.9625964702800129E-3</v>
      </c>
      <c r="U34" s="287">
        <f t="shared" ref="U34:U42" si="19">S34*U8</f>
        <v>360.67015935761128</v>
      </c>
    </row>
    <row r="35" spans="1:21" x14ac:dyDescent="0.2">
      <c r="A35" s="97">
        <v>3</v>
      </c>
      <c r="B35" s="93">
        <f t="shared" si="15"/>
        <v>49</v>
      </c>
      <c r="C35" s="1">
        <f t="shared" si="12"/>
        <v>294</v>
      </c>
      <c r="D35" s="9">
        <f>SUM($C$33:C35)</f>
        <v>342</v>
      </c>
      <c r="E35" s="9">
        <f t="shared" si="13"/>
        <v>518.71407200652686</v>
      </c>
      <c r="F35" s="9">
        <f t="shared" si="14"/>
        <v>2.8572514868365827E-3</v>
      </c>
      <c r="G35" s="287">
        <f t="shared" si="16"/>
        <v>768.78433836437296</v>
      </c>
      <c r="O35" s="99">
        <v>3</v>
      </c>
      <c r="P35" s="93">
        <f t="shared" ref="P35:P42" si="20">Q34+1</f>
        <v>148</v>
      </c>
      <c r="Q35" s="1">
        <f t="shared" si="17"/>
        <v>903</v>
      </c>
      <c r="R35" s="9">
        <f>SUM($Q$33:Q35)</f>
        <v>1071</v>
      </c>
      <c r="S35" s="282">
        <f t="shared" ref="S35:S42" si="21">R35/R9</f>
        <v>1624.3940675993865</v>
      </c>
      <c r="T35" s="9">
        <f t="shared" si="18"/>
        <v>9.123996344520182E-4</v>
      </c>
      <c r="U35" s="287">
        <f t="shared" si="19"/>
        <v>2407.5088490884309</v>
      </c>
    </row>
    <row r="36" spans="1:21" x14ac:dyDescent="0.2">
      <c r="A36" s="97">
        <v>4</v>
      </c>
      <c r="B36" s="93">
        <f t="shared" si="15"/>
        <v>343</v>
      </c>
      <c r="C36" s="1">
        <f t="shared" si="12"/>
        <v>2058</v>
      </c>
      <c r="D36" s="9">
        <f>SUM($C$33:C36)</f>
        <v>2400</v>
      </c>
      <c r="E36" s="9">
        <f t="shared" si="13"/>
        <v>3148.469945615363</v>
      </c>
      <c r="F36" s="9">
        <f t="shared" si="14"/>
        <v>5.9932277634482242E-4</v>
      </c>
      <c r="G36" s="287">
        <f t="shared" si="16"/>
        <v>5941.0045737528435</v>
      </c>
      <c r="O36" s="99">
        <v>4</v>
      </c>
      <c r="P36" s="93">
        <f t="shared" si="20"/>
        <v>904</v>
      </c>
      <c r="Q36" s="1">
        <f t="shared" si="17"/>
        <v>5439</v>
      </c>
      <c r="R36" s="9">
        <f>SUM($Q$33:Q36)</f>
        <v>6510</v>
      </c>
      <c r="S36" s="282">
        <f t="shared" si="21"/>
        <v>8540.2247274816727</v>
      </c>
      <c r="T36" s="9">
        <f t="shared" si="18"/>
        <v>2.2094848897504971E-4</v>
      </c>
      <c r="U36" s="287">
        <f t="shared" si="19"/>
        <v>16114.974906304589</v>
      </c>
    </row>
    <row r="37" spans="1:21" x14ac:dyDescent="0.2">
      <c r="A37" s="97">
        <v>5</v>
      </c>
      <c r="B37" s="93">
        <f t="shared" si="15"/>
        <v>2401</v>
      </c>
      <c r="C37" s="1">
        <f t="shared" si="12"/>
        <v>14406</v>
      </c>
      <c r="D37" s="9">
        <f>SUM($C$33:C37)</f>
        <v>16806</v>
      </c>
      <c r="E37" s="9">
        <f t="shared" si="13"/>
        <v>20298.704246847468</v>
      </c>
      <c r="F37" s="9">
        <f t="shared" si="14"/>
        <v>1.1085866942257391E-4</v>
      </c>
      <c r="G37" s="287">
        <f t="shared" si="16"/>
        <v>45677.917262379728</v>
      </c>
      <c r="O37" s="99">
        <v>5</v>
      </c>
      <c r="P37" s="93">
        <f t="shared" si="20"/>
        <v>5440</v>
      </c>
      <c r="Q37" s="1">
        <f t="shared" si="17"/>
        <v>32655</v>
      </c>
      <c r="R37" s="9">
        <f>SUM($Q$33:Q37)</f>
        <v>39165</v>
      </c>
      <c r="S37" s="282">
        <f t="shared" si="21"/>
        <v>47304.459825525475</v>
      </c>
      <c r="T37" s="9">
        <f t="shared" si="18"/>
        <v>4.7570299969763235E-5</v>
      </c>
      <c r="U37" s="287">
        <f t="shared" si="19"/>
        <v>106448.62725104736</v>
      </c>
    </row>
    <row r="38" spans="1:21" x14ac:dyDescent="0.2">
      <c r="A38" s="97">
        <v>6</v>
      </c>
      <c r="B38" s="93">
        <f t="shared" si="15"/>
        <v>16807</v>
      </c>
      <c r="C38" s="1">
        <f t="shared" si="12"/>
        <v>100842</v>
      </c>
      <c r="D38" s="9">
        <f>SUM($C$33:C38)</f>
        <v>117648</v>
      </c>
      <c r="E38" s="9">
        <f t="shared" si="13"/>
        <v>134851.29726943781</v>
      </c>
      <c r="F38" s="9">
        <f t="shared" si="14"/>
        <v>1.9090996817611864E-5</v>
      </c>
      <c r="G38" s="287">
        <f t="shared" si="16"/>
        <v>347167.34064458113</v>
      </c>
      <c r="O38" s="99">
        <v>6</v>
      </c>
      <c r="P38" s="93">
        <f t="shared" si="20"/>
        <v>32656</v>
      </c>
      <c r="Q38" s="1">
        <f t="shared" si="17"/>
        <v>195951</v>
      </c>
      <c r="R38" s="9">
        <f>SUM($Q$33:Q38)</f>
        <v>235116</v>
      </c>
      <c r="S38" s="282">
        <f t="shared" si="21"/>
        <v>269496.27370462002</v>
      </c>
      <c r="T38" s="9">
        <f t="shared" si="18"/>
        <v>9.5528062471222749E-6</v>
      </c>
      <c r="U38" s="287">
        <f t="shared" si="19"/>
        <v>693803.51950727019</v>
      </c>
    </row>
    <row r="39" spans="1:21" x14ac:dyDescent="0.2">
      <c r="A39" s="97">
        <v>7</v>
      </c>
      <c r="B39" s="93">
        <f t="shared" si="15"/>
        <v>117649</v>
      </c>
      <c r="C39" s="1">
        <f t="shared" si="12"/>
        <v>705894</v>
      </c>
      <c r="D39" s="9">
        <f>SUM($C$33:C39)</f>
        <v>823542</v>
      </c>
      <c r="E39" s="9">
        <f t="shared" si="13"/>
        <v>911169.80283793353</v>
      </c>
      <c r="F39" s="9">
        <f t="shared" si="14"/>
        <v>3.1410040173545368E-6</v>
      </c>
      <c r="G39" s="287">
        <f t="shared" si="16"/>
        <v>2607757.051895183</v>
      </c>
      <c r="O39" s="99">
        <v>7</v>
      </c>
      <c r="P39" s="93">
        <f t="shared" si="20"/>
        <v>195952</v>
      </c>
      <c r="Q39" s="1">
        <f t="shared" si="17"/>
        <v>1175727</v>
      </c>
      <c r="R39" s="9">
        <f>SUM($Q$33:Q39)</f>
        <v>1410843</v>
      </c>
      <c r="S39" s="282">
        <f t="shared" si="21"/>
        <v>1560961.7216186651</v>
      </c>
      <c r="T39" s="9">
        <f t="shared" si="18"/>
        <v>1.8334773822885962E-6</v>
      </c>
      <c r="U39" s="287">
        <f t="shared" si="19"/>
        <v>4467453.7332242383</v>
      </c>
    </row>
    <row r="40" spans="1:21" x14ac:dyDescent="0.2">
      <c r="A40" s="97">
        <v>8</v>
      </c>
      <c r="B40" s="93">
        <f t="shared" si="15"/>
        <v>823543</v>
      </c>
      <c r="C40" s="1">
        <f t="shared" si="12"/>
        <v>4941258</v>
      </c>
      <c r="D40" s="9">
        <f>SUM($C$33:C40)</f>
        <v>5764800</v>
      </c>
      <c r="E40" s="9">
        <f t="shared" si="13"/>
        <v>6221231.973744561</v>
      </c>
      <c r="F40" s="9">
        <f t="shared" si="14"/>
        <v>5.0080583599341255E-7</v>
      </c>
      <c r="G40" s="287">
        <f t="shared" si="16"/>
        <v>19383052.492085129</v>
      </c>
      <c r="O40" s="99">
        <v>8</v>
      </c>
      <c r="P40" s="93">
        <f t="shared" si="20"/>
        <v>1175728</v>
      </c>
      <c r="Q40" s="1">
        <f t="shared" si="17"/>
        <v>7054383</v>
      </c>
      <c r="R40" s="9">
        <f>SUM($Q$33:Q40)</f>
        <v>8465226</v>
      </c>
      <c r="S40" s="282">
        <f t="shared" si="21"/>
        <v>9135466.0449926741</v>
      </c>
      <c r="T40" s="9">
        <f t="shared" si="18"/>
        <v>3.4104765582570679E-7</v>
      </c>
      <c r="U40" s="287">
        <f t="shared" si="19"/>
        <v>28462725.491840795</v>
      </c>
    </row>
    <row r="41" spans="1:21" x14ac:dyDescent="0.2">
      <c r="A41" s="97">
        <v>9</v>
      </c>
      <c r="B41" s="93">
        <f t="shared" si="15"/>
        <v>5764801</v>
      </c>
      <c r="C41" s="1">
        <f t="shared" si="12"/>
        <v>34588806</v>
      </c>
      <c r="D41" s="9">
        <f>SUM($C$33:C41)</f>
        <v>40353606</v>
      </c>
      <c r="E41" s="9">
        <f t="shared" si="13"/>
        <v>42768363.43989633</v>
      </c>
      <c r="F41" s="9">
        <f t="shared" si="14"/>
        <v>7.8052177744702324E-8</v>
      </c>
      <c r="G41" s="287">
        <f t="shared" si="16"/>
        <v>142767807.11358461</v>
      </c>
      <c r="O41" s="99">
        <v>9</v>
      </c>
      <c r="P41" s="93">
        <f t="shared" si="20"/>
        <v>7054384</v>
      </c>
      <c r="Q41" s="1">
        <f t="shared" si="17"/>
        <v>42326319</v>
      </c>
      <c r="R41" s="9">
        <f>SUM($Q$33:Q41)</f>
        <v>50791545</v>
      </c>
      <c r="S41" s="282">
        <f t="shared" si="21"/>
        <v>53830908.103574418</v>
      </c>
      <c r="T41" s="9">
        <f t="shared" si="18"/>
        <v>6.2012030312361759E-8</v>
      </c>
      <c r="U41" s="287">
        <f t="shared" si="19"/>
        <v>179696394.40799797</v>
      </c>
    </row>
    <row r="42" spans="1:21" ht="17" thickBot="1" x14ac:dyDescent="0.25">
      <c r="A42" s="145">
        <v>10</v>
      </c>
      <c r="B42" s="94">
        <f t="shared" si="15"/>
        <v>40353607</v>
      </c>
      <c r="C42" s="111">
        <f t="shared" si="12"/>
        <v>242121642</v>
      </c>
      <c r="D42" s="10">
        <f>SUM($C$33:C42)</f>
        <v>282475248</v>
      </c>
      <c r="E42" s="9">
        <f t="shared" si="13"/>
        <v>295394545.47174191</v>
      </c>
      <c r="F42" s="10">
        <f t="shared" si="14"/>
        <v>1.1958242047009385E-8</v>
      </c>
      <c r="G42" s="288">
        <f t="shared" si="16"/>
        <v>1043451537.0815325</v>
      </c>
      <c r="O42" s="100">
        <v>10</v>
      </c>
      <c r="P42" s="94">
        <f t="shared" si="20"/>
        <v>42326320</v>
      </c>
      <c r="Q42" s="111">
        <f t="shared" si="17"/>
        <v>253957935</v>
      </c>
      <c r="R42" s="10">
        <f>SUM($Q$33:Q42)</f>
        <v>304749480</v>
      </c>
      <c r="S42" s="283">
        <f t="shared" si="21"/>
        <v>318687512.49790817</v>
      </c>
      <c r="T42" s="10">
        <f t="shared" si="18"/>
        <v>1.1084210505865354E-8</v>
      </c>
      <c r="U42" s="288">
        <f t="shared" si="19"/>
        <v>1125731601.5553963</v>
      </c>
    </row>
    <row r="43" spans="1:21" ht="17" thickBot="1" x14ac:dyDescent="0.25">
      <c r="U43" s="285"/>
    </row>
    <row r="44" spans="1:21" ht="17" thickBot="1" x14ac:dyDescent="0.25">
      <c r="A44" s="117" t="s">
        <v>135</v>
      </c>
      <c r="B44" s="118" t="s">
        <v>140</v>
      </c>
      <c r="C44" s="118" t="s">
        <v>139</v>
      </c>
      <c r="D44" s="170" t="s">
        <v>138</v>
      </c>
      <c r="E44" s="166" t="s">
        <v>151</v>
      </c>
      <c r="F44" s="168" t="s">
        <v>152</v>
      </c>
      <c r="G44" s="290" t="s">
        <v>47</v>
      </c>
      <c r="O44" s="29" t="s">
        <v>135</v>
      </c>
      <c r="P44" s="118" t="s">
        <v>140</v>
      </c>
      <c r="Q44" s="118" t="s">
        <v>139</v>
      </c>
      <c r="R44" s="118" t="s">
        <v>138</v>
      </c>
      <c r="S44" s="166" t="s">
        <v>151</v>
      </c>
      <c r="T44" s="168" t="s">
        <v>152</v>
      </c>
      <c r="U44" s="294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6</v>
      </c>
      <c r="D45" s="57">
        <f>SUM(C45:C45)</f>
        <v>6</v>
      </c>
      <c r="E45" s="57">
        <f t="shared" ref="E45:E54" si="23">D45/R7</f>
        <v>51.673517302505381</v>
      </c>
      <c r="F45" s="8">
        <f t="shared" ref="F45:F54" si="24">U7/E45</f>
        <v>1.0451625726251369E-2</v>
      </c>
      <c r="G45" s="286">
        <f>E45*U7</f>
        <v>27.907433416645027</v>
      </c>
      <c r="O45" s="101">
        <v>1</v>
      </c>
      <c r="P45" s="109">
        <v>1</v>
      </c>
      <c r="Q45" s="110">
        <f>P45*6+15</f>
        <v>21</v>
      </c>
      <c r="R45" s="57">
        <f>SUM($Q$21)</f>
        <v>21</v>
      </c>
      <c r="S45" s="281">
        <f>R45/R7</f>
        <v>180.85731055876883</v>
      </c>
      <c r="T45" s="8">
        <f>U7/S45</f>
        <v>2.9861787789289629E-3</v>
      </c>
      <c r="U45" s="289">
        <f>S45*U7</f>
        <v>97.676016958257591</v>
      </c>
    </row>
    <row r="46" spans="1:21" x14ac:dyDescent="0.2">
      <c r="A46" s="97">
        <v>2</v>
      </c>
      <c r="B46" s="93">
        <f t="shared" ref="B46:B54" si="25">B45*$O$2*2</f>
        <v>12</v>
      </c>
      <c r="C46" s="1">
        <f t="shared" si="22"/>
        <v>72</v>
      </c>
      <c r="D46" s="9">
        <f>SUM($C$45:C46)</f>
        <v>78</v>
      </c>
      <c r="E46" s="9">
        <f t="shared" si="23"/>
        <v>161.99595718077813</v>
      </c>
      <c r="F46" s="9">
        <f t="shared" si="24"/>
        <v>6.3809770129107969E-3</v>
      </c>
      <c r="G46" s="287">
        <f t="shared" ref="G46:G54" si="26">E46*U8</f>
        <v>167.45400255889095</v>
      </c>
      <c r="O46" s="99">
        <v>2</v>
      </c>
      <c r="P46" s="93">
        <f>Q45*2</f>
        <v>42</v>
      </c>
      <c r="Q46" s="1">
        <f t="shared" ref="Q46:Q54" si="27">P46*6+15</f>
        <v>267</v>
      </c>
      <c r="R46" s="9">
        <f>SUM($Q$45:Q46)</f>
        <v>288</v>
      </c>
      <c r="S46" s="282">
        <f t="shared" ref="S46:S54" si="28">R46/R8</f>
        <v>598.13891882133464</v>
      </c>
      <c r="T46" s="9">
        <f t="shared" ref="T46:T54" si="29">U8/S46</f>
        <v>1.7281812743300076E-3</v>
      </c>
      <c r="U46" s="287">
        <f t="shared" ref="U46:U54" si="30">S46*U8</f>
        <v>618.29170175590502</v>
      </c>
    </row>
    <row r="47" spans="1:21" x14ac:dyDescent="0.2">
      <c r="A47" s="97">
        <v>3</v>
      </c>
      <c r="B47" s="93">
        <f t="shared" si="25"/>
        <v>144</v>
      </c>
      <c r="C47" s="1">
        <f t="shared" si="22"/>
        <v>864</v>
      </c>
      <c r="D47" s="9">
        <f>SUM($C$45:C47)</f>
        <v>942</v>
      </c>
      <c r="E47" s="9">
        <f t="shared" si="23"/>
        <v>1428.7387597372756</v>
      </c>
      <c r="F47" s="9">
        <f t="shared" si="24"/>
        <v>1.0373460812081862E-3</v>
      </c>
      <c r="G47" s="287">
        <f t="shared" si="26"/>
        <v>2117.5287916352027</v>
      </c>
      <c r="O47" s="99">
        <v>3</v>
      </c>
      <c r="P47" s="93">
        <f t="shared" ref="P47:P54" si="31">Q46*2</f>
        <v>534</v>
      </c>
      <c r="Q47" s="1">
        <f t="shared" si="27"/>
        <v>3219</v>
      </c>
      <c r="R47" s="9">
        <f>SUM($Q$45:Q47)</f>
        <v>3507</v>
      </c>
      <c r="S47" s="282">
        <f t="shared" si="28"/>
        <v>5319.0942997862267</v>
      </c>
      <c r="T47" s="9">
        <f t="shared" si="29"/>
        <v>2.7863701411408938E-4</v>
      </c>
      <c r="U47" s="287">
        <f t="shared" si="30"/>
        <v>7883.4113293679993</v>
      </c>
    </row>
    <row r="48" spans="1:21" x14ac:dyDescent="0.2">
      <c r="A48" s="97">
        <v>4</v>
      </c>
      <c r="B48" s="93">
        <f t="shared" si="25"/>
        <v>1728</v>
      </c>
      <c r="C48" s="1">
        <f t="shared" si="22"/>
        <v>10368</v>
      </c>
      <c r="D48" s="9">
        <f>SUM($C$45:C48)</f>
        <v>11310</v>
      </c>
      <c r="E48" s="9">
        <f t="shared" si="23"/>
        <v>14837.164618712399</v>
      </c>
      <c r="F48" s="9">
        <f t="shared" si="24"/>
        <v>1.2717724696972358E-4</v>
      </c>
      <c r="G48" s="287">
        <f t="shared" si="26"/>
        <v>27996.984053810276</v>
      </c>
      <c r="O48" s="99">
        <v>4</v>
      </c>
      <c r="P48" s="93">
        <f t="shared" si="31"/>
        <v>6438</v>
      </c>
      <c r="Q48" s="1">
        <f t="shared" si="27"/>
        <v>38643</v>
      </c>
      <c r="R48" s="9">
        <f>SUM($Q$45:Q48)</f>
        <v>42150</v>
      </c>
      <c r="S48" s="282">
        <f t="shared" si="28"/>
        <v>55295.003419869812</v>
      </c>
      <c r="T48" s="9">
        <f t="shared" si="29"/>
        <v>3.4125140290096647E-5</v>
      </c>
      <c r="U48" s="287">
        <f t="shared" si="30"/>
        <v>104338.89282653431</v>
      </c>
    </row>
    <row r="49" spans="1:21" x14ac:dyDescent="0.2">
      <c r="A49" s="97">
        <v>5</v>
      </c>
      <c r="B49" s="93">
        <f t="shared" si="25"/>
        <v>20736</v>
      </c>
      <c r="C49" s="1">
        <f t="shared" si="22"/>
        <v>124416</v>
      </c>
      <c r="D49" s="9">
        <f>SUM($C$45:C49)</f>
        <v>135726</v>
      </c>
      <c r="E49" s="9">
        <f t="shared" si="23"/>
        <v>163933.23411922049</v>
      </c>
      <c r="F49" s="9">
        <f t="shared" si="24"/>
        <v>1.3726852617153509E-5</v>
      </c>
      <c r="G49" s="287">
        <f t="shared" si="26"/>
        <v>368896.88196797279</v>
      </c>
      <c r="O49" s="99">
        <v>5</v>
      </c>
      <c r="P49" s="93">
        <f t="shared" si="31"/>
        <v>77286</v>
      </c>
      <c r="Q49" s="1">
        <f t="shared" si="27"/>
        <v>463731</v>
      </c>
      <c r="R49" s="9">
        <f>SUM($Q$45:Q49)</f>
        <v>505881</v>
      </c>
      <c r="S49" s="282">
        <f t="shared" si="28"/>
        <v>611015.63745682756</v>
      </c>
      <c r="T49" s="9">
        <f t="shared" si="29"/>
        <v>3.6828637531668062E-6</v>
      </c>
      <c r="U49" s="287">
        <f t="shared" si="30"/>
        <v>1374960.7558377911</v>
      </c>
    </row>
    <row r="50" spans="1:21" x14ac:dyDescent="0.2">
      <c r="A50" s="97">
        <v>6</v>
      </c>
      <c r="B50" s="93">
        <f t="shared" si="25"/>
        <v>248832</v>
      </c>
      <c r="C50" s="1">
        <f t="shared" si="22"/>
        <v>1492992</v>
      </c>
      <c r="D50" s="9">
        <f>SUM($C$45:C50)</f>
        <v>1628718</v>
      </c>
      <c r="E50" s="9">
        <f t="shared" si="23"/>
        <v>1866880.3140392033</v>
      </c>
      <c r="F50" s="9">
        <f t="shared" si="24"/>
        <v>1.3790094992493488E-6</v>
      </c>
      <c r="G50" s="287">
        <f t="shared" si="26"/>
        <v>4806181.9726638859</v>
      </c>
      <c r="O50" s="99">
        <v>6</v>
      </c>
      <c r="P50" s="93">
        <f t="shared" si="31"/>
        <v>927462</v>
      </c>
      <c r="Q50" s="1">
        <f t="shared" si="27"/>
        <v>5564787</v>
      </c>
      <c r="R50" s="9">
        <f>SUM($Q$45:Q50)</f>
        <v>6070668</v>
      </c>
      <c r="S50" s="282">
        <f t="shared" si="28"/>
        <v>6958362.701380928</v>
      </c>
      <c r="T50" s="9">
        <f t="shared" si="29"/>
        <v>3.6997865697784837E-7</v>
      </c>
      <c r="U50" s="287">
        <f t="shared" si="30"/>
        <v>17913926.845302578</v>
      </c>
    </row>
    <row r="51" spans="1:21" x14ac:dyDescent="0.2">
      <c r="A51" s="97">
        <v>7</v>
      </c>
      <c r="B51" s="93">
        <f t="shared" si="25"/>
        <v>2985984</v>
      </c>
      <c r="C51" s="1">
        <f t="shared" si="22"/>
        <v>17915904</v>
      </c>
      <c r="D51" s="9">
        <f>SUM($C$45:C51)</f>
        <v>19544622</v>
      </c>
      <c r="E51" s="9">
        <f t="shared" si="23"/>
        <v>21624239.412539903</v>
      </c>
      <c r="F51" s="9">
        <f t="shared" si="24"/>
        <v>1.3235092141767644E-7</v>
      </c>
      <c r="G51" s="287">
        <f t="shared" si="26"/>
        <v>61888313.950139433</v>
      </c>
      <c r="O51" s="99">
        <v>7</v>
      </c>
      <c r="P51" s="93">
        <f t="shared" si="31"/>
        <v>11129574</v>
      </c>
      <c r="Q51" s="1">
        <f t="shared" si="27"/>
        <v>66777459</v>
      </c>
      <c r="R51" s="9">
        <f>SUM($Q$45:Q51)</f>
        <v>72848127</v>
      </c>
      <c r="S51" s="282">
        <f t="shared" si="28"/>
        <v>80599427.249251097</v>
      </c>
      <c r="T51" s="9">
        <f t="shared" si="29"/>
        <v>3.5508788447782461E-8</v>
      </c>
      <c r="U51" s="287">
        <f t="shared" si="30"/>
        <v>230674594.49743411</v>
      </c>
    </row>
    <row r="52" spans="1:21" x14ac:dyDescent="0.2">
      <c r="A52" s="97">
        <v>8</v>
      </c>
      <c r="B52" s="93">
        <f t="shared" si="25"/>
        <v>35831808</v>
      </c>
      <c r="C52" s="1">
        <f t="shared" si="22"/>
        <v>214990848</v>
      </c>
      <c r="D52" s="9">
        <f>SUM($C$45:C52)</f>
        <v>234535470</v>
      </c>
      <c r="E52" s="9">
        <f t="shared" si="23"/>
        <v>253104975.87795034</v>
      </c>
      <c r="F52" s="9">
        <f t="shared" si="24"/>
        <v>1.2309632668077134E-8</v>
      </c>
      <c r="G52" s="287">
        <f t="shared" si="26"/>
        <v>788581273.63756883</v>
      </c>
      <c r="O52" s="99">
        <v>8</v>
      </c>
      <c r="P52" s="93">
        <f t="shared" si="31"/>
        <v>133554918</v>
      </c>
      <c r="Q52" s="1">
        <f t="shared" si="27"/>
        <v>801329523</v>
      </c>
      <c r="R52" s="9">
        <f>SUM($Q$45:Q52)</f>
        <v>874177650</v>
      </c>
      <c r="S52" s="282">
        <f t="shared" si="28"/>
        <v>943391261.95408022</v>
      </c>
      <c r="T52" s="9">
        <f t="shared" si="29"/>
        <v>3.3025844155759699E-9</v>
      </c>
      <c r="U52" s="287">
        <f t="shared" si="30"/>
        <v>2939257437.7875419</v>
      </c>
    </row>
    <row r="53" spans="1:21" x14ac:dyDescent="0.2">
      <c r="A53" s="97">
        <v>9</v>
      </c>
      <c r="B53" s="93">
        <f t="shared" si="25"/>
        <v>429981696</v>
      </c>
      <c r="C53" s="1">
        <f t="shared" si="22"/>
        <v>2579890176</v>
      </c>
      <c r="D53" s="9">
        <f>SUM($C$45:C53)</f>
        <v>2814425646</v>
      </c>
      <c r="E53" s="9">
        <f t="shared" si="23"/>
        <v>2982840713.2362103</v>
      </c>
      <c r="F53" s="9">
        <f t="shared" si="24"/>
        <v>1.1191224158393297E-9</v>
      </c>
      <c r="G53" s="287">
        <f t="shared" si="26"/>
        <v>9957211203.4709816</v>
      </c>
      <c r="O53" s="99">
        <v>9</v>
      </c>
      <c r="P53" s="93">
        <f t="shared" si="31"/>
        <v>1602659046</v>
      </c>
      <c r="Q53" s="1">
        <f t="shared" si="27"/>
        <v>9615954291</v>
      </c>
      <c r="R53" s="9">
        <f>SUM($Q$45:Q53)</f>
        <v>10490131941</v>
      </c>
      <c r="S53" s="282">
        <f t="shared" si="28"/>
        <v>11117860827.236931</v>
      </c>
      <c r="T53" s="9">
        <f t="shared" si="29"/>
        <v>3.0025235582036291E-10</v>
      </c>
      <c r="U53" s="287">
        <f t="shared" si="30"/>
        <v>37113241714.971924</v>
      </c>
    </row>
    <row r="54" spans="1:21" ht="17" thickBot="1" x14ac:dyDescent="0.25">
      <c r="A54" s="145">
        <v>10</v>
      </c>
      <c r="B54" s="94">
        <f t="shared" si="25"/>
        <v>5159780352</v>
      </c>
      <c r="C54" s="111">
        <f t="shared" si="22"/>
        <v>30958682112</v>
      </c>
      <c r="D54" s="10">
        <f>SUM($C$45:C54)</f>
        <v>33773107758</v>
      </c>
      <c r="E54" s="10">
        <f t="shared" si="23"/>
        <v>35317755753.745087</v>
      </c>
      <c r="F54" s="10">
        <f t="shared" si="24"/>
        <v>1.0001766529977872E-10</v>
      </c>
      <c r="G54" s="288">
        <f t="shared" si="26"/>
        <v>124756421851.53627</v>
      </c>
      <c r="O54" s="100">
        <v>10</v>
      </c>
      <c r="P54" s="94">
        <f t="shared" si="31"/>
        <v>19231908582</v>
      </c>
      <c r="Q54" s="111">
        <f t="shared" si="27"/>
        <v>115391451507</v>
      </c>
      <c r="R54" s="10">
        <f>SUM($Q$45:Q54)</f>
        <v>125881583448</v>
      </c>
      <c r="S54" s="283">
        <f t="shared" si="28"/>
        <v>131638907795.15349</v>
      </c>
      <c r="T54" s="10">
        <f t="shared" si="29"/>
        <v>2.6834007766262107E-11</v>
      </c>
      <c r="U54" s="288">
        <f t="shared" si="30"/>
        <v>465001208668.99042</v>
      </c>
    </row>
  </sheetData>
  <mergeCells count="2">
    <mergeCell ref="A18:F18"/>
    <mergeCell ref="O18:T18"/>
  </mergeCells>
  <conditionalFormatting sqref="E33:E42">
    <cfRule type="cellIs" dxfId="613" priority="59" stopIfTrue="1" operator="lessThan">
      <formula>0</formula>
    </cfRule>
    <cfRule type="cellIs" dxfId="612" priority="60" operator="equal">
      <formula>MIN($E$33:$E$42)</formula>
    </cfRule>
  </conditionalFormatting>
  <conditionalFormatting sqref="F45:F54">
    <cfRule type="cellIs" dxfId="611" priority="47" operator="equal">
      <formula>MAX($F$45:$F$54)</formula>
    </cfRule>
  </conditionalFormatting>
  <conditionalFormatting sqref="F21:F30">
    <cfRule type="cellIs" dxfId="610" priority="45" operator="equal">
      <formula>MAX($F$21:$F$30)</formula>
    </cfRule>
  </conditionalFormatting>
  <conditionalFormatting sqref="E21:E30">
    <cfRule type="cellIs" dxfId="609" priority="41" stopIfTrue="1" operator="lessThan">
      <formula>0</formula>
    </cfRule>
    <cfRule type="cellIs" dxfId="608" priority="42" operator="equal">
      <formula>MIN($E$21:$E$30)</formula>
    </cfRule>
  </conditionalFormatting>
  <conditionalFormatting sqref="E45:E54">
    <cfRule type="cellIs" dxfId="607" priority="37" stopIfTrue="1" operator="lessThan">
      <formula>0</formula>
    </cfRule>
    <cfRule type="cellIs" dxfId="606" priority="38" operator="equal">
      <formula>MIN($E$45:$E$54)</formula>
    </cfRule>
  </conditionalFormatting>
  <conditionalFormatting sqref="F33:F42">
    <cfRule type="cellIs" dxfId="605" priority="23" operator="lessThanOrEqual">
      <formula>0</formula>
    </cfRule>
    <cfRule type="cellIs" dxfId="604" priority="24" operator="equal">
      <formula>MAX($F$33:$F$42)</formula>
    </cfRule>
  </conditionalFormatting>
  <conditionalFormatting sqref="R7:R16">
    <cfRule type="cellIs" dxfId="603" priority="17" operator="lessThanOrEqual">
      <formula>0</formula>
    </cfRule>
    <cfRule type="cellIs" dxfId="602" priority="18" operator="greaterThan">
      <formula>0</formula>
    </cfRule>
  </conditionalFormatting>
  <conditionalFormatting sqref="S7:T16">
    <cfRule type="cellIs" dxfId="601" priority="11" operator="lessThanOrEqual">
      <formula>0</formula>
    </cfRule>
    <cfRule type="cellIs" dxfId="600" priority="12" operator="greaterThan">
      <formula>0</formula>
    </cfRule>
  </conditionalFormatting>
  <conditionalFormatting sqref="U7:U16">
    <cfRule type="cellIs" dxfId="599" priority="13" operator="lessThanOrEqual">
      <formula>0</formula>
    </cfRule>
    <cfRule type="cellIs" dxfId="598" priority="14" operator="greaterThan">
      <formula>0</formula>
    </cfRule>
  </conditionalFormatting>
  <conditionalFormatting sqref="S21:S30">
    <cfRule type="cellIs" dxfId="597" priority="9" stopIfTrue="1" operator="lessThan">
      <formula>0</formula>
    </cfRule>
    <cfRule type="cellIs" dxfId="596" priority="10" operator="equal">
      <formula>MIN($E$21:$E$30)</formula>
    </cfRule>
  </conditionalFormatting>
  <conditionalFormatting sqref="T21:T30">
    <cfRule type="cellIs" dxfId="595" priority="7" operator="equal">
      <formula>MAX($T$21:$T$30)</formula>
    </cfRule>
  </conditionalFormatting>
  <conditionalFormatting sqref="S33:S42">
    <cfRule type="cellIs" dxfId="594" priority="5" stopIfTrue="1" operator="lessThan">
      <formula>0</formula>
    </cfRule>
    <cfRule type="cellIs" dxfId="593" priority="6" operator="equal">
      <formula>MIN($E$21:$E$30)</formula>
    </cfRule>
  </conditionalFormatting>
  <conditionalFormatting sqref="T33:T42">
    <cfRule type="cellIs" dxfId="592" priority="4" operator="equal">
      <formula>MAX($T$21:$T$30)</formula>
    </cfRule>
  </conditionalFormatting>
  <conditionalFormatting sqref="S45:S54">
    <cfRule type="cellIs" dxfId="591" priority="2" stopIfTrue="1" operator="lessThan">
      <formula>0</formula>
    </cfRule>
    <cfRule type="cellIs" dxfId="590" priority="3" operator="equal">
      <formula>MIN($E$21:$E$30)</formula>
    </cfRule>
  </conditionalFormatting>
  <conditionalFormatting sqref="T45:T54">
    <cfRule type="cellIs" dxfId="589" priority="1" operator="equal">
      <formula>MAX($T$21:$T$30)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pageSetUpPr fitToPage="1"/>
  </sheetPr>
  <dimension ref="A1:W54"/>
  <sheetViews>
    <sheetView workbookViewId="0">
      <selection activeCell="C7" sqref="C7:C16"/>
    </sheetView>
  </sheetViews>
  <sheetFormatPr baseColWidth="10" defaultColWidth="8.6640625" defaultRowHeight="16" x14ac:dyDescent="0.2"/>
  <cols>
    <col min="14" max="14" width="5.6640625" bestFit="1" customWidth="1"/>
  </cols>
  <sheetData>
    <row r="1" spans="1:23" x14ac:dyDescent="0.2">
      <c r="C1" t="s">
        <v>95</v>
      </c>
      <c r="D1">
        <f>C2+E2</f>
        <v>0.99999999999999978</v>
      </c>
    </row>
    <row r="2" spans="1:23" x14ac:dyDescent="0.2">
      <c r="A2" t="s">
        <v>40</v>
      </c>
      <c r="B2" s="149" t="s">
        <v>125</v>
      </c>
      <c r="C2" s="155">
        <f>Analysis!B14</f>
        <v>0.56167554598583402</v>
      </c>
      <c r="D2" s="149" t="s">
        <v>126</v>
      </c>
      <c r="E2" s="155">
        <f>Analysis!J14</f>
        <v>0.43832445401416581</v>
      </c>
      <c r="F2" s="149" t="s">
        <v>47</v>
      </c>
      <c r="G2" s="155">
        <f>Analysis!S14</f>
        <v>5.7358341832646618</v>
      </c>
      <c r="H2" t="s">
        <v>156</v>
      </c>
      <c r="I2" s="169">
        <f>Analysis!T14</f>
        <v>-5.7797294843277971</v>
      </c>
      <c r="J2" t="s">
        <v>48</v>
      </c>
      <c r="K2" s="169">
        <f>C2*G2+E2*I2</f>
        <v>0.68828102600183128</v>
      </c>
      <c r="L2" t="s">
        <v>47</v>
      </c>
      <c r="M2" s="176">
        <v>1</v>
      </c>
      <c r="N2" t="s">
        <v>156</v>
      </c>
      <c r="O2" s="176">
        <v>7</v>
      </c>
    </row>
    <row r="4" spans="1:23" x14ac:dyDescent="0.2">
      <c r="A4" t="s">
        <v>123</v>
      </c>
      <c r="B4">
        <f>$C$2</f>
        <v>0.56167554598583402</v>
      </c>
      <c r="C4" t="s">
        <v>124</v>
      </c>
      <c r="D4">
        <f>$E$2</f>
        <v>0.43832445401416581</v>
      </c>
      <c r="E4" t="s">
        <v>47</v>
      </c>
      <c r="F4">
        <f>G2</f>
        <v>5.7358341832646618</v>
      </c>
      <c r="G4" t="s">
        <v>156</v>
      </c>
      <c r="H4">
        <f>I2</f>
        <v>-5.7797294843277971</v>
      </c>
      <c r="I4" t="s">
        <v>48</v>
      </c>
      <c r="J4">
        <f>K2</f>
        <v>0.68828102600183128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60">
        <v>-10</v>
      </c>
      <c r="N6" s="104" t="s">
        <v>136</v>
      </c>
      <c r="R6" s="188" t="s">
        <v>49</v>
      </c>
      <c r="S6" s="164" t="s">
        <v>130</v>
      </c>
      <c r="T6" s="165" t="s">
        <v>137</v>
      </c>
      <c r="U6" s="184" t="s">
        <v>48</v>
      </c>
      <c r="V6" s="175" t="s">
        <v>47</v>
      </c>
      <c r="W6" s="168" t="s">
        <v>156</v>
      </c>
    </row>
    <row r="7" spans="1:23" x14ac:dyDescent="0.2">
      <c r="A7" s="101">
        <v>1</v>
      </c>
      <c r="B7" s="95">
        <f>C7*B4</f>
        <v>0.56167554598583402</v>
      </c>
      <c r="C7" s="95">
        <v>1</v>
      </c>
      <c r="D7" s="109">
        <f>C7*D4</f>
        <v>0.43832445401416581</v>
      </c>
      <c r="E7" s="110"/>
      <c r="F7" s="110"/>
      <c r="G7" s="110"/>
      <c r="H7" s="110"/>
      <c r="I7" s="110"/>
      <c r="J7" s="110"/>
      <c r="K7" s="110"/>
      <c r="L7" s="110"/>
      <c r="M7" s="263"/>
      <c r="N7" s="95">
        <f>B7+D7</f>
        <v>0.99999999999999978</v>
      </c>
      <c r="R7" s="189">
        <f>B7-D7</f>
        <v>0.12335109197166821</v>
      </c>
      <c r="S7" s="109">
        <f>SUM(C7)*$B$4*$F$4</f>
        <v>3.2216777965693892</v>
      </c>
      <c r="T7" s="57">
        <f>SUM(C7)*$D$4*$H$4</f>
        <v>-2.533396770567558</v>
      </c>
      <c r="U7" s="265">
        <f>S7+T7</f>
        <v>0.68828102600183128</v>
      </c>
      <c r="V7" s="109">
        <f>(U7+W7*D7)/B7</f>
        <v>2.0057940710924438</v>
      </c>
      <c r="W7" s="57">
        <f>COUNT(D7:M7)</f>
        <v>1</v>
      </c>
    </row>
    <row r="8" spans="1:23" x14ac:dyDescent="0.2">
      <c r="A8" s="99">
        <v>2</v>
      </c>
      <c r="B8" s="97">
        <f>C8*B4</f>
        <v>0.74512159743999151</v>
      </c>
      <c r="C8" s="97">
        <f>1/(1-B4*D4*C7)</f>
        <v>1.3266050173720474</v>
      </c>
      <c r="D8" s="93">
        <f>C8*D4</f>
        <v>0.58148341993205566</v>
      </c>
      <c r="E8" s="1">
        <f>D8*D4</f>
        <v>0.25487840256000821</v>
      </c>
      <c r="F8" s="1"/>
      <c r="G8" s="1"/>
      <c r="H8" s="1"/>
      <c r="I8" s="1"/>
      <c r="J8" s="1"/>
      <c r="K8" s="1"/>
      <c r="L8" s="1"/>
      <c r="M8" s="262"/>
      <c r="N8" s="97">
        <f>B8+E8</f>
        <v>0.99999999999999978</v>
      </c>
      <c r="R8" s="190">
        <f>B8-E8</f>
        <v>0.4902431948799833</v>
      </c>
      <c r="S8" s="93">
        <f>SUM(C8:D8)*$B$4*$F$4</f>
        <v>6.1472461523534117</v>
      </c>
      <c r="T8" s="9">
        <f>SUM(C8:D8)*$D$4*$H$4</f>
        <v>-4.8339450850235126</v>
      </c>
      <c r="U8" s="266">
        <f>S8+T8</f>
        <v>1.313301067329899</v>
      </c>
      <c r="V8" s="93">
        <f>(U8+W8*E8)/B8</f>
        <v>2.4466582081547243</v>
      </c>
      <c r="W8" s="9">
        <f>COUNT(D8:M8)</f>
        <v>2</v>
      </c>
    </row>
    <row r="9" spans="1:23" x14ac:dyDescent="0.2">
      <c r="A9" s="99">
        <v>3</v>
      </c>
      <c r="B9" s="97">
        <f>C9*B4</f>
        <v>0.83409523455887846</v>
      </c>
      <c r="C9" s="97">
        <f>1/(1-D4*B4*C8)</f>
        <v>1.4850125495403268</v>
      </c>
      <c r="D9" s="93">
        <f>C9*D4*C8</f>
        <v>0.86351017594873036</v>
      </c>
      <c r="E9" s="1">
        <f>D9*(D4)</f>
        <v>0.37849762640840351</v>
      </c>
      <c r="F9" s="1">
        <f>E9*D4</f>
        <v>0.16590476544112118</v>
      </c>
      <c r="G9" s="1"/>
      <c r="H9" s="1"/>
      <c r="I9" s="1"/>
      <c r="J9" s="1"/>
      <c r="K9" s="1"/>
      <c r="L9" s="1"/>
      <c r="M9" s="262"/>
      <c r="N9" s="97">
        <f>B9+F9</f>
        <v>0.99999999999999967</v>
      </c>
      <c r="R9" s="190">
        <f>B9-F9</f>
        <v>0.66819046911775726</v>
      </c>
      <c r="S9" s="93">
        <f>SUM(C9:E9)*$B$4*$F$4</f>
        <v>8.7855809185008926</v>
      </c>
      <c r="T9" s="9">
        <f>SUM(C9:E9)*$D$4*$H$4</f>
        <v>-6.9086245527690329</v>
      </c>
      <c r="U9" s="266">
        <f t="shared" ref="U9:U16" si="0">S9+T9</f>
        <v>1.8769563657318598</v>
      </c>
      <c r="V9" s="93">
        <f>(U9+W9*F9)/B9</f>
        <v>2.8470018334430325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0.88537103874007228</v>
      </c>
      <c r="C10" s="97">
        <f>1/(1-D4*B4*C9)</f>
        <v>1.5763033392990233</v>
      </c>
      <c r="D10" s="93">
        <f>C10*D4*C9</f>
        <v>1.0260431372128107</v>
      </c>
      <c r="E10" s="1">
        <f>D10*D4*C8</f>
        <v>0.59662707242432056</v>
      </c>
      <c r="F10" s="1">
        <f>E10*D4</f>
        <v>0.26151623577046046</v>
      </c>
      <c r="G10" s="1">
        <f>F10*D4</f>
        <v>0.11462896125992694</v>
      </c>
      <c r="H10" s="1"/>
      <c r="I10" s="1"/>
      <c r="J10" s="1"/>
      <c r="K10" s="1"/>
      <c r="L10" s="1"/>
      <c r="M10" s="262"/>
      <c r="N10" s="97">
        <f>B10+G10</f>
        <v>0.99999999999999922</v>
      </c>
      <c r="R10" s="190">
        <f>B10-G10</f>
        <v>0.77074207748014534</v>
      </c>
      <c r="S10" s="93">
        <f>SUM(C10:F10)*$B$4*$F$4</f>
        <v>11.148583104644489</v>
      </c>
      <c r="T10" s="9">
        <f>SUM(C10:F10)*$D$4*$H$4</f>
        <v>-8.7667936451577635</v>
      </c>
      <c r="U10" s="266">
        <f t="shared" si="0"/>
        <v>2.3817894594867255</v>
      </c>
      <c r="V10" s="93">
        <f>(U10+W10*G10)/B10</f>
        <v>3.2080395452829937</v>
      </c>
      <c r="W10" s="9">
        <f t="shared" si="1"/>
        <v>4</v>
      </c>
    </row>
    <row r="11" spans="1:23" x14ac:dyDescent="0.2">
      <c r="A11" s="99">
        <v>5</v>
      </c>
      <c r="B11" s="97">
        <f>C11*B4</f>
        <v>0.91789015139110175</v>
      </c>
      <c r="C11" s="97">
        <f>1/(1-D4*B4*C10)</f>
        <v>1.6341999539610574</v>
      </c>
      <c r="D11" s="93">
        <f>C11*D4*C10</f>
        <v>1.1291215337636447</v>
      </c>
      <c r="E11" s="1">
        <f>D11*D4*C9</f>
        <v>0.73496475704516606</v>
      </c>
      <c r="F11" s="1">
        <f>E11*D4*C8</f>
        <v>0.42736982045615551</v>
      </c>
      <c r="G11" s="1">
        <f>F11*D4</f>
        <v>0.18732664321357645</v>
      </c>
      <c r="H11" s="1">
        <f>G11*D4</f>
        <v>8.2109848608897334E-2</v>
      </c>
      <c r="I11" s="1"/>
      <c r="J11" s="1"/>
      <c r="K11" s="1"/>
      <c r="L11" s="1"/>
      <c r="M11" s="262"/>
      <c r="N11" s="97">
        <f>B11+H11</f>
        <v>0.99999999999999911</v>
      </c>
      <c r="R11" s="190">
        <f>B11-H11</f>
        <v>0.83578030278220439</v>
      </c>
      <c r="S11" s="93">
        <f>SUM(C11:G11)*$B$4*$F$4</f>
        <v>13.250705069453689</v>
      </c>
      <c r="T11" s="9">
        <f>SUM(C11:G11)*$D$4*$H$4</f>
        <v>-10.419817110961089</v>
      </c>
      <c r="U11" s="266">
        <f t="shared" si="0"/>
        <v>2.8308879584925997</v>
      </c>
      <c r="V11" s="93">
        <f>(U11+W11*H11)/B11</f>
        <v>3.5313999138399619</v>
      </c>
      <c r="W11" s="9">
        <f t="shared" si="1"/>
        <v>5</v>
      </c>
    </row>
    <row r="12" spans="1:23" x14ac:dyDescent="0.2">
      <c r="A12" s="99">
        <v>6</v>
      </c>
      <c r="B12" s="97">
        <f>C12*B4</f>
        <v>0.9397811880513075</v>
      </c>
      <c r="C12" s="97">
        <f>1/(1-D4*B4*C11)</f>
        <v>1.6731744772719901</v>
      </c>
      <c r="D12" s="93">
        <f>C12*D4*C11</f>
        <v>1.1985112794797876</v>
      </c>
      <c r="E12" s="1">
        <f>D12*D4*C10</f>
        <v>0.82809015557682131</v>
      </c>
      <c r="F12" s="1">
        <f>E12*D4*C9</f>
        <v>0.53901822063063409</v>
      </c>
      <c r="G12" s="1">
        <f>F12*D4*C8</f>
        <v>0.31343015833799243</v>
      </c>
      <c r="H12" s="1">
        <f>G12*D4</f>
        <v>0.13738410302507406</v>
      </c>
      <c r="I12" s="1">
        <f>H12*D4</f>
        <v>6.0218811948691491E-2</v>
      </c>
      <c r="J12" s="1"/>
      <c r="K12" s="1"/>
      <c r="L12" s="1"/>
      <c r="M12" s="262"/>
      <c r="N12" s="97">
        <f>B12+I12</f>
        <v>0.999999999999999</v>
      </c>
      <c r="R12" s="190">
        <f>B12-I12</f>
        <v>0.87956237610261601</v>
      </c>
      <c r="S12" s="93">
        <f>SUM(C12:H12)*$B$4*$F$4</f>
        <v>15.108407238593578</v>
      </c>
      <c r="T12" s="9">
        <f>SUM(C12:H12)*$D$4*$H$4</f>
        <v>-11.880638761402624</v>
      </c>
      <c r="U12" s="266">
        <f t="shared" si="0"/>
        <v>3.2277684771909545</v>
      </c>
      <c r="V12" s="93">
        <f>(U12+W12*I12)/B12</f>
        <v>3.8190606436007495</v>
      </c>
      <c r="W12" s="9">
        <f t="shared" si="1"/>
        <v>6</v>
      </c>
    </row>
    <row r="13" spans="1:23" x14ac:dyDescent="0.2">
      <c r="A13" s="99">
        <v>7</v>
      </c>
      <c r="B13" s="97">
        <f>C13*B4</f>
        <v>0.95511531552048357</v>
      </c>
      <c r="C13" s="97">
        <f>1/(1-D4*B4*C12)</f>
        <v>1.7004751628346171</v>
      </c>
      <c r="D13" s="93">
        <f>C13*D4*C12</f>
        <v>1.247117072909355</v>
      </c>
      <c r="E13" s="1">
        <f>D13*D4*C11</f>
        <v>0.89332218427732069</v>
      </c>
      <c r="F13" s="1">
        <f>E13*D4*C10</f>
        <v>0.61722515192307614</v>
      </c>
      <c r="G13" s="1">
        <f>F13*D4*C9</f>
        <v>0.40176253862878514</v>
      </c>
      <c r="H13" s="1">
        <f>G13*D4*C8</f>
        <v>0.23361825496245059</v>
      </c>
      <c r="I13" s="1">
        <f>H13*D4</f>
        <v>0.10240059405415834</v>
      </c>
      <c r="J13" s="1">
        <f>I13*D4</f>
        <v>4.4884684479515186E-2</v>
      </c>
      <c r="K13" s="1"/>
      <c r="L13" s="1"/>
      <c r="M13" s="262"/>
      <c r="N13" s="97">
        <f>B13+J13</f>
        <v>0.99999999999999878</v>
      </c>
      <c r="R13" s="190">
        <f>B13-J13</f>
        <v>0.91023063104096835</v>
      </c>
      <c r="S13" s="93">
        <f>SUM(C13:I13)*$B$4*$F$4</f>
        <v>16.739583188239855</v>
      </c>
      <c r="T13" s="9">
        <f>SUM(C13:I13)*$D$4*$H$4</f>
        <v>-13.163329379148992</v>
      </c>
      <c r="U13" s="266">
        <f t="shared" si="0"/>
        <v>3.5762538090908631</v>
      </c>
      <c r="V13" s="93">
        <f>(U13+W13*J13)/B13</f>
        <v>4.0732742290153698</v>
      </c>
      <c r="W13" s="9">
        <f t="shared" si="1"/>
        <v>7</v>
      </c>
    </row>
    <row r="14" spans="1:23" x14ac:dyDescent="0.2">
      <c r="A14" s="99">
        <v>8</v>
      </c>
      <c r="B14" s="97">
        <f>C14*B4</f>
        <v>0.96615796279746968</v>
      </c>
      <c r="C14" s="97">
        <f>1/(1-D4*B4*C13)</f>
        <v>1.7201353516320561</v>
      </c>
      <c r="D14" s="93">
        <f>C14*D4*C13</f>
        <v>1.2821198230521123</v>
      </c>
      <c r="E14" s="1">
        <f>D14*D4*C12</f>
        <v>0.94029807420322786</v>
      </c>
      <c r="F14" s="1">
        <f>E14*D4*C11</f>
        <v>0.67354472788942343</v>
      </c>
      <c r="G14" s="1">
        <f>F14*D4*C10</f>
        <v>0.46537380836999176</v>
      </c>
      <c r="H14" s="1">
        <f>G14*D4*C9</f>
        <v>0.30291986980688601</v>
      </c>
      <c r="I14" s="1">
        <f>H14*D4*C8</f>
        <v>0.17614288186068111</v>
      </c>
      <c r="J14" s="1">
        <f>I14*D4</f>
        <v>7.7207732520064756E-2</v>
      </c>
      <c r="K14" s="1">
        <f>J14*D4</f>
        <v>3.3842037202529138E-2</v>
      </c>
      <c r="L14" s="1"/>
      <c r="M14" s="262"/>
      <c r="N14" s="97">
        <f>B14+K14</f>
        <v>0.99999999999999878</v>
      </c>
      <c r="R14" s="190">
        <f>B14-K14</f>
        <v>0.93231592559494059</v>
      </c>
      <c r="S14" s="93">
        <f>SUM(C14:J14)*$B$4*$F$4</f>
        <v>18.162989091895497</v>
      </c>
      <c r="T14" s="9">
        <f>SUM(C14:J14)*$D$4*$H$4</f>
        <v>-14.282638058424091</v>
      </c>
      <c r="U14" s="266">
        <f t="shared" si="0"/>
        <v>3.8803510334714062</v>
      </c>
      <c r="V14" s="93">
        <f>(U14+W14*K14)/B14</f>
        <v>4.296489281185802</v>
      </c>
      <c r="W14" s="9">
        <f t="shared" si="1"/>
        <v>8</v>
      </c>
    </row>
    <row r="15" spans="1:23" x14ac:dyDescent="0.2">
      <c r="A15" s="99">
        <v>9</v>
      </c>
      <c r="B15" s="97">
        <f>C15*B4</f>
        <v>0.97426964059417809</v>
      </c>
      <c r="C15" s="97">
        <f>1/(1-D4*B4*C14)</f>
        <v>1.7345772796360091</v>
      </c>
      <c r="D15" s="93">
        <f>C15*D4*C14</f>
        <v>1.3078320480317578</v>
      </c>
      <c r="E15" s="1">
        <f>D15*D4*C13</f>
        <v>0.97480549563348118</v>
      </c>
      <c r="F15" s="1">
        <f>E15*D4*C12</f>
        <v>0.71491580879303618</v>
      </c>
      <c r="G15" s="1">
        <f>F15*D4*C11</f>
        <v>0.51210120185067975</v>
      </c>
      <c r="H15" s="1">
        <f>G15*D4*C10</f>
        <v>0.35382726151369376</v>
      </c>
      <c r="I15" s="1">
        <f>H15*D4*C9</f>
        <v>0.2303122910317322</v>
      </c>
      <c r="J15" s="1">
        <f>I15*D4*C8</f>
        <v>0.13392277864151855</v>
      </c>
      <c r="K15" s="1">
        <f>J15*D4</f>
        <v>5.8701628828103605E-2</v>
      </c>
      <c r="L15" s="1">
        <f>K15*D4</f>
        <v>2.5730359405820729E-2</v>
      </c>
      <c r="M15" s="262"/>
      <c r="N15" s="97">
        <f>B15+L15</f>
        <v>0.99999999999999878</v>
      </c>
      <c r="R15" s="190">
        <f>B15-L15</f>
        <v>0.9485392811883574</v>
      </c>
      <c r="S15" s="93">
        <f>SUM(C15:K15)*$B$4*$F$4</f>
        <v>19.397708462638654</v>
      </c>
      <c r="T15" s="9">
        <f>SUM(C15:K15)*$D$4*$H$4</f>
        <v>-15.253571300019145</v>
      </c>
      <c r="U15" s="266">
        <f t="shared" si="0"/>
        <v>4.1441371626195096</v>
      </c>
      <c r="V15" s="93">
        <f>(U15+W15*L15)/B15</f>
        <v>4.4912724516421143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0.98031561026202507</v>
      </c>
      <c r="C16" s="145">
        <f>1/(1-D4*B4*C15)</f>
        <v>1.7453414471541717</v>
      </c>
      <c r="D16" s="94">
        <f>C16*D4*C15</f>
        <v>1.3269964350076404</v>
      </c>
      <c r="E16" s="111">
        <f>D16*D4*C14</f>
        <v>1.0005253070598654</v>
      </c>
      <c r="F16" s="111">
        <f>E16*D4*C13</f>
        <v>0.74575139010406755</v>
      </c>
      <c r="G16" s="111">
        <f>F16*D4*C12</f>
        <v>0.54692906492931836</v>
      </c>
      <c r="H16" s="111">
        <f>G16*D4*C11</f>
        <v>0.39177065051929039</v>
      </c>
      <c r="I16" s="111">
        <f>H16*D4*C10</f>
        <v>0.27068699685476999</v>
      </c>
      <c r="J16" s="111">
        <f>I16*D4*C9</f>
        <v>0.17619485319309855</v>
      </c>
      <c r="K16" s="111">
        <f>J16*D4*C8</f>
        <v>0.10245438580914941</v>
      </c>
      <c r="L16" s="111">
        <f>K16*D4</f>
        <v>4.4908262721152115E-2</v>
      </c>
      <c r="M16" s="264">
        <f>L16*D4</f>
        <v>1.9684389737973717E-2</v>
      </c>
      <c r="N16" s="145">
        <f>B16+M16</f>
        <v>0.99999999999999878</v>
      </c>
      <c r="R16" s="191">
        <f>B16-M16</f>
        <v>0.96063122052405137</v>
      </c>
      <c r="S16" s="94">
        <f>SUM(C16:L16)*$B$4*$F$4</f>
        <v>20.462675938148887</v>
      </c>
      <c r="T16" s="10">
        <f>SUM(C16:L16)*$D$4*$H$4</f>
        <v>-16.091018535149257</v>
      </c>
      <c r="U16" s="267">
        <f t="shared" si="0"/>
        <v>4.3716574029996309</v>
      </c>
      <c r="V16" s="94">
        <f>(U16+W16*M16)/B16</f>
        <v>4.6602351860522448</v>
      </c>
      <c r="W16" s="10">
        <f t="shared" si="1"/>
        <v>10</v>
      </c>
    </row>
    <row r="18" spans="1:21" x14ac:dyDescent="0.2">
      <c r="A18" s="356" t="s">
        <v>200</v>
      </c>
      <c r="B18" s="356"/>
      <c r="C18" s="356"/>
      <c r="D18" s="356"/>
      <c r="E18" s="356"/>
      <c r="F18" s="356"/>
      <c r="O18" s="356" t="s">
        <v>201</v>
      </c>
      <c r="P18" s="356"/>
      <c r="Q18" s="356"/>
      <c r="R18" s="356"/>
      <c r="S18" s="356"/>
      <c r="T18" s="356"/>
    </row>
    <row r="19" spans="1:21" ht="17" thickBot="1" x14ac:dyDescent="0.25"/>
    <row r="20" spans="1:21" ht="17" thickBot="1" x14ac:dyDescent="0.25">
      <c r="A20" s="29" t="s">
        <v>135</v>
      </c>
      <c r="B20" s="19" t="s">
        <v>140</v>
      </c>
      <c r="C20" s="19" t="s">
        <v>139</v>
      </c>
      <c r="D20" s="19" t="s">
        <v>138</v>
      </c>
      <c r="E20" s="166" t="s">
        <v>151</v>
      </c>
      <c r="F20" s="168" t="s">
        <v>152</v>
      </c>
      <c r="G20" s="166" t="s">
        <v>47</v>
      </c>
      <c r="O20" s="29" t="s">
        <v>135</v>
      </c>
      <c r="P20" s="118" t="s">
        <v>140</v>
      </c>
      <c r="Q20" s="118" t="s">
        <v>139</v>
      </c>
      <c r="R20" s="118" t="s">
        <v>138</v>
      </c>
      <c r="S20" s="166" t="s">
        <v>151</v>
      </c>
      <c r="T20" s="168" t="s">
        <v>152</v>
      </c>
      <c r="U20" s="293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7</v>
      </c>
      <c r="D21" s="57">
        <f>SUM($C$21:C21)</f>
        <v>7</v>
      </c>
      <c r="E21" s="57">
        <f t="shared" ref="E21:E30" si="3">D21/R7</f>
        <v>56.748585586966584</v>
      </c>
      <c r="F21" s="8">
        <f t="shared" ref="F21:F30" si="4">U7/E21</f>
        <v>1.212860230581515E-2</v>
      </c>
      <c r="G21" s="286">
        <f>E21*U7</f>
        <v>39.058974711950093</v>
      </c>
      <c r="O21" s="101">
        <v>1</v>
      </c>
      <c r="P21" s="109">
        <v>1</v>
      </c>
      <c r="Q21" s="110">
        <f>P21*7+21</f>
        <v>28</v>
      </c>
      <c r="R21" s="57">
        <f>SUM($Q$21)</f>
        <v>28</v>
      </c>
      <c r="S21" s="281">
        <f>R21/R7</f>
        <v>226.99434234786634</v>
      </c>
      <c r="T21" s="8">
        <f>U7/S21</f>
        <v>3.0321505764537874E-3</v>
      </c>
      <c r="U21" s="286">
        <f>S21*U7</f>
        <v>156.23589884780037</v>
      </c>
    </row>
    <row r="22" spans="1:21" x14ac:dyDescent="0.2">
      <c r="A22" s="97">
        <v>2</v>
      </c>
      <c r="B22" s="93">
        <f>C21</f>
        <v>7</v>
      </c>
      <c r="C22" s="1">
        <f t="shared" si="2"/>
        <v>49</v>
      </c>
      <c r="D22" s="9">
        <f>SUM($C$21:C22)</f>
        <v>56</v>
      </c>
      <c r="E22" s="9">
        <f t="shared" si="3"/>
        <v>114.22902058581229</v>
      </c>
      <c r="F22" s="9">
        <f t="shared" si="4"/>
        <v>1.149708769798396E-2</v>
      </c>
      <c r="G22" s="287">
        <f t="shared" ref="G22:G30" si="5">E22*U8</f>
        <v>150.01709465539631</v>
      </c>
      <c r="O22" s="99">
        <v>2</v>
      </c>
      <c r="P22" s="93">
        <f>Q21</f>
        <v>28</v>
      </c>
      <c r="Q22" s="1">
        <f t="shared" ref="Q22:Q30" si="6">P22*7+21</f>
        <v>217</v>
      </c>
      <c r="R22" s="9">
        <f>SUM($Q$21:Q22)</f>
        <v>245</v>
      </c>
      <c r="S22" s="282">
        <f t="shared" ref="S22:S30" si="7">R22/R8</f>
        <v>499.75196506292878</v>
      </c>
      <c r="T22" s="9">
        <f>U8/S22</f>
        <v>2.6279057595391909E-3</v>
      </c>
      <c r="U22" s="287">
        <f t="shared" ref="U22:U30" si="8">S22*U8</f>
        <v>656.32478911735882</v>
      </c>
    </row>
    <row r="23" spans="1:21" x14ac:dyDescent="0.2">
      <c r="A23" s="97">
        <v>3</v>
      </c>
      <c r="B23" s="93">
        <f t="shared" ref="B23:B30" si="9">C22</f>
        <v>49</v>
      </c>
      <c r="C23" s="1">
        <f t="shared" si="2"/>
        <v>343</v>
      </c>
      <c r="D23" s="9">
        <f>SUM($C$21:C23)</f>
        <v>399</v>
      </c>
      <c r="E23" s="9">
        <f t="shared" si="3"/>
        <v>597.13512604694608</v>
      </c>
      <c r="F23" s="9">
        <f t="shared" si="4"/>
        <v>3.1432690589772733E-3</v>
      </c>
      <c r="G23" s="287">
        <f t="shared" si="5"/>
        <v>1120.7965760359118</v>
      </c>
      <c r="O23" s="99">
        <v>3</v>
      </c>
      <c r="P23" s="93">
        <f t="shared" ref="P23:P30" si="10">Q22</f>
        <v>217</v>
      </c>
      <c r="Q23" s="1">
        <f t="shared" si="6"/>
        <v>1540</v>
      </c>
      <c r="R23" s="9">
        <f>SUM($Q$21:Q23)</f>
        <v>1785</v>
      </c>
      <c r="S23" s="282">
        <f t="shared" si="7"/>
        <v>2671.3939849468638</v>
      </c>
      <c r="T23" s="9">
        <f t="shared" ref="T23:T30" si="11">U9/S23</f>
        <v>7.0261308377139058E-4</v>
      </c>
      <c r="U23" s="287">
        <f t="shared" si="8"/>
        <v>5014.0899454238161</v>
      </c>
    </row>
    <row r="24" spans="1:21" x14ac:dyDescent="0.2">
      <c r="A24" s="97">
        <v>4</v>
      </c>
      <c r="B24" s="93">
        <f t="shared" si="9"/>
        <v>343</v>
      </c>
      <c r="C24" s="1">
        <f t="shared" si="2"/>
        <v>2401</v>
      </c>
      <c r="D24" s="9">
        <f>SUM($C$21:C24)</f>
        <v>2800</v>
      </c>
      <c r="E24" s="9">
        <f t="shared" si="3"/>
        <v>3632.8625123910265</v>
      </c>
      <c r="F24" s="9">
        <f t="shared" si="4"/>
        <v>6.55623341473254E-4</v>
      </c>
      <c r="G24" s="287">
        <f t="shared" si="5"/>
        <v>8652.7136397774102</v>
      </c>
      <c r="O24" s="99">
        <v>4</v>
      </c>
      <c r="P24" s="93">
        <f t="shared" si="10"/>
        <v>1540</v>
      </c>
      <c r="Q24" s="1">
        <f t="shared" si="6"/>
        <v>10801</v>
      </c>
      <c r="R24" s="9">
        <f>SUM($Q$21:Q24)</f>
        <v>12586</v>
      </c>
      <c r="S24" s="282">
        <f t="shared" si="7"/>
        <v>16329.716993197664</v>
      </c>
      <c r="T24" s="9">
        <f t="shared" si="11"/>
        <v>1.4585613825878843E-4</v>
      </c>
      <c r="U24" s="287">
        <f t="shared" si="8"/>
        <v>38893.947810799458</v>
      </c>
    </row>
    <row r="25" spans="1:21" x14ac:dyDescent="0.2">
      <c r="A25" s="97">
        <v>5</v>
      </c>
      <c r="B25" s="93">
        <f t="shared" si="9"/>
        <v>2401</v>
      </c>
      <c r="C25" s="1">
        <f t="shared" si="2"/>
        <v>16807</v>
      </c>
      <c r="D25" s="9">
        <f>SUM($C$21:C25)</f>
        <v>19607</v>
      </c>
      <c r="E25" s="9">
        <f t="shared" si="3"/>
        <v>23459.514342143306</v>
      </c>
      <c r="F25" s="9">
        <f t="shared" si="4"/>
        <v>1.2067120901165101E-4</v>
      </c>
      <c r="G25" s="287">
        <f t="shared" si="5"/>
        <v>66411.256663257926</v>
      </c>
      <c r="O25" s="99">
        <v>5</v>
      </c>
      <c r="P25" s="93">
        <f t="shared" si="10"/>
        <v>10801</v>
      </c>
      <c r="Q25" s="1">
        <f t="shared" si="6"/>
        <v>75628</v>
      </c>
      <c r="R25" s="9">
        <f>SUM($Q$21:Q25)</f>
        <v>88214</v>
      </c>
      <c r="S25" s="282">
        <f t="shared" si="7"/>
        <v>105546.87602273829</v>
      </c>
      <c r="T25" s="9">
        <f t="shared" si="11"/>
        <v>2.6821143980450287E-5</v>
      </c>
      <c r="U25" s="287">
        <f t="shared" si="8"/>
        <v>298791.38038928108</v>
      </c>
    </row>
    <row r="26" spans="1:21" x14ac:dyDescent="0.2">
      <c r="A26" s="97">
        <v>6</v>
      </c>
      <c r="B26" s="93">
        <f t="shared" si="9"/>
        <v>16807</v>
      </c>
      <c r="C26" s="1">
        <f t="shared" si="2"/>
        <v>117649</v>
      </c>
      <c r="D26" s="9">
        <f>SUM($C$21:C26)</f>
        <v>137256</v>
      </c>
      <c r="E26" s="9">
        <f t="shared" si="3"/>
        <v>156050.33108417856</v>
      </c>
      <c r="F26" s="9">
        <f t="shared" si="4"/>
        <v>2.0684150137751343E-5</v>
      </c>
      <c r="G26" s="287">
        <f t="shared" si="5"/>
        <v>503694.33952872327</v>
      </c>
      <c r="O26" s="99">
        <v>6</v>
      </c>
      <c r="P26" s="93">
        <f t="shared" si="10"/>
        <v>75628</v>
      </c>
      <c r="Q26" s="1">
        <f t="shared" si="6"/>
        <v>529417</v>
      </c>
      <c r="R26" s="9">
        <f>SUM($Q$21:Q26)</f>
        <v>617631</v>
      </c>
      <c r="S26" s="282">
        <f t="shared" si="7"/>
        <v>702202.61436915165</v>
      </c>
      <c r="T26" s="9">
        <f t="shared" si="11"/>
        <v>4.596634092698065E-6</v>
      </c>
      <c r="U26" s="287">
        <f t="shared" si="8"/>
        <v>2266547.4632618236</v>
      </c>
    </row>
    <row r="27" spans="1:21" x14ac:dyDescent="0.2">
      <c r="A27" s="97">
        <v>7</v>
      </c>
      <c r="B27" s="93">
        <f t="shared" si="9"/>
        <v>117649</v>
      </c>
      <c r="C27" s="1">
        <f t="shared" si="2"/>
        <v>823543</v>
      </c>
      <c r="D27" s="9">
        <f>SUM($C$21:C27)</f>
        <v>960799</v>
      </c>
      <c r="E27" s="9">
        <f t="shared" si="3"/>
        <v>1055555.5561794268</v>
      </c>
      <c r="F27" s="9">
        <f t="shared" si="4"/>
        <v>3.388029922399423E-6</v>
      </c>
      <c r="G27" s="287">
        <f t="shared" si="5"/>
        <v>3774934.5784936999</v>
      </c>
      <c r="O27" s="99">
        <v>7</v>
      </c>
      <c r="P27" s="93">
        <f t="shared" si="10"/>
        <v>529417</v>
      </c>
      <c r="Q27" s="1">
        <f t="shared" si="6"/>
        <v>3705940</v>
      </c>
      <c r="R27" s="9">
        <f>SUM($Q$21:Q27)</f>
        <v>4323571</v>
      </c>
      <c r="S27" s="282">
        <f t="shared" si="7"/>
        <v>4749973.086552172</v>
      </c>
      <c r="T27" s="9">
        <f t="shared" si="11"/>
        <v>7.5289980467799498E-7</v>
      </c>
      <c r="U27" s="287">
        <f t="shared" si="8"/>
        <v>16987109.343861289</v>
      </c>
    </row>
    <row r="28" spans="1:21" x14ac:dyDescent="0.2">
      <c r="A28" s="97">
        <v>8</v>
      </c>
      <c r="B28" s="93">
        <f t="shared" si="9"/>
        <v>823543</v>
      </c>
      <c r="C28" s="1">
        <f t="shared" si="2"/>
        <v>5764801</v>
      </c>
      <c r="D28" s="9">
        <f>SUM($C$21:C28)</f>
        <v>6725600</v>
      </c>
      <c r="E28" s="9">
        <f t="shared" si="3"/>
        <v>7213863.6865053866</v>
      </c>
      <c r="F28" s="9">
        <f t="shared" si="4"/>
        <v>5.3790190695316077E-7</v>
      </c>
      <c r="G28" s="287">
        <f t="shared" si="5"/>
        <v>27992323.411253024</v>
      </c>
      <c r="O28" s="99">
        <v>8</v>
      </c>
      <c r="P28" s="93">
        <f t="shared" si="10"/>
        <v>3705940</v>
      </c>
      <c r="Q28" s="1">
        <f t="shared" si="6"/>
        <v>25941601</v>
      </c>
      <c r="R28" s="9">
        <f>SUM($Q$21:Q28)</f>
        <v>30265172</v>
      </c>
      <c r="S28" s="282">
        <f t="shared" si="7"/>
        <v>32462356.55653616</v>
      </c>
      <c r="T28" s="9">
        <f t="shared" si="11"/>
        <v>1.195338676880534E-7</v>
      </c>
      <c r="U28" s="287">
        <f t="shared" si="8"/>
        <v>125965338.81307237</v>
      </c>
    </row>
    <row r="29" spans="1:21" x14ac:dyDescent="0.2">
      <c r="A29" s="97">
        <v>9</v>
      </c>
      <c r="B29" s="93">
        <f t="shared" si="9"/>
        <v>5764801</v>
      </c>
      <c r="C29" s="1">
        <f t="shared" si="2"/>
        <v>40353607</v>
      </c>
      <c r="D29" s="9">
        <f>SUM($C$21:C29)</f>
        <v>47079207</v>
      </c>
      <c r="E29" s="9">
        <f t="shared" si="3"/>
        <v>49633376.217185028</v>
      </c>
      <c r="F29" s="9">
        <f t="shared" si="4"/>
        <v>8.3494968073210511E-8</v>
      </c>
      <c r="G29" s="287">
        <f t="shared" si="5"/>
        <v>205687518.8879118</v>
      </c>
      <c r="O29" s="99">
        <v>9</v>
      </c>
      <c r="P29" s="93">
        <f t="shared" si="10"/>
        <v>25941601</v>
      </c>
      <c r="Q29" s="1">
        <f t="shared" si="6"/>
        <v>181591228</v>
      </c>
      <c r="R29" s="9">
        <f>SUM($Q$21:Q29)</f>
        <v>211856400</v>
      </c>
      <c r="S29" s="282">
        <f t="shared" si="7"/>
        <v>223350159.76837584</v>
      </c>
      <c r="T29" s="9">
        <f t="shared" si="11"/>
        <v>1.855444010838034E-8</v>
      </c>
      <c r="U29" s="287">
        <f t="shared" si="8"/>
        <v>925593697.37313116</v>
      </c>
    </row>
    <row r="30" spans="1:21" ht="17" thickBot="1" x14ac:dyDescent="0.25">
      <c r="A30" s="145">
        <v>10</v>
      </c>
      <c r="B30" s="94">
        <f t="shared" si="9"/>
        <v>40353607</v>
      </c>
      <c r="C30" s="111">
        <f t="shared" si="2"/>
        <v>282475249</v>
      </c>
      <c r="D30" s="10">
        <f>SUM($C$21:C30)</f>
        <v>329554456</v>
      </c>
      <c r="E30" s="10">
        <f t="shared" si="3"/>
        <v>343060322.17047739</v>
      </c>
      <c r="F30" s="10">
        <f t="shared" si="4"/>
        <v>1.2743115774336671E-8</v>
      </c>
      <c r="G30" s="288">
        <f t="shared" si="5"/>
        <v>1499742197.092006</v>
      </c>
      <c r="O30" s="100">
        <v>10</v>
      </c>
      <c r="P30" s="94">
        <f t="shared" si="10"/>
        <v>181591228</v>
      </c>
      <c r="Q30" s="111">
        <f t="shared" si="6"/>
        <v>1271138617</v>
      </c>
      <c r="R30" s="10">
        <f>SUM($Q$21:Q30)</f>
        <v>1482995017</v>
      </c>
      <c r="S30" s="283">
        <f t="shared" si="7"/>
        <v>1543771413.3327715</v>
      </c>
      <c r="T30" s="10">
        <f t="shared" si="11"/>
        <v>2.8318035722412273E-9</v>
      </c>
      <c r="U30" s="288">
        <f t="shared" si="8"/>
        <v>6748839727.6354141</v>
      </c>
    </row>
    <row r="31" spans="1:21" ht="17" thickBot="1" x14ac:dyDescent="0.25"/>
    <row r="32" spans="1:21" ht="17" thickBot="1" x14ac:dyDescent="0.25">
      <c r="A32" s="117" t="s">
        <v>135</v>
      </c>
      <c r="B32" s="118" t="s">
        <v>140</v>
      </c>
      <c r="C32" s="118" t="s">
        <v>139</v>
      </c>
      <c r="D32" s="170" t="s">
        <v>138</v>
      </c>
      <c r="E32" s="166" t="s">
        <v>151</v>
      </c>
      <c r="F32" s="168" t="s">
        <v>152</v>
      </c>
      <c r="G32" s="290" t="s">
        <v>47</v>
      </c>
      <c r="O32" s="29" t="s">
        <v>135</v>
      </c>
      <c r="P32" s="118" t="s">
        <v>140</v>
      </c>
      <c r="Q32" s="118" t="s">
        <v>139</v>
      </c>
      <c r="R32" s="118" t="s">
        <v>138</v>
      </c>
      <c r="S32" s="166" t="s">
        <v>151</v>
      </c>
      <c r="T32" s="168" t="s">
        <v>152</v>
      </c>
      <c r="U32" s="294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7</v>
      </c>
      <c r="D33" s="57">
        <f>SUM($C$33:C33)</f>
        <v>7</v>
      </c>
      <c r="E33" s="9">
        <f t="shared" ref="E33:E42" si="13">D33/R7</f>
        <v>56.748585586966584</v>
      </c>
      <c r="F33" s="8">
        <f t="shared" ref="F33:F42" si="14">U7/E33</f>
        <v>1.212860230581515E-2</v>
      </c>
      <c r="G33" s="289">
        <f>E33*U7</f>
        <v>39.058974711950093</v>
      </c>
      <c r="O33" s="101">
        <v>1</v>
      </c>
      <c r="P33" s="109">
        <v>1</v>
      </c>
      <c r="Q33" s="110">
        <f>P33*7+21</f>
        <v>28</v>
      </c>
      <c r="R33" s="57">
        <f>SUM($Q$21)</f>
        <v>28</v>
      </c>
      <c r="S33" s="281">
        <f>R33/R7</f>
        <v>226.99434234786634</v>
      </c>
      <c r="T33" s="8">
        <f>U7/S33</f>
        <v>3.0321505764537874E-3</v>
      </c>
      <c r="U33" s="289">
        <f>S33*U7</f>
        <v>156.23589884780037</v>
      </c>
    </row>
    <row r="34" spans="1:21" x14ac:dyDescent="0.2">
      <c r="A34" s="97">
        <v>2</v>
      </c>
      <c r="B34" s="93">
        <f t="shared" ref="B34:B42" si="15">B33*($O$2+1)</f>
        <v>8</v>
      </c>
      <c r="C34" s="1">
        <f t="shared" si="12"/>
        <v>56</v>
      </c>
      <c r="D34" s="9">
        <f>SUM($C$33:C34)</f>
        <v>63</v>
      </c>
      <c r="E34" s="9">
        <f t="shared" si="13"/>
        <v>128.50764815903884</v>
      </c>
      <c r="F34" s="9">
        <f t="shared" si="14"/>
        <v>1.0219633509319075E-2</v>
      </c>
      <c r="G34" s="287">
        <f t="shared" ref="G34:G42" si="16">E34*U8</f>
        <v>168.76923148732084</v>
      </c>
      <c r="O34" s="99">
        <v>2</v>
      </c>
      <c r="P34" s="93">
        <f>Q33+1</f>
        <v>29</v>
      </c>
      <c r="Q34" s="1">
        <f t="shared" ref="Q34:Q42" si="17">P34*7+21</f>
        <v>224</v>
      </c>
      <c r="R34" s="9">
        <f>SUM($Q$33:Q34)</f>
        <v>252</v>
      </c>
      <c r="S34" s="282">
        <f>R34/R8</f>
        <v>514.03059263615535</v>
      </c>
      <c r="T34" s="9">
        <f t="shared" ref="T34:T42" si="18">U8/S34</f>
        <v>2.5549083773297688E-3</v>
      </c>
      <c r="U34" s="287">
        <f t="shared" ref="U34:U42" si="19">S34*U8</f>
        <v>675.07692594928335</v>
      </c>
    </row>
    <row r="35" spans="1:21" x14ac:dyDescent="0.2">
      <c r="A35" s="97">
        <v>3</v>
      </c>
      <c r="B35" s="93">
        <f t="shared" si="15"/>
        <v>64</v>
      </c>
      <c r="C35" s="1">
        <f t="shared" si="12"/>
        <v>448</v>
      </c>
      <c r="D35" s="9">
        <f>SUM($C$33:C35)</f>
        <v>511</v>
      </c>
      <c r="E35" s="9">
        <f t="shared" si="13"/>
        <v>764.75200353380808</v>
      </c>
      <c r="F35" s="9">
        <f t="shared" si="14"/>
        <v>2.4543333748178711E-3</v>
      </c>
      <c r="G35" s="287">
        <f t="shared" si="16"/>
        <v>1435.4061412389747</v>
      </c>
      <c r="O35" s="99">
        <v>3</v>
      </c>
      <c r="P35" s="93">
        <f t="shared" ref="P35:P42" si="20">Q34+1</f>
        <v>225</v>
      </c>
      <c r="Q35" s="1">
        <f t="shared" si="17"/>
        <v>1596</v>
      </c>
      <c r="R35" s="9">
        <f>SUM($Q$33:Q35)</f>
        <v>1848</v>
      </c>
      <c r="S35" s="282">
        <f t="shared" ref="S35:S42" si="21">R35/R9</f>
        <v>2765.6784785332238</v>
      </c>
      <c r="T35" s="9">
        <f t="shared" si="18"/>
        <v>6.7866036500645679E-4</v>
      </c>
      <c r="U35" s="287">
        <f t="shared" si="19"/>
        <v>5191.0578258505393</v>
      </c>
    </row>
    <row r="36" spans="1:21" x14ac:dyDescent="0.2">
      <c r="A36" s="97">
        <v>4</v>
      </c>
      <c r="B36" s="93">
        <f t="shared" si="15"/>
        <v>512</v>
      </c>
      <c r="C36" s="1">
        <f t="shared" si="12"/>
        <v>3584</v>
      </c>
      <c r="D36" s="9">
        <f>SUM($C$33:C36)</f>
        <v>4095</v>
      </c>
      <c r="E36" s="9">
        <f t="shared" si="13"/>
        <v>5313.0614243718765</v>
      </c>
      <c r="F36" s="9">
        <f t="shared" si="14"/>
        <v>4.482894642552164E-4</v>
      </c>
      <c r="G36" s="287">
        <f t="shared" si="16"/>
        <v>12654.593698174463</v>
      </c>
      <c r="O36" s="99">
        <v>4</v>
      </c>
      <c r="P36" s="93">
        <f t="shared" si="20"/>
        <v>1597</v>
      </c>
      <c r="Q36" s="1">
        <f t="shared" si="17"/>
        <v>11200</v>
      </c>
      <c r="R36" s="9">
        <f>SUM($Q$33:Q36)</f>
        <v>13048</v>
      </c>
      <c r="S36" s="282">
        <f t="shared" si="21"/>
        <v>16929.139307742182</v>
      </c>
      <c r="T36" s="9">
        <f t="shared" si="18"/>
        <v>1.4069170417880988E-4</v>
      </c>
      <c r="U36" s="287">
        <f t="shared" si="19"/>
        <v>40321.645561362726</v>
      </c>
    </row>
    <row r="37" spans="1:21" x14ac:dyDescent="0.2">
      <c r="A37" s="97">
        <v>5</v>
      </c>
      <c r="B37" s="93">
        <f t="shared" si="15"/>
        <v>4096</v>
      </c>
      <c r="C37" s="1">
        <f t="shared" si="12"/>
        <v>28672</v>
      </c>
      <c r="D37" s="9">
        <f>SUM($C$33:C37)</f>
        <v>32767</v>
      </c>
      <c r="E37" s="9">
        <f t="shared" si="13"/>
        <v>39205.2790558989</v>
      </c>
      <c r="F37" s="9">
        <f t="shared" si="14"/>
        <v>7.220680547781126E-5</v>
      </c>
      <c r="G37" s="287">
        <f t="shared" si="16"/>
        <v>110985.75238868631</v>
      </c>
      <c r="O37" s="99">
        <v>5</v>
      </c>
      <c r="P37" s="93">
        <f t="shared" si="20"/>
        <v>11201</v>
      </c>
      <c r="Q37" s="1">
        <f t="shared" si="17"/>
        <v>78428</v>
      </c>
      <c r="R37" s="9">
        <f>SUM($Q$33:Q37)</f>
        <v>91476</v>
      </c>
      <c r="S37" s="282">
        <f t="shared" si="21"/>
        <v>109449.81557412665</v>
      </c>
      <c r="T37" s="9">
        <f t="shared" si="18"/>
        <v>2.5864712001961623E-5</v>
      </c>
      <c r="U37" s="287">
        <f t="shared" si="19"/>
        <v>309840.16496803093</v>
      </c>
    </row>
    <row r="38" spans="1:21" x14ac:dyDescent="0.2">
      <c r="A38" s="97">
        <v>6</v>
      </c>
      <c r="B38" s="93">
        <f t="shared" si="15"/>
        <v>32768</v>
      </c>
      <c r="C38" s="1">
        <f t="shared" si="12"/>
        <v>229376</v>
      </c>
      <c r="D38" s="9">
        <f>SUM($C$33:C38)</f>
        <v>262143</v>
      </c>
      <c r="E38" s="9">
        <f t="shared" si="13"/>
        <v>298037.98698344565</v>
      </c>
      <c r="F38" s="9">
        <f t="shared" si="14"/>
        <v>1.0830057301958086E-5</v>
      </c>
      <c r="G38" s="287">
        <f t="shared" si="16"/>
        <v>961997.61939061387</v>
      </c>
      <c r="O38" s="99">
        <v>6</v>
      </c>
      <c r="P38" s="93">
        <f t="shared" si="20"/>
        <v>78429</v>
      </c>
      <c r="Q38" s="1">
        <f t="shared" si="17"/>
        <v>549024</v>
      </c>
      <c r="R38" s="9">
        <f>SUM($Q$33:Q38)</f>
        <v>640500</v>
      </c>
      <c r="S38" s="282">
        <f t="shared" si="21"/>
        <v>728203.04437996412</v>
      </c>
      <c r="T38" s="9">
        <f t="shared" si="18"/>
        <v>4.4325116491915672E-6</v>
      </c>
      <c r="U38" s="287">
        <f t="shared" si="19"/>
        <v>2350470.8316441337</v>
      </c>
    </row>
    <row r="39" spans="1:21" x14ac:dyDescent="0.2">
      <c r="A39" s="97">
        <v>7</v>
      </c>
      <c r="B39" s="93">
        <f t="shared" si="15"/>
        <v>262144</v>
      </c>
      <c r="C39" s="1">
        <f t="shared" si="12"/>
        <v>1835008</v>
      </c>
      <c r="D39" s="9">
        <f>SUM($C$33:C39)</f>
        <v>2097151</v>
      </c>
      <c r="E39" s="9">
        <f t="shared" si="13"/>
        <v>2303977.6167515172</v>
      </c>
      <c r="F39" s="9">
        <f t="shared" si="14"/>
        <v>1.5522085731601794E-6</v>
      </c>
      <c r="G39" s="287">
        <f t="shared" si="16"/>
        <v>8239608.7279677019</v>
      </c>
      <c r="O39" s="99">
        <v>7</v>
      </c>
      <c r="P39" s="93">
        <f t="shared" si="20"/>
        <v>549025</v>
      </c>
      <c r="Q39" s="1">
        <f t="shared" si="17"/>
        <v>3843196</v>
      </c>
      <c r="R39" s="9">
        <f>SUM($Q$33:Q39)</f>
        <v>4483696</v>
      </c>
      <c r="S39" s="282">
        <f t="shared" si="21"/>
        <v>4925890.0404969938</v>
      </c>
      <c r="T39" s="9">
        <f t="shared" si="18"/>
        <v>7.2601170137570507E-7</v>
      </c>
      <c r="U39" s="287">
        <f t="shared" si="19"/>
        <v>17616233.020490121</v>
      </c>
    </row>
    <row r="40" spans="1:21" x14ac:dyDescent="0.2">
      <c r="A40" s="97">
        <v>8</v>
      </c>
      <c r="B40" s="93">
        <f t="shared" si="15"/>
        <v>2097152</v>
      </c>
      <c r="C40" s="1">
        <f t="shared" si="12"/>
        <v>14680064</v>
      </c>
      <c r="D40" s="9">
        <f>SUM($C$33:C40)</f>
        <v>16777215</v>
      </c>
      <c r="E40" s="9">
        <f t="shared" si="13"/>
        <v>17995203.706612565</v>
      </c>
      <c r="F40" s="9">
        <f t="shared" si="14"/>
        <v>2.1563251501540504E-7</v>
      </c>
      <c r="G40" s="287">
        <f t="shared" si="16"/>
        <v>69827707.300482541</v>
      </c>
      <c r="O40" s="99">
        <v>8</v>
      </c>
      <c r="P40" s="93">
        <f t="shared" si="20"/>
        <v>3843197</v>
      </c>
      <c r="Q40" s="1">
        <f t="shared" si="17"/>
        <v>26902400</v>
      </c>
      <c r="R40" s="9">
        <f>SUM($Q$33:Q40)</f>
        <v>31386096</v>
      </c>
      <c r="S40" s="282">
        <f t="shared" si="21"/>
        <v>33664657.160041034</v>
      </c>
      <c r="T40" s="9">
        <f t="shared" si="18"/>
        <v>1.1526483145288851E-7</v>
      </c>
      <c r="U40" s="287">
        <f t="shared" si="19"/>
        <v>130630687.20242581</v>
      </c>
    </row>
    <row r="41" spans="1:21" x14ac:dyDescent="0.2">
      <c r="A41" s="97">
        <v>9</v>
      </c>
      <c r="B41" s="93">
        <f t="shared" si="15"/>
        <v>16777216</v>
      </c>
      <c r="C41" s="1">
        <f t="shared" si="12"/>
        <v>117440512</v>
      </c>
      <c r="D41" s="9">
        <f>SUM($C$33:C41)</f>
        <v>134217727</v>
      </c>
      <c r="E41" s="9">
        <f t="shared" si="13"/>
        <v>141499387.17545587</v>
      </c>
      <c r="F41" s="9">
        <f t="shared" si="14"/>
        <v>2.9287315269294264E-8</v>
      </c>
      <c r="G41" s="287">
        <f t="shared" si="16"/>
        <v>586392868.88169312</v>
      </c>
      <c r="O41" s="99">
        <v>9</v>
      </c>
      <c r="P41" s="93">
        <f t="shared" si="20"/>
        <v>26902401</v>
      </c>
      <c r="Q41" s="1">
        <f t="shared" si="17"/>
        <v>188316828</v>
      </c>
      <c r="R41" s="9">
        <f>SUM($Q$33:Q41)</f>
        <v>219702924</v>
      </c>
      <c r="S41" s="282">
        <f t="shared" si="21"/>
        <v>231622378.06825441</v>
      </c>
      <c r="T41" s="9">
        <f t="shared" si="18"/>
        <v>1.7891782293152679E-8</v>
      </c>
      <c r="U41" s="287">
        <f t="shared" si="19"/>
        <v>959874904.64695919</v>
      </c>
    </row>
    <row r="42" spans="1:21" ht="17" thickBot="1" x14ac:dyDescent="0.25">
      <c r="A42" s="145">
        <v>10</v>
      </c>
      <c r="B42" s="94">
        <f t="shared" si="15"/>
        <v>134217728</v>
      </c>
      <c r="C42" s="111">
        <f t="shared" si="12"/>
        <v>939524096</v>
      </c>
      <c r="D42" s="10">
        <f>SUM($C$33:C42)</f>
        <v>1073741823</v>
      </c>
      <c r="E42" s="9">
        <f t="shared" si="13"/>
        <v>1117746123.6521583</v>
      </c>
      <c r="F42" s="10">
        <f t="shared" si="14"/>
        <v>3.9111362683285736E-9</v>
      </c>
      <c r="G42" s="288">
        <f t="shared" si="16"/>
        <v>4886403116.1380987</v>
      </c>
      <c r="O42" s="100">
        <v>10</v>
      </c>
      <c r="P42" s="94">
        <f t="shared" si="20"/>
        <v>188316829</v>
      </c>
      <c r="Q42" s="111">
        <f t="shared" si="17"/>
        <v>1318217824</v>
      </c>
      <c r="R42" s="10">
        <f>SUM($Q$33:Q42)</f>
        <v>1537920748</v>
      </c>
      <c r="S42" s="283">
        <f t="shared" si="21"/>
        <v>1600948121.5497253</v>
      </c>
      <c r="T42" s="10">
        <f t="shared" si="18"/>
        <v>2.7306677487886653E-9</v>
      </c>
      <c r="U42" s="288">
        <f t="shared" si="19"/>
        <v>6998796707.3912096</v>
      </c>
    </row>
    <row r="43" spans="1:21" ht="17" thickBot="1" x14ac:dyDescent="0.25">
      <c r="U43" s="285"/>
    </row>
    <row r="44" spans="1:21" ht="17" thickBot="1" x14ac:dyDescent="0.25">
      <c r="A44" s="117" t="s">
        <v>135</v>
      </c>
      <c r="B44" s="118" t="s">
        <v>140</v>
      </c>
      <c r="C44" s="118" t="s">
        <v>139</v>
      </c>
      <c r="D44" s="170" t="s">
        <v>138</v>
      </c>
      <c r="E44" s="166" t="s">
        <v>151</v>
      </c>
      <c r="F44" s="168" t="s">
        <v>152</v>
      </c>
      <c r="G44" s="290" t="s">
        <v>47</v>
      </c>
      <c r="O44" s="29" t="s">
        <v>135</v>
      </c>
      <c r="P44" s="118" t="s">
        <v>140</v>
      </c>
      <c r="Q44" s="118" t="s">
        <v>139</v>
      </c>
      <c r="R44" s="118" t="s">
        <v>138</v>
      </c>
      <c r="S44" s="166" t="s">
        <v>151</v>
      </c>
      <c r="T44" s="168" t="s">
        <v>152</v>
      </c>
      <c r="U44" s="294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7</v>
      </c>
      <c r="D45" s="57">
        <f>SUM(C45:C45)</f>
        <v>7</v>
      </c>
      <c r="E45" s="57">
        <f t="shared" ref="E45:E54" si="23">D45/R7</f>
        <v>56.748585586966584</v>
      </c>
      <c r="F45" s="8">
        <f t="shared" ref="F45:F54" si="24">U7/E45</f>
        <v>1.212860230581515E-2</v>
      </c>
      <c r="G45" s="286">
        <f>E45*U7</f>
        <v>39.058974711950093</v>
      </c>
      <c r="O45" s="101">
        <v>1</v>
      </c>
      <c r="P45" s="109">
        <v>1</v>
      </c>
      <c r="Q45" s="110">
        <f>P45*7+21</f>
        <v>28</v>
      </c>
      <c r="R45" s="57">
        <f>SUM($Q$21)</f>
        <v>28</v>
      </c>
      <c r="S45" s="281">
        <f>R45/R7</f>
        <v>226.99434234786634</v>
      </c>
      <c r="T45" s="8">
        <f>U7/S45</f>
        <v>3.0321505764537874E-3</v>
      </c>
      <c r="U45" s="289">
        <f>S45*U7</f>
        <v>156.23589884780037</v>
      </c>
    </row>
    <row r="46" spans="1:21" x14ac:dyDescent="0.2">
      <c r="A46" s="97">
        <v>2</v>
      </c>
      <c r="B46" s="93">
        <f t="shared" ref="B46:B54" si="25">B45*$O$2*2</f>
        <v>14</v>
      </c>
      <c r="C46" s="1">
        <f t="shared" si="22"/>
        <v>98</v>
      </c>
      <c r="D46" s="9">
        <f>SUM($C$45:C46)</f>
        <v>105</v>
      </c>
      <c r="E46" s="9">
        <f t="shared" si="23"/>
        <v>214.17941359839804</v>
      </c>
      <c r="F46" s="9">
        <f t="shared" si="24"/>
        <v>6.1317801055914452E-3</v>
      </c>
      <c r="G46" s="287">
        <f t="shared" ref="G46:G54" si="26">E46*U8</f>
        <v>281.28205247886802</v>
      </c>
      <c r="O46" s="99">
        <v>2</v>
      </c>
      <c r="P46" s="93">
        <f>Q45*2</f>
        <v>56</v>
      </c>
      <c r="Q46" s="1">
        <f t="shared" ref="Q46:Q54" si="27">P46*7+21</f>
        <v>413</v>
      </c>
      <c r="R46" s="9">
        <f>SUM($Q$45:Q46)</f>
        <v>441</v>
      </c>
      <c r="S46" s="282">
        <f t="shared" ref="S46:S54" si="28">R46/R8</f>
        <v>899.55353711327177</v>
      </c>
      <c r="T46" s="9">
        <f t="shared" ref="T46:T54" si="29">U8/S46</f>
        <v>1.4599476441884394E-3</v>
      </c>
      <c r="U46" s="287">
        <f t="shared" ref="U46:U54" si="30">S46*U8</f>
        <v>1181.3846204112458</v>
      </c>
    </row>
    <row r="47" spans="1:21" x14ac:dyDescent="0.2">
      <c r="A47" s="97">
        <v>3</v>
      </c>
      <c r="B47" s="93">
        <f t="shared" si="25"/>
        <v>196</v>
      </c>
      <c r="C47" s="1">
        <f t="shared" si="22"/>
        <v>1372</v>
      </c>
      <c r="D47" s="9">
        <f>SUM($C$45:C47)</f>
        <v>1477</v>
      </c>
      <c r="E47" s="9">
        <f t="shared" si="23"/>
        <v>2210.4475718579934</v>
      </c>
      <c r="F47" s="9">
        <f t="shared" si="24"/>
        <v>8.4912955621660945E-4</v>
      </c>
      <c r="G47" s="287">
        <f t="shared" si="26"/>
        <v>4148.9136411153931</v>
      </c>
      <c r="O47" s="99">
        <v>3</v>
      </c>
      <c r="P47" s="93">
        <f t="shared" ref="P47:P54" si="31">Q46*2</f>
        <v>826</v>
      </c>
      <c r="Q47" s="1">
        <f t="shared" si="27"/>
        <v>5803</v>
      </c>
      <c r="R47" s="9">
        <f>SUM($Q$45:Q47)</f>
        <v>6244</v>
      </c>
      <c r="S47" s="282">
        <f t="shared" si="28"/>
        <v>9344.6409198925594</v>
      </c>
      <c r="T47" s="9">
        <f t="shared" si="29"/>
        <v>2.0085912148173161E-4</v>
      </c>
      <c r="U47" s="287">
        <f t="shared" si="30"/>
        <v>17539.48326007076</v>
      </c>
    </row>
    <row r="48" spans="1:21" x14ac:dyDescent="0.2">
      <c r="A48" s="97">
        <v>4</v>
      </c>
      <c r="B48" s="93">
        <f t="shared" si="25"/>
        <v>2744</v>
      </c>
      <c r="C48" s="1">
        <f t="shared" si="22"/>
        <v>19208</v>
      </c>
      <c r="D48" s="9">
        <f>SUM($C$45:C48)</f>
        <v>20685</v>
      </c>
      <c r="E48" s="9">
        <f t="shared" si="23"/>
        <v>26837.771810288708</v>
      </c>
      <c r="F48" s="9">
        <f t="shared" si="24"/>
        <v>8.8747660436311877E-5</v>
      </c>
      <c r="G48" s="287">
        <f t="shared" si="26"/>
        <v>63921.922013855619</v>
      </c>
      <c r="O48" s="99">
        <v>4</v>
      </c>
      <c r="P48" s="93">
        <f t="shared" si="31"/>
        <v>11606</v>
      </c>
      <c r="Q48" s="1">
        <f t="shared" si="27"/>
        <v>81263</v>
      </c>
      <c r="R48" s="9">
        <f>SUM($Q$45:Q48)</f>
        <v>87507</v>
      </c>
      <c r="S48" s="282">
        <f t="shared" si="28"/>
        <v>113536.03566850055</v>
      </c>
      <c r="T48" s="9">
        <f t="shared" si="29"/>
        <v>2.0978268665650878E-5</v>
      </c>
      <c r="U48" s="287">
        <f t="shared" si="30"/>
        <v>270418.93302714353</v>
      </c>
    </row>
    <row r="49" spans="1:21" x14ac:dyDescent="0.2">
      <c r="A49" s="97">
        <v>5</v>
      </c>
      <c r="B49" s="93">
        <f t="shared" si="25"/>
        <v>38416</v>
      </c>
      <c r="C49" s="1">
        <f t="shared" si="22"/>
        <v>268912</v>
      </c>
      <c r="D49" s="9">
        <f>SUM($C$45:C49)</f>
        <v>289597</v>
      </c>
      <c r="E49" s="9">
        <f t="shared" si="23"/>
        <v>346498.95317701204</v>
      </c>
      <c r="F49" s="9">
        <f t="shared" si="24"/>
        <v>8.1699755007525678E-6</v>
      </c>
      <c r="G49" s="287">
        <f t="shared" si="26"/>
        <v>980899.71417909453</v>
      </c>
      <c r="O49" s="99">
        <v>5</v>
      </c>
      <c r="P49" s="93">
        <f t="shared" si="31"/>
        <v>162526</v>
      </c>
      <c r="Q49" s="1">
        <f t="shared" si="27"/>
        <v>1137703</v>
      </c>
      <c r="R49" s="9">
        <f>SUM($Q$45:Q49)</f>
        <v>1225210</v>
      </c>
      <c r="S49" s="282">
        <f t="shared" si="28"/>
        <v>1465947.4456641711</v>
      </c>
      <c r="T49" s="9">
        <f t="shared" si="29"/>
        <v>1.9310978486067215E-6</v>
      </c>
      <c r="U49" s="287">
        <f t="shared" si="30"/>
        <v>4149932.9717136864</v>
      </c>
    </row>
    <row r="50" spans="1:21" x14ac:dyDescent="0.2">
      <c r="A50" s="97">
        <v>6</v>
      </c>
      <c r="B50" s="93">
        <f t="shared" si="25"/>
        <v>537824</v>
      </c>
      <c r="C50" s="1">
        <f t="shared" si="22"/>
        <v>3764768</v>
      </c>
      <c r="D50" s="9">
        <f>SUM($C$45:C50)</f>
        <v>4054365</v>
      </c>
      <c r="E50" s="9">
        <f t="shared" si="23"/>
        <v>4609525.2709251726</v>
      </c>
      <c r="F50" s="9">
        <f t="shared" si="24"/>
        <v>7.0023880713926814E-7</v>
      </c>
      <c r="G50" s="287">
        <f t="shared" si="26"/>
        <v>14878480.364307366</v>
      </c>
      <c r="O50" s="99">
        <v>6</v>
      </c>
      <c r="P50" s="93">
        <f t="shared" si="31"/>
        <v>2275406</v>
      </c>
      <c r="Q50" s="1">
        <f t="shared" si="27"/>
        <v>15927863</v>
      </c>
      <c r="R50" s="9">
        <f>SUM($Q$45:Q50)</f>
        <v>17153073</v>
      </c>
      <c r="S50" s="282">
        <f t="shared" si="28"/>
        <v>19501826.665217433</v>
      </c>
      <c r="T50" s="9">
        <f t="shared" si="29"/>
        <v>1.6551108430000842E-7</v>
      </c>
      <c r="U50" s="287">
        <f t="shared" si="30"/>
        <v>62947381.357630827</v>
      </c>
    </row>
    <row r="51" spans="1:21" x14ac:dyDescent="0.2">
      <c r="A51" s="97">
        <v>7</v>
      </c>
      <c r="B51" s="93">
        <f t="shared" si="25"/>
        <v>7529536</v>
      </c>
      <c r="C51" s="1">
        <f t="shared" si="22"/>
        <v>52706752</v>
      </c>
      <c r="D51" s="9">
        <f>SUM($C$45:C51)</f>
        <v>56761117</v>
      </c>
      <c r="E51" s="9">
        <f t="shared" si="23"/>
        <v>62359049.52471903</v>
      </c>
      <c r="F51" s="9">
        <f t="shared" si="24"/>
        <v>5.7349395738837256E-8</v>
      </c>
      <c r="G51" s="287">
        <f t="shared" si="26"/>
        <v>223011788.39406219</v>
      </c>
      <c r="O51" s="99">
        <v>7</v>
      </c>
      <c r="P51" s="93">
        <f t="shared" si="31"/>
        <v>31855726</v>
      </c>
      <c r="Q51" s="1">
        <f t="shared" si="27"/>
        <v>222990103</v>
      </c>
      <c r="R51" s="9">
        <f>SUM($Q$45:Q51)</f>
        <v>240143176</v>
      </c>
      <c r="S51" s="282">
        <f t="shared" si="28"/>
        <v>263826735.56630886</v>
      </c>
      <c r="T51" s="9">
        <f t="shared" si="29"/>
        <v>1.3555312358371753E-8</v>
      </c>
      <c r="U51" s="287">
        <f t="shared" si="30"/>
        <v>943511368.00901997</v>
      </c>
    </row>
    <row r="52" spans="1:21" x14ac:dyDescent="0.2">
      <c r="A52" s="97">
        <v>8</v>
      </c>
      <c r="B52" s="93">
        <f t="shared" si="25"/>
        <v>105413504</v>
      </c>
      <c r="C52" s="1">
        <f t="shared" si="22"/>
        <v>737894528</v>
      </c>
      <c r="D52" s="9">
        <f>SUM($C$45:C52)</f>
        <v>794655645</v>
      </c>
      <c r="E52" s="9">
        <f t="shared" si="23"/>
        <v>852345887.466102</v>
      </c>
      <c r="F52" s="9">
        <f t="shared" si="24"/>
        <v>4.5525544154464272E-9</v>
      </c>
      <c r="G52" s="287">
        <f t="shared" si="26"/>
        <v>3307401245.3041916</v>
      </c>
      <c r="O52" s="99">
        <v>8</v>
      </c>
      <c r="P52" s="93">
        <f t="shared" si="31"/>
        <v>445980206</v>
      </c>
      <c r="Q52" s="1">
        <f t="shared" si="27"/>
        <v>3121861463</v>
      </c>
      <c r="R52" s="9">
        <f>SUM($Q$45:Q52)</f>
        <v>3362004639</v>
      </c>
      <c r="S52" s="282">
        <f t="shared" si="28"/>
        <v>3606078740.8030143</v>
      </c>
      <c r="T52" s="9">
        <f t="shared" si="29"/>
        <v>1.0760583205144644E-9</v>
      </c>
      <c r="U52" s="287">
        <f t="shared" si="30"/>
        <v>13992851368.654243</v>
      </c>
    </row>
    <row r="53" spans="1:21" x14ac:dyDescent="0.2">
      <c r="A53" s="97">
        <v>9</v>
      </c>
      <c r="B53" s="93">
        <f t="shared" si="25"/>
        <v>1475789056</v>
      </c>
      <c r="C53" s="1">
        <f t="shared" si="22"/>
        <v>10330523392</v>
      </c>
      <c r="D53" s="9">
        <f>SUM($C$45:C53)</f>
        <v>11125179037</v>
      </c>
      <c r="E53" s="9">
        <f t="shared" si="23"/>
        <v>11728748885.40415</v>
      </c>
      <c r="F53" s="9">
        <f t="shared" si="24"/>
        <v>3.533315618835257E-10</v>
      </c>
      <c r="G53" s="287">
        <f t="shared" si="26"/>
        <v>48605544127.035492</v>
      </c>
      <c r="O53" s="99">
        <v>9</v>
      </c>
      <c r="P53" s="93">
        <f t="shared" si="31"/>
        <v>6243722926</v>
      </c>
      <c r="Q53" s="1">
        <f t="shared" si="27"/>
        <v>43706060503</v>
      </c>
      <c r="R53" s="9">
        <f>SUM($Q$45:Q53)</f>
        <v>47068065142</v>
      </c>
      <c r="S53" s="282">
        <f t="shared" si="28"/>
        <v>49621629884.459572</v>
      </c>
      <c r="T53" s="9">
        <f t="shared" si="29"/>
        <v>8.3514732834629525E-11</v>
      </c>
      <c r="U53" s="287">
        <f t="shared" si="30"/>
        <v>205638840473.93976</v>
      </c>
    </row>
    <row r="54" spans="1:21" ht="17" thickBot="1" x14ac:dyDescent="0.25">
      <c r="A54" s="145">
        <v>10</v>
      </c>
      <c r="B54" s="94">
        <f t="shared" si="25"/>
        <v>20661046784</v>
      </c>
      <c r="C54" s="111">
        <f t="shared" si="22"/>
        <v>144627327488</v>
      </c>
      <c r="D54" s="10">
        <f>SUM($C$45:C54)</f>
        <v>155752506525</v>
      </c>
      <c r="E54" s="10">
        <f t="shared" si="23"/>
        <v>162135586682.29898</v>
      </c>
      <c r="F54" s="10">
        <f t="shared" si="24"/>
        <v>2.6962972734454619E-11</v>
      </c>
      <c r="G54" s="288">
        <f t="shared" si="26"/>
        <v>708801237809.36072</v>
      </c>
      <c r="O54" s="100">
        <v>10</v>
      </c>
      <c r="P54" s="94">
        <f t="shared" si="31"/>
        <v>87412121006</v>
      </c>
      <c r="Q54" s="111">
        <f t="shared" si="27"/>
        <v>611884847063</v>
      </c>
      <c r="R54" s="10">
        <f>SUM($Q$45:Q54)</f>
        <v>658952912205</v>
      </c>
      <c r="S54" s="283">
        <f t="shared" si="28"/>
        <v>685958251331.37219</v>
      </c>
      <c r="T54" s="10">
        <f t="shared" si="29"/>
        <v>6.3730662828455051E-12</v>
      </c>
      <c r="U54" s="288">
        <f t="shared" si="30"/>
        <v>2998774467581.4746</v>
      </c>
    </row>
  </sheetData>
  <mergeCells count="2">
    <mergeCell ref="A18:F18"/>
    <mergeCell ref="O18:T18"/>
  </mergeCells>
  <conditionalFormatting sqref="F45:F54">
    <cfRule type="cellIs" dxfId="588" priority="59" operator="equal">
      <formula>MAX($F$45:$F$54)</formula>
    </cfRule>
  </conditionalFormatting>
  <conditionalFormatting sqref="F21:F30">
    <cfRule type="cellIs" dxfId="587" priority="57" operator="equal">
      <formula>MAX($F$21:$F$30)</formula>
    </cfRule>
  </conditionalFormatting>
  <conditionalFormatting sqref="E33:E42">
    <cfRule type="cellIs" dxfId="586" priority="53" stopIfTrue="1" operator="lessThan">
      <formula>0</formula>
    </cfRule>
    <cfRule type="cellIs" dxfId="585" priority="54" operator="equal">
      <formula>MIN($E$33:$E$42)</formula>
    </cfRule>
  </conditionalFormatting>
  <conditionalFormatting sqref="E21:E30">
    <cfRule type="cellIs" dxfId="584" priority="49" stopIfTrue="1" operator="lessThan">
      <formula>0</formula>
    </cfRule>
    <cfRule type="cellIs" dxfId="583" priority="50" operator="equal">
      <formula>MIN($E$21:$E$30)</formula>
    </cfRule>
  </conditionalFormatting>
  <conditionalFormatting sqref="E45:E54">
    <cfRule type="cellIs" dxfId="582" priority="45" stopIfTrue="1" operator="lessThan">
      <formula>0</formula>
    </cfRule>
    <cfRule type="cellIs" dxfId="581" priority="46" operator="equal">
      <formula>MIN($E$45:$E$54)</formula>
    </cfRule>
  </conditionalFormatting>
  <conditionalFormatting sqref="F33:F42">
    <cfRule type="cellIs" dxfId="580" priority="31" operator="lessThanOrEqual">
      <formula>0</formula>
    </cfRule>
    <cfRule type="cellIs" dxfId="579" priority="32" operator="equal">
      <formula>MAX($F$33:$F$42)</formula>
    </cfRule>
  </conditionalFormatting>
  <conditionalFormatting sqref="S7:T16">
    <cfRule type="cellIs" dxfId="578" priority="13" operator="lessThanOrEqual">
      <formula>0</formula>
    </cfRule>
    <cfRule type="cellIs" dxfId="577" priority="14" operator="greaterThan">
      <formula>0</formula>
    </cfRule>
  </conditionalFormatting>
  <conditionalFormatting sqref="U7:U16">
    <cfRule type="cellIs" dxfId="576" priority="15" operator="lessThanOrEqual">
      <formula>0</formula>
    </cfRule>
    <cfRule type="cellIs" dxfId="575" priority="16" operator="greaterThan">
      <formula>0</formula>
    </cfRule>
  </conditionalFormatting>
  <conditionalFormatting sqref="R7:R16">
    <cfRule type="cellIs" dxfId="574" priority="17" operator="lessThanOrEqual">
      <formula>0</formula>
    </cfRule>
    <cfRule type="cellIs" dxfId="573" priority="18" operator="greaterThan">
      <formula>0</formula>
    </cfRule>
  </conditionalFormatting>
  <conditionalFormatting sqref="T21:T30">
    <cfRule type="cellIs" dxfId="572" priority="9" operator="equal">
      <formula>MAX($T$21:$T$30)</formula>
    </cfRule>
  </conditionalFormatting>
  <conditionalFormatting sqref="S33:S42">
    <cfRule type="cellIs" dxfId="571" priority="7" stopIfTrue="1" operator="lessThan">
      <formula>0</formula>
    </cfRule>
    <cfRule type="cellIs" dxfId="570" priority="8" operator="equal">
      <formula>MIN($E$21:$E$30)</formula>
    </cfRule>
  </conditionalFormatting>
  <conditionalFormatting sqref="T33:T42">
    <cfRule type="cellIs" dxfId="569" priority="6" operator="equal">
      <formula>MAX($T$21:$T$30)</formula>
    </cfRule>
  </conditionalFormatting>
  <conditionalFormatting sqref="S45:S54">
    <cfRule type="cellIs" dxfId="568" priority="4" stopIfTrue="1" operator="lessThan">
      <formula>0</formula>
    </cfRule>
    <cfRule type="cellIs" dxfId="567" priority="5" operator="equal">
      <formula>MIN($E$21:$E$30)</formula>
    </cfRule>
  </conditionalFormatting>
  <conditionalFormatting sqref="T45:T54">
    <cfRule type="cellIs" dxfId="566" priority="3" operator="equal">
      <formula>MAX($T$21:$T$30)</formula>
    </cfRule>
  </conditionalFormatting>
  <conditionalFormatting sqref="S21:S30">
    <cfRule type="cellIs" dxfId="565" priority="1" stopIfTrue="1" operator="lessThan">
      <formula>0</formula>
    </cfRule>
    <cfRule type="cellIs" dxfId="564" priority="2" operator="equal">
      <formula>MIN($E$21:$E$30)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pageSetUpPr fitToPage="1"/>
  </sheetPr>
  <dimension ref="A1:W54"/>
  <sheetViews>
    <sheetView workbookViewId="0">
      <selection activeCell="C7" sqref="C7:C16"/>
    </sheetView>
  </sheetViews>
  <sheetFormatPr baseColWidth="10" defaultColWidth="8.6640625" defaultRowHeight="16" x14ac:dyDescent="0.2"/>
  <cols>
    <col min="14" max="14" width="5.6640625" bestFit="1" customWidth="1"/>
  </cols>
  <sheetData>
    <row r="1" spans="1:23" x14ac:dyDescent="0.2">
      <c r="C1" t="s">
        <v>95</v>
      </c>
      <c r="D1">
        <f>C2+E2</f>
        <v>0.99999999999999978</v>
      </c>
    </row>
    <row r="2" spans="1:23" x14ac:dyDescent="0.2">
      <c r="A2" t="s">
        <v>40</v>
      </c>
      <c r="B2" s="149" t="s">
        <v>125</v>
      </c>
      <c r="C2" s="155">
        <f>Analysis!B15</f>
        <v>0.56369871526592308</v>
      </c>
      <c r="D2" s="149" t="s">
        <v>126</v>
      </c>
      <c r="E2" s="155">
        <f>Analysis!K15</f>
        <v>0.43630128473407664</v>
      </c>
      <c r="F2" s="149" t="s">
        <v>47</v>
      </c>
      <c r="G2" s="155">
        <f>Analysis!S15</f>
        <v>6.6971840253316195</v>
      </c>
      <c r="H2" t="s">
        <v>156</v>
      </c>
      <c r="I2" s="169">
        <f>Analysis!T15</f>
        <v>-6.7484363627727681</v>
      </c>
      <c r="J2" t="s">
        <v>48</v>
      </c>
      <c r="K2" s="169">
        <f>C2*G2+E2*I2</f>
        <v>0.8308425759549789</v>
      </c>
      <c r="L2" t="s">
        <v>47</v>
      </c>
      <c r="M2" s="176">
        <v>1</v>
      </c>
      <c r="N2" t="s">
        <v>156</v>
      </c>
      <c r="O2" s="176">
        <v>8</v>
      </c>
    </row>
    <row r="4" spans="1:23" x14ac:dyDescent="0.2">
      <c r="A4" t="s">
        <v>123</v>
      </c>
      <c r="B4">
        <f>$C$2</f>
        <v>0.56369871526592308</v>
      </c>
      <c r="C4" t="s">
        <v>124</v>
      </c>
      <c r="D4">
        <f>$E$2</f>
        <v>0.43630128473407664</v>
      </c>
      <c r="E4" t="s">
        <v>47</v>
      </c>
      <c r="F4">
        <f>G2</f>
        <v>6.6971840253316195</v>
      </c>
      <c r="G4" t="s">
        <v>156</v>
      </c>
      <c r="H4">
        <f>I2</f>
        <v>-6.7484363627727681</v>
      </c>
      <c r="I4" t="s">
        <v>48</v>
      </c>
      <c r="J4">
        <f>K2</f>
        <v>0.8308425759549789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60">
        <v>-10</v>
      </c>
      <c r="N6" s="104" t="s">
        <v>136</v>
      </c>
      <c r="R6" s="188" t="s">
        <v>49</v>
      </c>
      <c r="S6" s="164" t="s">
        <v>130</v>
      </c>
      <c r="T6" s="165" t="s">
        <v>137</v>
      </c>
      <c r="U6" s="184" t="s">
        <v>48</v>
      </c>
      <c r="V6" s="175" t="s">
        <v>47</v>
      </c>
      <c r="W6" s="168" t="s">
        <v>156</v>
      </c>
    </row>
    <row r="7" spans="1:23" x14ac:dyDescent="0.2">
      <c r="A7" s="101">
        <v>1</v>
      </c>
      <c r="B7" s="95">
        <f>C7*B4</f>
        <v>0.56369871526592308</v>
      </c>
      <c r="C7" s="95">
        <v>1</v>
      </c>
      <c r="D7" s="109">
        <f>C7*D4</f>
        <v>0.43630128473407664</v>
      </c>
      <c r="E7" s="110"/>
      <c r="F7" s="110"/>
      <c r="G7" s="110"/>
      <c r="H7" s="110"/>
      <c r="I7" s="110"/>
      <c r="J7" s="110"/>
      <c r="K7" s="110"/>
      <c r="L7" s="110"/>
      <c r="M7" s="263"/>
      <c r="N7" s="95">
        <f>B7+D7</f>
        <v>0.99999999999999978</v>
      </c>
      <c r="R7" s="189">
        <f>B7-D7</f>
        <v>0.12739743053184643</v>
      </c>
      <c r="S7" s="109">
        <f>SUM(C7)*$B$4*$F$4</f>
        <v>3.7751940309788972</v>
      </c>
      <c r="T7" s="57">
        <f>SUM(C7)*$D$4*$H$4</f>
        <v>-2.9443514550239183</v>
      </c>
      <c r="U7" s="265">
        <f>S7+T7</f>
        <v>0.8308425759549789</v>
      </c>
      <c r="V7" s="109">
        <f>(U7+W7*D7)/B7</f>
        <v>2.2479097900574145</v>
      </c>
      <c r="W7" s="57">
        <f>COUNT(D7:M7)</f>
        <v>1</v>
      </c>
    </row>
    <row r="8" spans="1:23" x14ac:dyDescent="0.2">
      <c r="A8" s="99">
        <v>2</v>
      </c>
      <c r="B8" s="97">
        <f>C8*B4</f>
        <v>0.7475539936747807</v>
      </c>
      <c r="C8" s="97">
        <f>1/(1-B4*D4*C7)</f>
        <v>1.3261587678483966</v>
      </c>
      <c r="D8" s="93">
        <f>C8*D4</f>
        <v>0.57860477417361555</v>
      </c>
      <c r="E8" s="1">
        <f>D8*D4</f>
        <v>0.25244600632521874</v>
      </c>
      <c r="F8" s="1"/>
      <c r="G8" s="1"/>
      <c r="H8" s="1"/>
      <c r="I8" s="1"/>
      <c r="J8" s="1"/>
      <c r="K8" s="1"/>
      <c r="L8" s="1"/>
      <c r="M8" s="262"/>
      <c r="N8" s="97">
        <f>B8+E8</f>
        <v>0.99999999999999944</v>
      </c>
      <c r="R8" s="190">
        <f>B8-E8</f>
        <v>0.49510798734956196</v>
      </c>
      <c r="S8" s="93">
        <f>SUM(C8:D8)*$B$4*$F$4</f>
        <v>7.1908519542677221</v>
      </c>
      <c r="T8" s="9">
        <f>SUM(C8:D8)*$D$4*$H$4</f>
        <v>-5.6082933064290232</v>
      </c>
      <c r="U8" s="266">
        <f>S8+T8</f>
        <v>1.5825586478386988</v>
      </c>
      <c r="V8" s="93">
        <f>(U8+W8*E8)/B8</f>
        <v>2.792374434691697</v>
      </c>
      <c r="W8" s="9">
        <f>COUNT(D8:M8)</f>
        <v>2</v>
      </c>
    </row>
    <row r="9" spans="1:23" x14ac:dyDescent="0.2">
      <c r="A9" s="99">
        <v>3</v>
      </c>
      <c r="B9" s="97">
        <f>C9*B4</f>
        <v>0.83654529935191013</v>
      </c>
      <c r="C9" s="97">
        <f>1/(1-D4*B4*C8)</f>
        <v>1.4840291040175115</v>
      </c>
      <c r="D9" s="93">
        <f>C9*D4*C8</f>
        <v>0.85866632459712522</v>
      </c>
      <c r="E9" s="1">
        <f>D9*(D4)</f>
        <v>0.37463722057961341</v>
      </c>
      <c r="F9" s="1">
        <f>E9*D4</f>
        <v>0.16345470064808898</v>
      </c>
      <c r="G9" s="1"/>
      <c r="H9" s="1"/>
      <c r="I9" s="1"/>
      <c r="J9" s="1"/>
      <c r="K9" s="1"/>
      <c r="L9" s="1"/>
      <c r="M9" s="262"/>
      <c r="N9" s="97">
        <f>B9+F9</f>
        <v>0.99999999999999911</v>
      </c>
      <c r="R9" s="190">
        <f>B9-F9</f>
        <v>0.67309059870382115</v>
      </c>
      <c r="S9" s="93">
        <f>SUM(C9:E9)*$B$4*$F$4</f>
        <v>10.258457997422207</v>
      </c>
      <c r="T9" s="9">
        <f>SUM(C9:E9)*$D$4*$H$4</f>
        <v>-8.0007823394390876</v>
      </c>
      <c r="U9" s="266">
        <f t="shared" ref="U9:U16" si="0">S9+T9</f>
        <v>2.2576756579831194</v>
      </c>
      <c r="V9" s="93">
        <f>(U9+W9*F9)/B9</f>
        <v>3.2849861950767671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0.88769464582701507</v>
      </c>
      <c r="C10" s="97">
        <f>1/(1-D4*B4*C9)</f>
        <v>1.5747679066613589</v>
      </c>
      <c r="D10" s="93">
        <f>C10*D4*C9</f>
        <v>1.0196367156703807</v>
      </c>
      <c r="E10" s="1">
        <f>D10*D4*C8</f>
        <v>0.58996667160958771</v>
      </c>
      <c r="F10" s="1">
        <f>E10*D4</f>
        <v>0.25740321677355021</v>
      </c>
      <c r="G10" s="1">
        <f>F10*D4</f>
        <v>0.11230535417298398</v>
      </c>
      <c r="H10" s="1"/>
      <c r="I10" s="1"/>
      <c r="J10" s="1"/>
      <c r="K10" s="1"/>
      <c r="L10" s="1"/>
      <c r="M10" s="262"/>
      <c r="N10" s="97">
        <f>B10+G10</f>
        <v>0.99999999999999911</v>
      </c>
      <c r="R10" s="190">
        <f>B10-G10</f>
        <v>0.77538929165403103</v>
      </c>
      <c r="S10" s="93">
        <f>SUM(C10:F10)*$B$4*$F$4</f>
        <v>12.993366588826122</v>
      </c>
      <c r="T10" s="9">
        <f>SUM(C10:F10)*$D$4*$H$4</f>
        <v>-10.133793788487585</v>
      </c>
      <c r="U10" s="266">
        <f t="shared" si="0"/>
        <v>2.8595728003385368</v>
      </c>
      <c r="V10" s="93">
        <f>(U10+W10*G10)/B10</f>
        <v>3.7274013452540942</v>
      </c>
      <c r="W10" s="9">
        <f t="shared" si="1"/>
        <v>4</v>
      </c>
    </row>
    <row r="11" spans="1:23" x14ac:dyDescent="0.2">
      <c r="A11" s="99">
        <v>5</v>
      </c>
      <c r="B11" s="97">
        <f>C11*B4</f>
        <v>0.92002749241287585</v>
      </c>
      <c r="C11" s="97">
        <f>1/(1-D4*B4*C10)</f>
        <v>1.6321262892693587</v>
      </c>
      <c r="D11" s="93">
        <f>C11*D4*C10</f>
        <v>1.1213903316617551</v>
      </c>
      <c r="E11" s="1">
        <f>D11*D4*C9</f>
        <v>0.72608207845957329</v>
      </c>
      <c r="F11" s="1">
        <f>E11*D4*C8</f>
        <v>0.42011455703861084</v>
      </c>
      <c r="G11" s="1">
        <f>F11*D4</f>
        <v>0.18329652097143342</v>
      </c>
      <c r="H11" s="1">
        <f>G11*D4</f>
        <v>7.9972507587123029E-2</v>
      </c>
      <c r="I11" s="1"/>
      <c r="J11" s="1"/>
      <c r="K11" s="1"/>
      <c r="L11" s="1"/>
      <c r="M11" s="262"/>
      <c r="N11" s="97">
        <f>B11+H11</f>
        <v>0.99999999999999889</v>
      </c>
      <c r="R11" s="190">
        <f>B11-H11</f>
        <v>0.8400549848257528</v>
      </c>
      <c r="S11" s="93">
        <f>SUM(C11:G11)*$B$4*$F$4</f>
        <v>15.414154140071716</v>
      </c>
      <c r="T11" s="9">
        <f>SUM(C11:G11)*$D$4*$H$4</f>
        <v>-12.021815778966726</v>
      </c>
      <c r="U11" s="266">
        <f t="shared" si="0"/>
        <v>3.39233836110499</v>
      </c>
      <c r="V11" s="93">
        <f>(U11+W11*H11)/B11</f>
        <v>4.1218343259451204</v>
      </c>
      <c r="W11" s="9">
        <f t="shared" si="1"/>
        <v>5</v>
      </c>
    </row>
    <row r="12" spans="1:23" x14ac:dyDescent="0.2">
      <c r="A12" s="99">
        <v>6</v>
      </c>
      <c r="B12" s="97">
        <f>C12*B4</f>
        <v>0.94170958447919317</v>
      </c>
      <c r="C12" s="97">
        <f>1/(1-D4*B4*C11)</f>
        <v>1.6705902620958515</v>
      </c>
      <c r="D12" s="93">
        <f>C12*D4*C11</f>
        <v>1.1896253156786114</v>
      </c>
      <c r="E12" s="1">
        <f>D12*D4*C10</f>
        <v>0.81735974481438878</v>
      </c>
      <c r="F12" s="1">
        <f>E12*D4*C9</f>
        <v>0.52922719735292512</v>
      </c>
      <c r="G12" s="1">
        <f>F12*D4*C8</f>
        <v>0.30621338301092471</v>
      </c>
      <c r="H12" s="1">
        <f>G12*D4</f>
        <v>0.13360129241043434</v>
      </c>
      <c r="I12" s="1">
        <f>H12*D4</f>
        <v>5.8290415520805543E-2</v>
      </c>
      <c r="J12" s="1"/>
      <c r="K12" s="1"/>
      <c r="L12" s="1"/>
      <c r="M12" s="262"/>
      <c r="N12" s="97">
        <f>B12+I12</f>
        <v>0.99999999999999867</v>
      </c>
      <c r="R12" s="190">
        <f>B12-I12</f>
        <v>0.88341916895838768</v>
      </c>
      <c r="S12" s="93">
        <f>SUM(C12:H12)*$B$4*$F$4</f>
        <v>17.54188150017881</v>
      </c>
      <c r="T12" s="9">
        <f>SUM(C12:H12)*$D$4*$H$4</f>
        <v>-13.681274100106606</v>
      </c>
      <c r="U12" s="266">
        <f t="shared" si="0"/>
        <v>3.8606074000722046</v>
      </c>
      <c r="V12" s="93">
        <f>(U12+W12*I12)/B12</f>
        <v>4.4709642575481983</v>
      </c>
      <c r="W12" s="9">
        <f t="shared" si="1"/>
        <v>6</v>
      </c>
    </row>
    <row r="13" spans="1:23" x14ac:dyDescent="0.2">
      <c r="A13" s="99">
        <v>7</v>
      </c>
      <c r="B13" s="97">
        <f>C13*B4</f>
        <v>0.95683101455631547</v>
      </c>
      <c r="C13" s="97">
        <f>1/(1-D4*B4*C12)</f>
        <v>1.6974156382544414</v>
      </c>
      <c r="D13" s="93">
        <f>C13*D4*C12</f>
        <v>1.237213460608009</v>
      </c>
      <c r="E13" s="1">
        <f>D13*D4*C11</f>
        <v>0.88101821675360814</v>
      </c>
      <c r="F13" s="1">
        <f>E13*D4*C10</f>
        <v>0.60532405903935993</v>
      </c>
      <c r="G13" s="1">
        <f>F13*D4*C9</f>
        <v>0.3919375248024296</v>
      </c>
      <c r="H13" s="1">
        <f>G13*D4*C8</f>
        <v>0.22677692302847563</v>
      </c>
      <c r="I13" s="1">
        <f>H13*D4</f>
        <v>9.8943062865364723E-2</v>
      </c>
      <c r="J13" s="1">
        <f>I13*D4</f>
        <v>4.3168985443683139E-2</v>
      </c>
      <c r="K13" s="1"/>
      <c r="L13" s="1"/>
      <c r="M13" s="262"/>
      <c r="N13" s="97">
        <f>B13+J13</f>
        <v>0.99999999999999867</v>
      </c>
      <c r="R13" s="190">
        <f>B13-J13</f>
        <v>0.91366202911263228</v>
      </c>
      <c r="S13" s="93">
        <f>SUM(C13:I13)*$B$4*$F$4</f>
        <v>19.39932109539544</v>
      </c>
      <c r="T13" s="9">
        <f>SUM(C13:I13)*$D$4*$H$4</f>
        <v>-15.129929435413178</v>
      </c>
      <c r="U13" s="266">
        <f t="shared" si="0"/>
        <v>4.2693916599822614</v>
      </c>
      <c r="V13" s="93">
        <f>(U13+W13*J13)/B13</f>
        <v>4.777828570082348</v>
      </c>
      <c r="W13" s="9">
        <f t="shared" si="1"/>
        <v>7</v>
      </c>
    </row>
    <row r="14" spans="1:23" x14ac:dyDescent="0.2">
      <c r="A14" s="99">
        <v>8</v>
      </c>
      <c r="B14" s="97">
        <f>C14*B4</f>
        <v>0.96766763272349321</v>
      </c>
      <c r="C14" s="97">
        <f>1/(1-D4*B4*C13)</f>
        <v>1.7166397696453841</v>
      </c>
      <c r="D14" s="93">
        <f>C14*D4*C13</f>
        <v>1.2713170178280635</v>
      </c>
      <c r="E14" s="1">
        <f>D14*D4*C12</f>
        <v>0.92663840942010767</v>
      </c>
      <c r="F14" s="1">
        <f>E14*D4*C11</f>
        <v>0.65985809646906324</v>
      </c>
      <c r="G14" s="1">
        <f>F14*D4*C10</f>
        <v>0.45337085402894201</v>
      </c>
      <c r="H14" s="1">
        <f>G14*D4*C9</f>
        <v>0.29355028549115214</v>
      </c>
      <c r="I14" s="1">
        <f>H14*D4*C8</f>
        <v>0.16984959664520843</v>
      </c>
      <c r="J14" s="1">
        <f>I14*D4</f>
        <v>7.4105597227869149E-2</v>
      </c>
      <c r="K14" s="1">
        <f>J14*D4</f>
        <v>3.233236727650534E-2</v>
      </c>
      <c r="L14" s="1"/>
      <c r="M14" s="262"/>
      <c r="N14" s="97">
        <f>B14+K14</f>
        <v>0.99999999999999856</v>
      </c>
      <c r="R14" s="190">
        <f>B14-K14</f>
        <v>0.93533526544698786</v>
      </c>
      <c r="S14" s="93">
        <f>SUM(C14:J14)*$B$4*$F$4</f>
        <v>21.010199187358474</v>
      </c>
      <c r="T14" s="9">
        <f>SUM(C14:J14)*$D$4*$H$4</f>
        <v>-16.386286384226132</v>
      </c>
      <c r="U14" s="266">
        <f t="shared" si="0"/>
        <v>4.6239128031323418</v>
      </c>
      <c r="V14" s="93">
        <f>(U14+W14*K14)/B14</f>
        <v>5.0457115400278747</v>
      </c>
      <c r="W14" s="9">
        <f t="shared" si="1"/>
        <v>8</v>
      </c>
    </row>
    <row r="15" spans="1:23" x14ac:dyDescent="0.2">
      <c r="A15" s="99">
        <v>9</v>
      </c>
      <c r="B15" s="97">
        <f>C15*B4</f>
        <v>0.97558580424016672</v>
      </c>
      <c r="C15" s="97">
        <f>1/(1-D4*B4*C14)</f>
        <v>1.7306865845524186</v>
      </c>
      <c r="D15" s="93">
        <f>C15*D4*C14</f>
        <v>1.296236029574273</v>
      </c>
      <c r="E15" s="1">
        <f>D15*D4*C13</f>
        <v>0.95997247218621529</v>
      </c>
      <c r="F15" s="1">
        <f>E15*D4*C12</f>
        <v>0.69970538602042687</v>
      </c>
      <c r="G15" s="1">
        <f>F15*D4*C11</f>
        <v>0.49825936353914652</v>
      </c>
      <c r="H15" s="1">
        <f>G15*D4*C10</f>
        <v>0.34234068564808595</v>
      </c>
      <c r="I15" s="1">
        <f>H15*D4*C9</f>
        <v>0.22166004963525318</v>
      </c>
      <c r="J15" s="1">
        <f>I15*D4*C8</f>
        <v>0.12825356296251808</v>
      </c>
      <c r="K15" s="1">
        <f>J15*D4</f>
        <v>5.5957194292269426E-2</v>
      </c>
      <c r="L15" s="1">
        <f>K15*D4</f>
        <v>2.4414195759831493E-2</v>
      </c>
      <c r="M15" s="262"/>
      <c r="N15" s="97">
        <f>B15+L15</f>
        <v>0.99999999999999822</v>
      </c>
      <c r="R15" s="190">
        <f>B15-L15</f>
        <v>0.95117160848033522</v>
      </c>
      <c r="S15" s="93">
        <f>SUM(C15:K15)*$B$4*$F$4</f>
        <v>22.398495464387761</v>
      </c>
      <c r="T15" s="9">
        <f>SUM(C15:K15)*$D$4*$H$4</f>
        <v>-17.469047198566461</v>
      </c>
      <c r="U15" s="266">
        <f t="shared" si="0"/>
        <v>4.9294482658212999</v>
      </c>
      <c r="V15" s="93">
        <f>(U15+W15*L15)/B15</f>
        <v>5.2780350075616465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0.98145393448092766</v>
      </c>
      <c r="C16" s="145">
        <f>1/(1-D4*B4*C15)</f>
        <v>1.7410966317670777</v>
      </c>
      <c r="D16" s="94">
        <f>C16*D4*C15</f>
        <v>1.314703425246353</v>
      </c>
      <c r="E16" s="111">
        <f>D16*D4*C14</f>
        <v>0.9846762338252899</v>
      </c>
      <c r="F16" s="111">
        <f>E16*D4*C13</f>
        <v>0.72923607809198976</v>
      </c>
      <c r="G16" s="111">
        <f>F16*D4*C12</f>
        <v>0.53152608674220347</v>
      </c>
      <c r="H16" s="111">
        <f>G16*D4*C11</f>
        <v>0.37849908686695738</v>
      </c>
      <c r="I16" s="111">
        <f>H16*D4*C10</f>
        <v>0.26005660183650181</v>
      </c>
      <c r="J16" s="111">
        <f>I16*D4*C9</f>
        <v>0.16838243798550551</v>
      </c>
      <c r="K16" s="111">
        <f>J16*D4*C8</f>
        <v>9.7426882505406237E-2</v>
      </c>
      <c r="L16" s="111">
        <f>K16*D4</f>
        <v>4.250747400474468E-2</v>
      </c>
      <c r="M16" s="264">
        <f>L16*D4</f>
        <v>1.8546065519070471E-2</v>
      </c>
      <c r="N16" s="145">
        <f>B16+M16</f>
        <v>0.99999999999999811</v>
      </c>
      <c r="R16" s="191">
        <f>B16-M16</f>
        <v>0.96290786896185721</v>
      </c>
      <c r="S16" s="94">
        <f>SUM(C16:L16)*$B$4*$F$4</f>
        <v>23.587831121323642</v>
      </c>
      <c r="T16" s="10">
        <f>SUM(C16:L16)*$D$4*$H$4</f>
        <v>-18.39663453401872</v>
      </c>
      <c r="U16" s="267">
        <f t="shared" si="0"/>
        <v>5.1911965873049226</v>
      </c>
      <c r="V16" s="94">
        <f>(U16+W16*M16)/B16</f>
        <v>5.4782573624703419</v>
      </c>
      <c r="W16" s="10">
        <f t="shared" si="1"/>
        <v>10</v>
      </c>
    </row>
    <row r="18" spans="1:21" x14ac:dyDescent="0.2">
      <c r="A18" s="356" t="s">
        <v>200</v>
      </c>
      <c r="B18" s="356"/>
      <c r="C18" s="356"/>
      <c r="D18" s="356"/>
      <c r="E18" s="356"/>
      <c r="F18" s="356"/>
      <c r="O18" s="356" t="s">
        <v>201</v>
      </c>
      <c r="P18" s="356"/>
      <c r="Q18" s="356"/>
      <c r="R18" s="356"/>
      <c r="S18" s="356"/>
      <c r="T18" s="356"/>
    </row>
    <row r="19" spans="1:21" ht="17" thickBot="1" x14ac:dyDescent="0.25"/>
    <row r="20" spans="1:21" ht="17" thickBot="1" x14ac:dyDescent="0.25">
      <c r="A20" s="29" t="s">
        <v>135</v>
      </c>
      <c r="B20" s="19" t="s">
        <v>140</v>
      </c>
      <c r="C20" s="19" t="s">
        <v>139</v>
      </c>
      <c r="D20" s="19" t="s">
        <v>138</v>
      </c>
      <c r="E20" s="166" t="s">
        <v>151</v>
      </c>
      <c r="F20" s="168" t="s">
        <v>152</v>
      </c>
      <c r="G20" s="166" t="s">
        <v>47</v>
      </c>
      <c r="O20" s="29" t="s">
        <v>135</v>
      </c>
      <c r="P20" s="118" t="s">
        <v>140</v>
      </c>
      <c r="Q20" s="118" t="s">
        <v>139</v>
      </c>
      <c r="R20" s="118" t="s">
        <v>138</v>
      </c>
      <c r="S20" s="166" t="s">
        <v>151</v>
      </c>
      <c r="T20" s="168" t="s">
        <v>152</v>
      </c>
      <c r="U20" s="293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8</v>
      </c>
      <c r="D21" s="57">
        <f>SUM($C$21:C21)</f>
        <v>8</v>
      </c>
      <c r="E21" s="57">
        <f t="shared" ref="E21:E30" si="3">D21/R7</f>
        <v>62.795615002613289</v>
      </c>
      <c r="F21" s="8">
        <f t="shared" ref="F21:F30" si="4">U7/E21</f>
        <v>1.3230901169140595E-2</v>
      </c>
      <c r="G21" s="286">
        <f>E21*U7</f>
        <v>52.173270527448345</v>
      </c>
      <c r="O21" s="101">
        <v>1</v>
      </c>
      <c r="P21" s="109">
        <v>1</v>
      </c>
      <c r="Q21" s="110">
        <f>P21*8+28</f>
        <v>36</v>
      </c>
      <c r="R21" s="57">
        <f>SUM($Q$21)</f>
        <v>36</v>
      </c>
      <c r="S21" s="281">
        <f>R21/R7</f>
        <v>282.58026751175981</v>
      </c>
      <c r="T21" s="8">
        <f>U7/S21</f>
        <v>2.9402002598090211E-3</v>
      </c>
      <c r="U21" s="286">
        <f>S21*U7</f>
        <v>234.77971737351757</v>
      </c>
    </row>
    <row r="22" spans="1:21" x14ac:dyDescent="0.2">
      <c r="A22" s="97">
        <v>2</v>
      </c>
      <c r="B22" s="93">
        <f>C21</f>
        <v>8</v>
      </c>
      <c r="C22" s="1">
        <f t="shared" si="2"/>
        <v>64</v>
      </c>
      <c r="D22" s="9">
        <f>SUM($C$21:C22)</f>
        <v>72</v>
      </c>
      <c r="E22" s="9">
        <f t="shared" si="3"/>
        <v>145.42282055564115</v>
      </c>
      <c r="F22" s="9">
        <f t="shared" si="4"/>
        <v>1.0882464263806423E-2</v>
      </c>
      <c r="G22" s="287">
        <f t="shared" ref="G22:G30" si="5">E22*U8</f>
        <v>230.14014226342519</v>
      </c>
      <c r="O22" s="99">
        <v>2</v>
      </c>
      <c r="P22" s="93">
        <f>Q21</f>
        <v>36</v>
      </c>
      <c r="Q22" s="1">
        <f t="shared" ref="Q22:Q30" si="6">P22*8+28</f>
        <v>316</v>
      </c>
      <c r="R22" s="9">
        <f>SUM($Q$21:Q22)</f>
        <v>352</v>
      </c>
      <c r="S22" s="282">
        <f t="shared" ref="S22:S30" si="7">R22/R8</f>
        <v>710.95601160535671</v>
      </c>
      <c r="T22" s="9">
        <f>U8/S22</f>
        <v>2.2259585994149501E-3</v>
      </c>
      <c r="U22" s="287">
        <f t="shared" ref="U22:U30" si="8">S22*U8</f>
        <v>1125.1295843989676</v>
      </c>
    </row>
    <row r="23" spans="1:21" x14ac:dyDescent="0.2">
      <c r="A23" s="97">
        <v>3</v>
      </c>
      <c r="B23" s="93">
        <f t="shared" ref="B23:B30" si="9">C22</f>
        <v>64</v>
      </c>
      <c r="C23" s="1">
        <f t="shared" si="2"/>
        <v>512</v>
      </c>
      <c r="D23" s="9">
        <f>SUM($C$21:C23)</f>
        <v>584</v>
      </c>
      <c r="E23" s="9">
        <f t="shared" si="3"/>
        <v>867.63951409307447</v>
      </c>
      <c r="F23" s="9">
        <f t="shared" si="4"/>
        <v>2.6020894868337349E-3</v>
      </c>
      <c r="G23" s="287">
        <f t="shared" si="5"/>
        <v>1958.8486108722359</v>
      </c>
      <c r="O23" s="99">
        <v>3</v>
      </c>
      <c r="P23" s="93">
        <f t="shared" ref="P23:P30" si="10">Q22</f>
        <v>316</v>
      </c>
      <c r="Q23" s="1">
        <f t="shared" si="6"/>
        <v>2556</v>
      </c>
      <c r="R23" s="9">
        <f>SUM($Q$21:Q23)</f>
        <v>2908</v>
      </c>
      <c r="S23" s="282">
        <f t="shared" si="7"/>
        <v>4320.3693612716797</v>
      </c>
      <c r="T23" s="9">
        <f t="shared" ref="T23:T30" si="11">U9/S23</f>
        <v>5.2256542651681601E-4</v>
      </c>
      <c r="U23" s="287">
        <f t="shared" si="8"/>
        <v>9753.9927404391492</v>
      </c>
    </row>
    <row r="24" spans="1:21" x14ac:dyDescent="0.2">
      <c r="A24" s="97">
        <v>4</v>
      </c>
      <c r="B24" s="93">
        <f t="shared" si="9"/>
        <v>512</v>
      </c>
      <c r="C24" s="1">
        <f t="shared" si="2"/>
        <v>4096</v>
      </c>
      <c r="D24" s="9">
        <f>SUM($C$21:C24)</f>
        <v>4680</v>
      </c>
      <c r="E24" s="9">
        <f t="shared" si="3"/>
        <v>6035.6778851263234</v>
      </c>
      <c r="F24" s="9">
        <f t="shared" si="4"/>
        <v>4.7377823249735725E-4</v>
      </c>
      <c r="G24" s="287">
        <f t="shared" si="5"/>
        <v>17259.460311912058</v>
      </c>
      <c r="O24" s="99">
        <v>4</v>
      </c>
      <c r="P24" s="93">
        <f t="shared" si="10"/>
        <v>2556</v>
      </c>
      <c r="Q24" s="1">
        <f t="shared" si="6"/>
        <v>20476</v>
      </c>
      <c r="R24" s="9">
        <f>SUM($Q$21:Q24)</f>
        <v>23384</v>
      </c>
      <c r="S24" s="282">
        <f t="shared" si="7"/>
        <v>30157.754629443152</v>
      </c>
      <c r="T24" s="9">
        <f t="shared" si="11"/>
        <v>9.4820481016405747E-5</v>
      </c>
      <c r="U24" s="287">
        <f t="shared" si="8"/>
        <v>86238.294857639223</v>
      </c>
    </row>
    <row r="25" spans="1:21" x14ac:dyDescent="0.2">
      <c r="A25" s="97">
        <v>5</v>
      </c>
      <c r="B25" s="93">
        <f t="shared" si="9"/>
        <v>4096</v>
      </c>
      <c r="C25" s="1">
        <f t="shared" si="2"/>
        <v>32768</v>
      </c>
      <c r="D25" s="9">
        <f>SUM($C$21:C25)</f>
        <v>37448</v>
      </c>
      <c r="E25" s="9">
        <f t="shared" si="3"/>
        <v>44578.034386365311</v>
      </c>
      <c r="F25" s="9">
        <f t="shared" si="4"/>
        <v>7.6098877121925644E-5</v>
      </c>
      <c r="G25" s="287">
        <f t="shared" si="5"/>
        <v>151223.77611152438</v>
      </c>
      <c r="O25" s="99">
        <v>5</v>
      </c>
      <c r="P25" s="93">
        <f t="shared" si="10"/>
        <v>20476</v>
      </c>
      <c r="Q25" s="1">
        <f t="shared" si="6"/>
        <v>163836</v>
      </c>
      <c r="R25" s="9">
        <f>SUM($Q$21:Q25)</f>
        <v>187220</v>
      </c>
      <c r="S25" s="282">
        <f t="shared" si="7"/>
        <v>222866.36396644183</v>
      </c>
      <c r="T25" s="9">
        <f t="shared" si="11"/>
        <v>1.5221401295063945E-5</v>
      </c>
      <c r="U25" s="287">
        <f t="shared" si="8"/>
        <v>756038.11588334746</v>
      </c>
    </row>
    <row r="26" spans="1:21" x14ac:dyDescent="0.2">
      <c r="A26" s="97">
        <v>6</v>
      </c>
      <c r="B26" s="93">
        <f t="shared" si="9"/>
        <v>32768</v>
      </c>
      <c r="C26" s="1">
        <f t="shared" si="2"/>
        <v>262144</v>
      </c>
      <c r="D26" s="9">
        <f>SUM($C$21:C26)</f>
        <v>299592</v>
      </c>
      <c r="E26" s="9">
        <f t="shared" si="3"/>
        <v>339127.80085272511</v>
      </c>
      <c r="F26" s="9">
        <f t="shared" si="4"/>
        <v>1.1383930749307019E-5</v>
      </c>
      <c r="G26" s="287">
        <f t="shared" si="5"/>
        <v>1309239.2975422435</v>
      </c>
      <c r="O26" s="99">
        <v>6</v>
      </c>
      <c r="P26" s="93">
        <f t="shared" si="10"/>
        <v>163836</v>
      </c>
      <c r="Q26" s="1">
        <f t="shared" si="6"/>
        <v>1310716</v>
      </c>
      <c r="R26" s="9">
        <f>SUM($Q$21:Q26)</f>
        <v>1497936</v>
      </c>
      <c r="S26" s="282">
        <f t="shared" si="7"/>
        <v>1695611.837092204</v>
      </c>
      <c r="T26" s="9">
        <f t="shared" si="11"/>
        <v>2.276822628634594E-6</v>
      </c>
      <c r="U26" s="287">
        <f t="shared" si="8"/>
        <v>6546091.6059281882</v>
      </c>
    </row>
    <row r="27" spans="1:21" x14ac:dyDescent="0.2">
      <c r="A27" s="97">
        <v>7</v>
      </c>
      <c r="B27" s="93">
        <f t="shared" si="9"/>
        <v>262144</v>
      </c>
      <c r="C27" s="1">
        <f t="shared" si="2"/>
        <v>2097152</v>
      </c>
      <c r="D27" s="9">
        <f>SUM($C$21:C27)</f>
        <v>2396744</v>
      </c>
      <c r="E27" s="9">
        <f t="shared" si="3"/>
        <v>2623228.1999589805</v>
      </c>
      <c r="F27" s="9">
        <f t="shared" si="4"/>
        <v>1.6275334566962271E-6</v>
      </c>
      <c r="G27" s="287">
        <f t="shared" si="5"/>
        <v>11199588.599135151</v>
      </c>
      <c r="O27" s="99">
        <v>7</v>
      </c>
      <c r="P27" s="93">
        <f t="shared" si="10"/>
        <v>1310716</v>
      </c>
      <c r="Q27" s="1">
        <f t="shared" si="6"/>
        <v>10485756</v>
      </c>
      <c r="R27" s="9">
        <f>SUM($Q$21:Q27)</f>
        <v>11983692</v>
      </c>
      <c r="S27" s="282">
        <f t="shared" si="7"/>
        <v>13116110.353889626</v>
      </c>
      <c r="T27" s="9">
        <f t="shared" si="11"/>
        <v>3.2550745188844489E-7</v>
      </c>
      <c r="U27" s="287">
        <f t="shared" si="8"/>
        <v>55997812.156303354</v>
      </c>
    </row>
    <row r="28" spans="1:21" x14ac:dyDescent="0.2">
      <c r="A28" s="97">
        <v>8</v>
      </c>
      <c r="B28" s="93">
        <f t="shared" si="9"/>
        <v>2097152</v>
      </c>
      <c r="C28" s="1">
        <f t="shared" si="2"/>
        <v>16777216</v>
      </c>
      <c r="D28" s="9">
        <f>SUM($C$21:C28)</f>
        <v>19173960</v>
      </c>
      <c r="E28" s="9">
        <f t="shared" si="3"/>
        <v>20499558.509468738</v>
      </c>
      <c r="F28" s="9">
        <f t="shared" si="4"/>
        <v>2.2556157982605128E-7</v>
      </c>
      <c r="G28" s="287">
        <f t="shared" si="5"/>
        <v>94788171.050493047</v>
      </c>
      <c r="O28" s="99">
        <v>8</v>
      </c>
      <c r="P28" s="93">
        <f t="shared" si="10"/>
        <v>10485756</v>
      </c>
      <c r="Q28" s="1">
        <f t="shared" si="6"/>
        <v>83886076</v>
      </c>
      <c r="R28" s="9">
        <f>SUM($Q$21:Q28)</f>
        <v>95869768</v>
      </c>
      <c r="S28" s="282">
        <f t="shared" si="7"/>
        <v>102497758.33501236</v>
      </c>
      <c r="T28" s="9">
        <f t="shared" si="11"/>
        <v>4.5112331023076165E-8</v>
      </c>
      <c r="U28" s="287">
        <f t="shared" si="8"/>
        <v>473940697.05762833</v>
      </c>
    </row>
    <row r="29" spans="1:21" x14ac:dyDescent="0.2">
      <c r="A29" s="97">
        <v>9</v>
      </c>
      <c r="B29" s="93">
        <f t="shared" si="9"/>
        <v>16777216</v>
      </c>
      <c r="C29" s="1">
        <f t="shared" si="2"/>
        <v>134217728</v>
      </c>
      <c r="D29" s="9">
        <f>SUM($C$21:C29)</f>
        <v>153391688</v>
      </c>
      <c r="E29" s="9">
        <f t="shared" si="3"/>
        <v>161266049.81941202</v>
      </c>
      <c r="F29" s="9">
        <f t="shared" si="4"/>
        <v>3.0567179337134908E-8</v>
      </c>
      <c r="G29" s="287">
        <f t="shared" si="5"/>
        <v>794952649.6181519</v>
      </c>
      <c r="O29" s="99">
        <v>9</v>
      </c>
      <c r="P29" s="93">
        <f t="shared" si="10"/>
        <v>83886076</v>
      </c>
      <c r="Q29" s="1">
        <f t="shared" si="6"/>
        <v>671088636</v>
      </c>
      <c r="R29" s="9">
        <f>SUM($Q$21:Q29)</f>
        <v>766958404</v>
      </c>
      <c r="S29" s="282">
        <f t="shared" si="7"/>
        <v>806330211.24900019</v>
      </c>
      <c r="T29" s="9">
        <f t="shared" si="11"/>
        <v>6.1134361543834715E-9</v>
      </c>
      <c r="U29" s="287">
        <f t="shared" si="8"/>
        <v>3974763061.5207062</v>
      </c>
    </row>
    <row r="30" spans="1:21" ht="17" thickBot="1" x14ac:dyDescent="0.25">
      <c r="A30" s="145">
        <v>10</v>
      </c>
      <c r="B30" s="94">
        <f t="shared" si="9"/>
        <v>134217728</v>
      </c>
      <c r="C30" s="111">
        <f t="shared" si="2"/>
        <v>1073741824</v>
      </c>
      <c r="D30" s="10">
        <f>SUM($C$21:C30)</f>
        <v>1227133512</v>
      </c>
      <c r="E30" s="10">
        <f t="shared" si="3"/>
        <v>1274403867.2391505</v>
      </c>
      <c r="F30" s="10">
        <f t="shared" si="4"/>
        <v>4.0734312887413419E-9</v>
      </c>
      <c r="G30" s="288">
        <f t="shared" si="5"/>
        <v>6615681006.4600735</v>
      </c>
      <c r="O30" s="100">
        <v>10</v>
      </c>
      <c r="P30" s="94">
        <f t="shared" si="10"/>
        <v>671088636</v>
      </c>
      <c r="Q30" s="111">
        <f t="shared" si="6"/>
        <v>5368709116</v>
      </c>
      <c r="R30" s="10">
        <f>SUM($Q$21:Q30)</f>
        <v>6135667520</v>
      </c>
      <c r="S30" s="283">
        <f t="shared" si="7"/>
        <v>6372019294.6549139</v>
      </c>
      <c r="T30" s="10">
        <f t="shared" si="11"/>
        <v>8.1468626305941837E-10</v>
      </c>
      <c r="U30" s="288">
        <f t="shared" si="8"/>
        <v>33078404816.653709</v>
      </c>
    </row>
    <row r="31" spans="1:21" ht="17" thickBot="1" x14ac:dyDescent="0.25"/>
    <row r="32" spans="1:21" ht="17" thickBot="1" x14ac:dyDescent="0.25">
      <c r="A32" s="117" t="s">
        <v>135</v>
      </c>
      <c r="B32" s="118" t="s">
        <v>140</v>
      </c>
      <c r="C32" s="118" t="s">
        <v>139</v>
      </c>
      <c r="D32" s="170" t="s">
        <v>138</v>
      </c>
      <c r="E32" s="166" t="s">
        <v>151</v>
      </c>
      <c r="F32" s="168" t="s">
        <v>152</v>
      </c>
      <c r="G32" s="290" t="s">
        <v>47</v>
      </c>
      <c r="O32" s="29" t="s">
        <v>135</v>
      </c>
      <c r="P32" s="118" t="s">
        <v>140</v>
      </c>
      <c r="Q32" s="118" t="s">
        <v>139</v>
      </c>
      <c r="R32" s="118" t="s">
        <v>138</v>
      </c>
      <c r="S32" s="166" t="s">
        <v>151</v>
      </c>
      <c r="T32" s="168" t="s">
        <v>152</v>
      </c>
      <c r="U32" s="294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8</v>
      </c>
      <c r="D33" s="57">
        <f>SUM($C$33:C33)</f>
        <v>8</v>
      </c>
      <c r="E33" s="9">
        <f t="shared" ref="E33:E42" si="13">D33/R7</f>
        <v>62.795615002613289</v>
      </c>
      <c r="F33" s="8">
        <f t="shared" ref="F33:F42" si="14">U7/E33</f>
        <v>1.3230901169140595E-2</v>
      </c>
      <c r="G33" s="289">
        <f>E33*U7</f>
        <v>52.173270527448345</v>
      </c>
      <c r="O33" s="101">
        <v>1</v>
      </c>
      <c r="P33" s="109">
        <v>1</v>
      </c>
      <c r="Q33" s="110">
        <f>P33*8+28</f>
        <v>36</v>
      </c>
      <c r="R33" s="57">
        <f>SUM($Q$21)</f>
        <v>36</v>
      </c>
      <c r="S33" s="281">
        <f>R33/R7</f>
        <v>282.58026751175981</v>
      </c>
      <c r="T33" s="8">
        <f>U7/S33</f>
        <v>2.9402002598090211E-3</v>
      </c>
      <c r="U33" s="289">
        <f>S33*U7</f>
        <v>234.77971737351757</v>
      </c>
    </row>
    <row r="34" spans="1:21" x14ac:dyDescent="0.2">
      <c r="A34" s="97">
        <v>2</v>
      </c>
      <c r="B34" s="93">
        <f t="shared" ref="B34:B42" si="15">B33*($O$2+1)</f>
        <v>9</v>
      </c>
      <c r="C34" s="1">
        <f t="shared" si="12"/>
        <v>72</v>
      </c>
      <c r="D34" s="9">
        <f>SUM($C$33:C34)</f>
        <v>80</v>
      </c>
      <c r="E34" s="9">
        <f t="shared" si="13"/>
        <v>161.58091172849018</v>
      </c>
      <c r="F34" s="9">
        <f t="shared" si="14"/>
        <v>9.7942178374257789E-3</v>
      </c>
      <c r="G34" s="287">
        <f t="shared" ref="G34:G42" si="16">E34*U8</f>
        <v>255.71126918158356</v>
      </c>
      <c r="O34" s="99">
        <v>2</v>
      </c>
      <c r="P34" s="93">
        <f>Q33+1</f>
        <v>37</v>
      </c>
      <c r="Q34" s="1">
        <f t="shared" ref="Q34:Q42" si="17">P34*8+28</f>
        <v>324</v>
      </c>
      <c r="R34" s="9">
        <f>SUM($Q$33:Q34)</f>
        <v>360</v>
      </c>
      <c r="S34" s="282">
        <f>R34/R8</f>
        <v>727.11410277820573</v>
      </c>
      <c r="T34" s="9">
        <f t="shared" ref="T34:T42" si="18">U8/S34</f>
        <v>2.1764928527612847E-3</v>
      </c>
      <c r="U34" s="287">
        <f t="shared" ref="U34:U42" si="19">S34*U8</f>
        <v>1150.700711317126</v>
      </c>
    </row>
    <row r="35" spans="1:21" x14ac:dyDescent="0.2">
      <c r="A35" s="97">
        <v>3</v>
      </c>
      <c r="B35" s="93">
        <f t="shared" si="15"/>
        <v>81</v>
      </c>
      <c r="C35" s="1">
        <f t="shared" si="12"/>
        <v>648</v>
      </c>
      <c r="D35" s="9">
        <f>SUM($C$33:C35)</f>
        <v>728</v>
      </c>
      <c r="E35" s="9">
        <f t="shared" si="13"/>
        <v>1081.5780244173943</v>
      </c>
      <c r="F35" s="9">
        <f t="shared" si="14"/>
        <v>2.0873904674600292E-3</v>
      </c>
      <c r="G35" s="287">
        <f t="shared" si="16"/>
        <v>2441.8523779366233</v>
      </c>
      <c r="O35" s="99">
        <v>3</v>
      </c>
      <c r="P35" s="93">
        <f t="shared" ref="P35:P42" si="20">Q34+1</f>
        <v>325</v>
      </c>
      <c r="Q35" s="1">
        <f t="shared" si="17"/>
        <v>2628</v>
      </c>
      <c r="R35" s="9">
        <f>SUM($Q$33:Q35)</f>
        <v>2988</v>
      </c>
      <c r="S35" s="282">
        <f t="shared" ref="S35:S42" si="21">R35/R9</f>
        <v>4439.224089229635</v>
      </c>
      <c r="T35" s="9">
        <f t="shared" si="18"/>
        <v>5.0857438430753049E-4</v>
      </c>
      <c r="U35" s="287">
        <f t="shared" si="19"/>
        <v>10022.32816658603</v>
      </c>
    </row>
    <row r="36" spans="1:21" x14ac:dyDescent="0.2">
      <c r="A36" s="97">
        <v>4</v>
      </c>
      <c r="B36" s="93">
        <f t="shared" si="15"/>
        <v>729</v>
      </c>
      <c r="C36" s="1">
        <f t="shared" si="12"/>
        <v>5832</v>
      </c>
      <c r="D36" s="9">
        <f>SUM($C$33:C36)</f>
        <v>6560</v>
      </c>
      <c r="E36" s="9">
        <f t="shared" si="13"/>
        <v>8460.266437271086</v>
      </c>
      <c r="F36" s="9">
        <f t="shared" si="14"/>
        <v>3.3800032440360243E-4</v>
      </c>
      <c r="G36" s="287">
        <f t="shared" si="16"/>
        <v>24192.747787637414</v>
      </c>
      <c r="O36" s="99">
        <v>4</v>
      </c>
      <c r="P36" s="93">
        <f t="shared" si="20"/>
        <v>2629</v>
      </c>
      <c r="Q36" s="1">
        <f t="shared" si="17"/>
        <v>21060</v>
      </c>
      <c r="R36" s="9">
        <f>SUM($Q$33:Q36)</f>
        <v>24048</v>
      </c>
      <c r="S36" s="282">
        <f t="shared" si="21"/>
        <v>31014.098671264492</v>
      </c>
      <c r="T36" s="9">
        <f t="shared" si="18"/>
        <v>9.2202350635713236E-5</v>
      </c>
      <c r="U36" s="287">
        <f t="shared" si="19"/>
        <v>88687.072987363499</v>
      </c>
    </row>
    <row r="37" spans="1:21" x14ac:dyDescent="0.2">
      <c r="A37" s="97">
        <v>5</v>
      </c>
      <c r="B37" s="93">
        <f t="shared" si="15"/>
        <v>6561</v>
      </c>
      <c r="C37" s="1">
        <f t="shared" si="12"/>
        <v>52488</v>
      </c>
      <c r="D37" s="9">
        <f>SUM($C$33:C37)</f>
        <v>59048</v>
      </c>
      <c r="E37" s="9">
        <f t="shared" si="13"/>
        <v>70290.637001871903</v>
      </c>
      <c r="F37" s="9">
        <f t="shared" si="14"/>
        <v>4.82615965055865E-5</v>
      </c>
      <c r="G37" s="287">
        <f t="shared" si="16"/>
        <v>238449.62432795588</v>
      </c>
      <c r="O37" s="99">
        <v>5</v>
      </c>
      <c r="P37" s="93">
        <f t="shared" si="20"/>
        <v>21061</v>
      </c>
      <c r="Q37" s="1">
        <f t="shared" si="17"/>
        <v>168516</v>
      </c>
      <c r="R37" s="9">
        <f>SUM($Q$33:Q37)</f>
        <v>192564</v>
      </c>
      <c r="S37" s="282">
        <f t="shared" si="21"/>
        <v>229227.85231724125</v>
      </c>
      <c r="T37" s="9">
        <f t="shared" si="18"/>
        <v>1.4798979822094843E-5</v>
      </c>
      <c r="U37" s="287">
        <f t="shared" si="19"/>
        <v>777618.4368494869</v>
      </c>
    </row>
    <row r="38" spans="1:21" x14ac:dyDescent="0.2">
      <c r="A38" s="97">
        <v>6</v>
      </c>
      <c r="B38" s="93">
        <f t="shared" si="15"/>
        <v>59049</v>
      </c>
      <c r="C38" s="1">
        <f t="shared" si="12"/>
        <v>472392</v>
      </c>
      <c r="D38" s="9">
        <f>SUM($C$33:C38)</f>
        <v>531440</v>
      </c>
      <c r="E38" s="9">
        <f t="shared" si="13"/>
        <v>601571.73250678333</v>
      </c>
      <c r="F38" s="9">
        <f t="shared" si="14"/>
        <v>6.4175345872467045E-6</v>
      </c>
      <c r="G38" s="287">
        <f t="shared" si="16"/>
        <v>2322432.2821899443</v>
      </c>
      <c r="O38" s="99">
        <v>6</v>
      </c>
      <c r="P38" s="93">
        <f t="shared" si="20"/>
        <v>168517</v>
      </c>
      <c r="Q38" s="1">
        <f t="shared" si="17"/>
        <v>1348164</v>
      </c>
      <c r="R38" s="9">
        <f>SUM($Q$33:Q38)</f>
        <v>1540728</v>
      </c>
      <c r="S38" s="282">
        <f t="shared" si="21"/>
        <v>1744050.9037364731</v>
      </c>
      <c r="T38" s="9">
        <f t="shared" si="18"/>
        <v>2.213586422163022E-6</v>
      </c>
      <c r="U38" s="287">
        <f t="shared" si="19"/>
        <v>6733095.825067644</v>
      </c>
    </row>
    <row r="39" spans="1:21" x14ac:dyDescent="0.2">
      <c r="A39" s="97">
        <v>7</v>
      </c>
      <c r="B39" s="93">
        <f t="shared" si="15"/>
        <v>531441</v>
      </c>
      <c r="C39" s="1">
        <f t="shared" si="12"/>
        <v>4251528</v>
      </c>
      <c r="D39" s="9">
        <f>SUM($C$33:C39)</f>
        <v>4782968</v>
      </c>
      <c r="E39" s="9">
        <f t="shared" si="13"/>
        <v>5234942.2955064895</v>
      </c>
      <c r="F39" s="9">
        <f t="shared" si="14"/>
        <v>8.1555658476827405E-7</v>
      </c>
      <c r="G39" s="287">
        <f t="shared" si="16"/>
        <v>22350018.976923801</v>
      </c>
      <c r="O39" s="99">
        <v>7</v>
      </c>
      <c r="P39" s="93">
        <f t="shared" si="20"/>
        <v>1348165</v>
      </c>
      <c r="Q39" s="1">
        <f t="shared" si="17"/>
        <v>10785348</v>
      </c>
      <c r="R39" s="9">
        <f>SUM($Q$33:Q39)</f>
        <v>12326076</v>
      </c>
      <c r="S39" s="282">
        <f t="shared" si="21"/>
        <v>13490848.483625114</v>
      </c>
      <c r="T39" s="9">
        <f t="shared" si="18"/>
        <v>3.1646576308112512E-7</v>
      </c>
      <c r="U39" s="287">
        <f t="shared" si="19"/>
        <v>57597716.0020734</v>
      </c>
    </row>
    <row r="40" spans="1:21" x14ac:dyDescent="0.2">
      <c r="A40" s="97">
        <v>8</v>
      </c>
      <c r="B40" s="93">
        <f t="shared" si="15"/>
        <v>4782969</v>
      </c>
      <c r="C40" s="1">
        <f t="shared" si="12"/>
        <v>38263752</v>
      </c>
      <c r="D40" s="9">
        <f>SUM($C$33:C40)</f>
        <v>43046720</v>
      </c>
      <c r="E40" s="9">
        <f t="shared" si="13"/>
        <v>46022770.219647795</v>
      </c>
      <c r="F40" s="9">
        <f t="shared" si="14"/>
        <v>1.0047011036198611E-7</v>
      </c>
      <c r="G40" s="287">
        <f t="shared" si="16"/>
        <v>212805276.4542473</v>
      </c>
      <c r="O40" s="99">
        <v>8</v>
      </c>
      <c r="P40" s="93">
        <f t="shared" si="20"/>
        <v>10785349</v>
      </c>
      <c r="Q40" s="1">
        <f t="shared" si="17"/>
        <v>86282820</v>
      </c>
      <c r="R40" s="9">
        <f>SUM($Q$33:Q40)</f>
        <v>98608896</v>
      </c>
      <c r="S40" s="282">
        <f t="shared" si="21"/>
        <v>105426256.91855609</v>
      </c>
      <c r="T40" s="9">
        <f t="shared" si="18"/>
        <v>4.3859214376779093E-8</v>
      </c>
      <c r="U40" s="287">
        <f t="shared" si="19"/>
        <v>487481819.15203112</v>
      </c>
    </row>
    <row r="41" spans="1:21" x14ac:dyDescent="0.2">
      <c r="A41" s="97">
        <v>9</v>
      </c>
      <c r="B41" s="93">
        <f t="shared" si="15"/>
        <v>43046721</v>
      </c>
      <c r="C41" s="1">
        <f t="shared" si="12"/>
        <v>344373768</v>
      </c>
      <c r="D41" s="9">
        <f>SUM($C$33:C41)</f>
        <v>387420488</v>
      </c>
      <c r="E41" s="9">
        <f t="shared" si="13"/>
        <v>407308717.52887231</v>
      </c>
      <c r="F41" s="9">
        <f t="shared" si="14"/>
        <v>1.2102486526014198E-8</v>
      </c>
      <c r="G41" s="287">
        <f t="shared" si="16"/>
        <v>2007807251.2765973</v>
      </c>
      <c r="O41" s="99">
        <v>9</v>
      </c>
      <c r="P41" s="93">
        <f t="shared" si="20"/>
        <v>86282821</v>
      </c>
      <c r="Q41" s="1">
        <f t="shared" si="17"/>
        <v>690262596</v>
      </c>
      <c r="R41" s="9">
        <f>SUM($Q$33:Q41)</f>
        <v>788871492</v>
      </c>
      <c r="S41" s="282">
        <f t="shared" si="21"/>
        <v>829368207.55232763</v>
      </c>
      <c r="T41" s="9">
        <f t="shared" si="18"/>
        <v>5.9436185531747483E-9</v>
      </c>
      <c r="U41" s="287">
        <f t="shared" si="19"/>
        <v>4088327672.4461412</v>
      </c>
    </row>
    <row r="42" spans="1:21" ht="17" thickBot="1" x14ac:dyDescent="0.25">
      <c r="A42" s="145">
        <v>10</v>
      </c>
      <c r="B42" s="94">
        <f t="shared" si="15"/>
        <v>387420489</v>
      </c>
      <c r="C42" s="111">
        <f t="shared" si="12"/>
        <v>3099363912</v>
      </c>
      <c r="D42" s="10">
        <f>SUM($C$33:C42)</f>
        <v>3486784400</v>
      </c>
      <c r="E42" s="9">
        <f t="shared" si="13"/>
        <v>3621098666.2298412</v>
      </c>
      <c r="F42" s="10">
        <f t="shared" si="14"/>
        <v>1.4335971112076356E-9</v>
      </c>
      <c r="G42" s="288">
        <f t="shared" si="16"/>
        <v>18797835038.426758</v>
      </c>
      <c r="O42" s="100">
        <v>10</v>
      </c>
      <c r="P42" s="94">
        <f t="shared" si="20"/>
        <v>690262597</v>
      </c>
      <c r="Q42" s="111">
        <f t="shared" si="17"/>
        <v>5522100804</v>
      </c>
      <c r="R42" s="10">
        <f>SUM($Q$33:Q42)</f>
        <v>6310972296</v>
      </c>
      <c r="S42" s="283">
        <f t="shared" si="21"/>
        <v>6554076978.1059818</v>
      </c>
      <c r="T42" s="10">
        <f t="shared" si="18"/>
        <v>7.9205609037645011E-10</v>
      </c>
      <c r="U42" s="288">
        <f t="shared" si="19"/>
        <v>34023502041.677532</v>
      </c>
    </row>
    <row r="43" spans="1:21" ht="17" thickBot="1" x14ac:dyDescent="0.25">
      <c r="U43" s="285"/>
    </row>
    <row r="44" spans="1:21" ht="17" thickBot="1" x14ac:dyDescent="0.25">
      <c r="A44" s="117" t="s">
        <v>135</v>
      </c>
      <c r="B44" s="118" t="s">
        <v>140</v>
      </c>
      <c r="C44" s="118" t="s">
        <v>139</v>
      </c>
      <c r="D44" s="170" t="s">
        <v>138</v>
      </c>
      <c r="E44" s="166" t="s">
        <v>151</v>
      </c>
      <c r="F44" s="168" t="s">
        <v>152</v>
      </c>
      <c r="G44" s="290" t="s">
        <v>47</v>
      </c>
      <c r="O44" s="29" t="s">
        <v>135</v>
      </c>
      <c r="P44" s="118" t="s">
        <v>140</v>
      </c>
      <c r="Q44" s="118" t="s">
        <v>139</v>
      </c>
      <c r="R44" s="118" t="s">
        <v>138</v>
      </c>
      <c r="S44" s="166" t="s">
        <v>151</v>
      </c>
      <c r="T44" s="168" t="s">
        <v>152</v>
      </c>
      <c r="U44" s="294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8</v>
      </c>
      <c r="D45" s="57">
        <f>SUM(C45:C45)</f>
        <v>8</v>
      </c>
      <c r="E45" s="57">
        <f t="shared" ref="E45:E54" si="23">D45/R7</f>
        <v>62.795615002613289</v>
      </c>
      <c r="F45" s="8">
        <f t="shared" ref="F45:F54" si="24">U7/E45</f>
        <v>1.3230901169140595E-2</v>
      </c>
      <c r="G45" s="286">
        <f>E45*U7</f>
        <v>52.173270527448345</v>
      </c>
      <c r="O45" s="101">
        <v>1</v>
      </c>
      <c r="P45" s="109">
        <v>1</v>
      </c>
      <c r="Q45" s="110">
        <f>P45*8+28</f>
        <v>36</v>
      </c>
      <c r="R45" s="57">
        <f>SUM($Q$21)</f>
        <v>36</v>
      </c>
      <c r="S45" s="281">
        <f>R45/R7</f>
        <v>282.58026751175981</v>
      </c>
      <c r="T45" s="8">
        <f>U7/S45</f>
        <v>2.9402002598090211E-3</v>
      </c>
      <c r="U45" s="289">
        <f>S45*U7</f>
        <v>234.77971737351757</v>
      </c>
    </row>
    <row r="46" spans="1:21" x14ac:dyDescent="0.2">
      <c r="A46" s="97">
        <v>2</v>
      </c>
      <c r="B46" s="93">
        <f t="shared" ref="B46:B54" si="25">B45*$O$2*2</f>
        <v>16</v>
      </c>
      <c r="C46" s="1">
        <f t="shared" si="22"/>
        <v>128</v>
      </c>
      <c r="D46" s="9">
        <f>SUM($C$45:C46)</f>
        <v>136</v>
      </c>
      <c r="E46" s="9">
        <f t="shared" si="23"/>
        <v>274.68754993843328</v>
      </c>
      <c r="F46" s="9">
        <f t="shared" si="24"/>
        <v>5.7613046102504588E-3</v>
      </c>
      <c r="G46" s="287">
        <f t="shared" ref="G46:G54" si="26">E46*U8</f>
        <v>434.70915760869201</v>
      </c>
      <c r="O46" s="99">
        <v>2</v>
      </c>
      <c r="P46" s="93">
        <f>Q45*2</f>
        <v>72</v>
      </c>
      <c r="Q46" s="1">
        <f t="shared" ref="Q46:Q54" si="27">P46*8+28</f>
        <v>604</v>
      </c>
      <c r="R46" s="9">
        <f>SUM($Q$45:Q46)</f>
        <v>640</v>
      </c>
      <c r="S46" s="282">
        <f t="shared" ref="S46:S54" si="28">R46/R8</f>
        <v>1292.6472938279214</v>
      </c>
      <c r="T46" s="9">
        <f t="shared" ref="T46:T54" si="29">U8/S46</f>
        <v>1.2242772296782224E-3</v>
      </c>
      <c r="U46" s="287">
        <f t="shared" ref="U46:U54" si="30">S46*U8</f>
        <v>2045.6901534526685</v>
      </c>
    </row>
    <row r="47" spans="1:21" x14ac:dyDescent="0.2">
      <c r="A47" s="97">
        <v>3</v>
      </c>
      <c r="B47" s="93">
        <f t="shared" si="25"/>
        <v>256</v>
      </c>
      <c r="C47" s="1">
        <f t="shared" si="22"/>
        <v>2048</v>
      </c>
      <c r="D47" s="9">
        <f>SUM($C$45:C47)</f>
        <v>2184</v>
      </c>
      <c r="E47" s="9">
        <f t="shared" si="23"/>
        <v>3244.734073252183</v>
      </c>
      <c r="F47" s="9">
        <f t="shared" si="24"/>
        <v>6.9579682248667636E-4</v>
      </c>
      <c r="G47" s="287">
        <f t="shared" si="26"/>
        <v>7325.5571338098698</v>
      </c>
      <c r="O47" s="99">
        <v>3</v>
      </c>
      <c r="P47" s="93">
        <f t="shared" ref="P47:P54" si="31">Q46*2</f>
        <v>1208</v>
      </c>
      <c r="Q47" s="1">
        <f t="shared" si="27"/>
        <v>9692</v>
      </c>
      <c r="R47" s="9">
        <f>SUM($Q$45:Q47)</f>
        <v>10332</v>
      </c>
      <c r="S47" s="282">
        <f t="shared" si="28"/>
        <v>15350.088115769942</v>
      </c>
      <c r="T47" s="9">
        <f t="shared" si="29"/>
        <v>1.4707900312726493E-4</v>
      </c>
      <c r="U47" s="287">
        <f t="shared" si="30"/>
        <v>34655.520286869767</v>
      </c>
    </row>
    <row r="48" spans="1:21" x14ac:dyDescent="0.2">
      <c r="A48" s="97">
        <v>4</v>
      </c>
      <c r="B48" s="93">
        <f t="shared" si="25"/>
        <v>4096</v>
      </c>
      <c r="C48" s="1">
        <f t="shared" si="22"/>
        <v>32768</v>
      </c>
      <c r="D48" s="9">
        <f>SUM($C$45:C48)</f>
        <v>34952</v>
      </c>
      <c r="E48" s="9">
        <f t="shared" si="23"/>
        <v>45076.712273704114</v>
      </c>
      <c r="F48" s="9">
        <f t="shared" si="24"/>
        <v>6.343791851933028E-5</v>
      </c>
      <c r="G48" s="287">
        <f t="shared" si="26"/>
        <v>128900.14034657057</v>
      </c>
      <c r="O48" s="99">
        <v>4</v>
      </c>
      <c r="P48" s="93">
        <f t="shared" si="31"/>
        <v>19384</v>
      </c>
      <c r="Q48" s="1">
        <f t="shared" si="27"/>
        <v>155100</v>
      </c>
      <c r="R48" s="9">
        <f>SUM($Q$45:Q48)</f>
        <v>165432</v>
      </c>
      <c r="S48" s="282">
        <f t="shared" si="28"/>
        <v>213353.47519064485</v>
      </c>
      <c r="T48" s="9">
        <f t="shared" si="29"/>
        <v>1.3402982059623484E-5</v>
      </c>
      <c r="U48" s="287">
        <f t="shared" si="30"/>
        <v>610099.79451287084</v>
      </c>
    </row>
    <row r="49" spans="1:21" x14ac:dyDescent="0.2">
      <c r="A49" s="97">
        <v>5</v>
      </c>
      <c r="B49" s="93">
        <f t="shared" si="25"/>
        <v>65536</v>
      </c>
      <c r="C49" s="1">
        <f t="shared" si="22"/>
        <v>524288</v>
      </c>
      <c r="D49" s="9">
        <f>SUM($C$45:C49)</f>
        <v>559240</v>
      </c>
      <c r="E49" s="9">
        <f t="shared" si="23"/>
        <v>665718.32808777341</v>
      </c>
      <c r="F49" s="9">
        <f t="shared" si="24"/>
        <v>5.0957562950823824E-6</v>
      </c>
      <c r="G49" s="287">
        <f t="shared" si="26"/>
        <v>2258341.8220628314</v>
      </c>
      <c r="O49" s="99">
        <v>5</v>
      </c>
      <c r="P49" s="93">
        <f t="shared" si="31"/>
        <v>310200</v>
      </c>
      <c r="Q49" s="1">
        <f t="shared" si="27"/>
        <v>2481628</v>
      </c>
      <c r="R49" s="9">
        <f>SUM($Q$45:Q49)</f>
        <v>2647060</v>
      </c>
      <c r="S49" s="282">
        <f t="shared" si="28"/>
        <v>3151055.6425649477</v>
      </c>
      <c r="T49" s="9">
        <f t="shared" si="29"/>
        <v>1.0765720272535837E-6</v>
      </c>
      <c r="U49" s="287">
        <f t="shared" si="30"/>
        <v>10689446.934249407</v>
      </c>
    </row>
    <row r="50" spans="1:21" x14ac:dyDescent="0.2">
      <c r="A50" s="97">
        <v>6</v>
      </c>
      <c r="B50" s="93">
        <f t="shared" si="25"/>
        <v>1048576</v>
      </c>
      <c r="C50" s="1">
        <f t="shared" si="22"/>
        <v>8388608</v>
      </c>
      <c r="D50" s="9">
        <f>SUM($C$45:C50)</f>
        <v>8947848</v>
      </c>
      <c r="E50" s="9">
        <f t="shared" si="23"/>
        <v>10128655.019508045</v>
      </c>
      <c r="F50" s="9">
        <f t="shared" si="24"/>
        <v>3.811569643389549E-7</v>
      </c>
      <c r="G50" s="287">
        <f t="shared" si="26"/>
        <v>39102760.521091238</v>
      </c>
      <c r="O50" s="99">
        <v>6</v>
      </c>
      <c r="P50" s="93">
        <f t="shared" si="31"/>
        <v>4963256</v>
      </c>
      <c r="Q50" s="1">
        <f t="shared" si="27"/>
        <v>39706076</v>
      </c>
      <c r="R50" s="9">
        <f>SUM($Q$45:Q50)</f>
        <v>42353136</v>
      </c>
      <c r="S50" s="282">
        <f t="shared" si="28"/>
        <v>47942287.747658089</v>
      </c>
      <c r="T50" s="9">
        <f t="shared" si="29"/>
        <v>8.0526140521126665E-8</v>
      </c>
      <c r="U50" s="287">
        <f t="shared" si="30"/>
        <v>185086350.85499981</v>
      </c>
    </row>
    <row r="51" spans="1:21" x14ac:dyDescent="0.2">
      <c r="A51" s="97">
        <v>7</v>
      </c>
      <c r="B51" s="93">
        <f t="shared" si="25"/>
        <v>16777216</v>
      </c>
      <c r="C51" s="1">
        <f t="shared" si="22"/>
        <v>134217728</v>
      </c>
      <c r="D51" s="9">
        <f>SUM($C$45:C51)</f>
        <v>143165576</v>
      </c>
      <c r="E51" s="9">
        <f t="shared" si="23"/>
        <v>156694238.61145395</v>
      </c>
      <c r="F51" s="9">
        <f t="shared" si="24"/>
        <v>2.724664096022596E-8</v>
      </c>
      <c r="G51" s="287">
        <f t="shared" si="26"/>
        <v>668989075.49501193</v>
      </c>
      <c r="O51" s="99">
        <v>7</v>
      </c>
      <c r="P51" s="93">
        <f t="shared" si="31"/>
        <v>79412152</v>
      </c>
      <c r="Q51" s="1">
        <f t="shared" si="27"/>
        <v>635297244</v>
      </c>
      <c r="R51" s="9">
        <f>SUM($Q$45:Q51)</f>
        <v>677650380</v>
      </c>
      <c r="S51" s="282">
        <f t="shared" si="28"/>
        <v>741686048.45945966</v>
      </c>
      <c r="T51" s="9">
        <f t="shared" si="29"/>
        <v>5.7563327082262423E-9</v>
      </c>
      <c r="U51" s="287">
        <f t="shared" si="30"/>
        <v>3166548229.6180167</v>
      </c>
    </row>
    <row r="52" spans="1:21" x14ac:dyDescent="0.2">
      <c r="A52" s="97">
        <v>8</v>
      </c>
      <c r="B52" s="93">
        <f t="shared" si="25"/>
        <v>268435456</v>
      </c>
      <c r="C52" s="1">
        <f t="shared" si="22"/>
        <v>2147483648</v>
      </c>
      <c r="D52" s="9">
        <f>SUM($C$45:C52)</f>
        <v>2290649224</v>
      </c>
      <c r="E52" s="9">
        <f t="shared" si="23"/>
        <v>2449014068.6669397</v>
      </c>
      <c r="F52" s="9">
        <f t="shared" si="24"/>
        <v>1.8880711476064549E-9</v>
      </c>
      <c r="G52" s="287">
        <f t="shared" si="26"/>
        <v>11324027507.16029</v>
      </c>
      <c r="O52" s="99">
        <v>8</v>
      </c>
      <c r="P52" s="93">
        <f t="shared" si="31"/>
        <v>1270594488</v>
      </c>
      <c r="Q52" s="1">
        <f t="shared" si="27"/>
        <v>10164755932</v>
      </c>
      <c r="R52" s="9">
        <f>SUM($Q$45:Q52)</f>
        <v>10842406312</v>
      </c>
      <c r="S52" s="282">
        <f t="shared" si="28"/>
        <v>11591999909.05776</v>
      </c>
      <c r="T52" s="9">
        <f t="shared" si="29"/>
        <v>3.9888827117047401E-10</v>
      </c>
      <c r="U52" s="287">
        <f t="shared" si="30"/>
        <v>53600396793.401115</v>
      </c>
    </row>
    <row r="53" spans="1:21" x14ac:dyDescent="0.2">
      <c r="A53" s="97">
        <v>9</v>
      </c>
      <c r="B53" s="93">
        <f t="shared" si="25"/>
        <v>4294967296</v>
      </c>
      <c r="C53" s="1">
        <f t="shared" si="22"/>
        <v>34359738368</v>
      </c>
      <c r="D53" s="9">
        <f>SUM($C$45:C53)</f>
        <v>36650387592</v>
      </c>
      <c r="E53" s="9">
        <f t="shared" si="23"/>
        <v>38531835123.375343</v>
      </c>
      <c r="F53" s="9">
        <f t="shared" si="24"/>
        <v>1.2793183221192726E-10</v>
      </c>
      <c r="G53" s="287">
        <f t="shared" si="26"/>
        <v>189940687827.83484</v>
      </c>
      <c r="O53" s="99">
        <v>9</v>
      </c>
      <c r="P53" s="93">
        <f t="shared" si="31"/>
        <v>20329511864</v>
      </c>
      <c r="Q53" s="1">
        <f t="shared" si="27"/>
        <v>162636094940</v>
      </c>
      <c r="R53" s="9">
        <f>SUM($Q$45:Q53)</f>
        <v>173478501252</v>
      </c>
      <c r="S53" s="282">
        <f t="shared" si="28"/>
        <v>182384019566.31418</v>
      </c>
      <c r="T53" s="9">
        <f t="shared" si="29"/>
        <v>2.7027851878376714E-11</v>
      </c>
      <c r="U53" s="287">
        <f t="shared" si="30"/>
        <v>899052588964.68542</v>
      </c>
    </row>
    <row r="54" spans="1:21" ht="17" thickBot="1" x14ac:dyDescent="0.25">
      <c r="A54" s="145">
        <v>10</v>
      </c>
      <c r="B54" s="94">
        <f t="shared" si="25"/>
        <v>68719476736</v>
      </c>
      <c r="C54" s="111">
        <f t="shared" si="22"/>
        <v>549755813888</v>
      </c>
      <c r="D54" s="10">
        <f>SUM($C$45:C54)</f>
        <v>586406201480</v>
      </c>
      <c r="E54" s="10">
        <f t="shared" si="23"/>
        <v>608995128591.29907</v>
      </c>
      <c r="F54" s="10">
        <f t="shared" si="24"/>
        <v>8.5242005125935436E-12</v>
      </c>
      <c r="G54" s="288">
        <f t="shared" si="26"/>
        <v>3161413433228.4741</v>
      </c>
      <c r="O54" s="100">
        <v>10</v>
      </c>
      <c r="P54" s="94">
        <f t="shared" si="31"/>
        <v>325272189880</v>
      </c>
      <c r="Q54" s="111">
        <f t="shared" si="27"/>
        <v>2602177519068</v>
      </c>
      <c r="R54" s="10">
        <f>SUM($Q$45:Q54)</f>
        <v>2775656020320</v>
      </c>
      <c r="S54" s="283">
        <f t="shared" si="28"/>
        <v>2882576941979.4302</v>
      </c>
      <c r="T54" s="10">
        <f t="shared" si="29"/>
        <v>1.8008874322501837E-12</v>
      </c>
      <c r="U54" s="288">
        <f t="shared" si="30"/>
        <v>14964023583847.479</v>
      </c>
    </row>
  </sheetData>
  <mergeCells count="2">
    <mergeCell ref="A18:F18"/>
    <mergeCell ref="O18:T18"/>
  </mergeCells>
  <conditionalFormatting sqref="F45:F54">
    <cfRule type="cellIs" dxfId="563" priority="59" operator="equal">
      <formula>MAX($F$45:$F$54)</formula>
    </cfRule>
  </conditionalFormatting>
  <conditionalFormatting sqref="F21:F30">
    <cfRule type="cellIs" dxfId="562" priority="57" operator="equal">
      <formula>MAX($F$21:$F$30)</formula>
    </cfRule>
  </conditionalFormatting>
  <conditionalFormatting sqref="E33:E42">
    <cfRule type="cellIs" dxfId="561" priority="53" stopIfTrue="1" operator="lessThan">
      <formula>0</formula>
    </cfRule>
    <cfRule type="cellIs" dxfId="560" priority="54" operator="equal">
      <formula>MIN($E$33:$E$42)</formula>
    </cfRule>
  </conditionalFormatting>
  <conditionalFormatting sqref="E21:E30">
    <cfRule type="cellIs" dxfId="559" priority="49" stopIfTrue="1" operator="lessThan">
      <formula>0</formula>
    </cfRule>
    <cfRule type="cellIs" dxfId="558" priority="50" operator="equal">
      <formula>MIN($E$21:$E$30)</formula>
    </cfRule>
  </conditionalFormatting>
  <conditionalFormatting sqref="E45:E54">
    <cfRule type="cellIs" dxfId="557" priority="45" stopIfTrue="1" operator="lessThan">
      <formula>0</formula>
    </cfRule>
    <cfRule type="cellIs" dxfId="556" priority="46" operator="equal">
      <formula>MIN($E$45:$E$54)</formula>
    </cfRule>
  </conditionalFormatting>
  <conditionalFormatting sqref="F33:F42">
    <cfRule type="cellIs" dxfId="555" priority="31" operator="lessThanOrEqual">
      <formula>0</formula>
    </cfRule>
    <cfRule type="cellIs" dxfId="554" priority="32" operator="equal">
      <formula>MAX($F$33:$F$42)</formula>
    </cfRule>
  </conditionalFormatting>
  <conditionalFormatting sqref="S7:T16">
    <cfRule type="cellIs" dxfId="553" priority="13" operator="lessThanOrEqual">
      <formula>0</formula>
    </cfRule>
    <cfRule type="cellIs" dxfId="552" priority="14" operator="greaterThan">
      <formula>0</formula>
    </cfRule>
  </conditionalFormatting>
  <conditionalFormatting sqref="U7:U16">
    <cfRule type="cellIs" dxfId="551" priority="15" operator="lessThanOrEqual">
      <formula>0</formula>
    </cfRule>
    <cfRule type="cellIs" dxfId="550" priority="16" operator="greaterThan">
      <formula>0</formula>
    </cfRule>
  </conditionalFormatting>
  <conditionalFormatting sqref="R7:R16">
    <cfRule type="cellIs" dxfId="549" priority="17" operator="lessThanOrEqual">
      <formula>0</formula>
    </cfRule>
    <cfRule type="cellIs" dxfId="548" priority="18" operator="greaterThan">
      <formula>0</formula>
    </cfRule>
  </conditionalFormatting>
  <conditionalFormatting sqref="T21:T30">
    <cfRule type="cellIs" dxfId="547" priority="9" operator="equal">
      <formula>MAX($T$21:$T$30)</formula>
    </cfRule>
  </conditionalFormatting>
  <conditionalFormatting sqref="S33:S42">
    <cfRule type="cellIs" dxfId="546" priority="7" stopIfTrue="1" operator="lessThan">
      <formula>0</formula>
    </cfRule>
    <cfRule type="cellIs" dxfId="545" priority="8" operator="equal">
      <formula>MIN($E$21:$E$30)</formula>
    </cfRule>
  </conditionalFormatting>
  <conditionalFormatting sqref="T33:T42">
    <cfRule type="cellIs" dxfId="544" priority="6" operator="equal">
      <formula>MAX($T$21:$T$30)</formula>
    </cfRule>
  </conditionalFormatting>
  <conditionalFormatting sqref="S45:S54">
    <cfRule type="cellIs" dxfId="543" priority="4" stopIfTrue="1" operator="lessThan">
      <formula>0</formula>
    </cfRule>
    <cfRule type="cellIs" dxfId="542" priority="5" operator="equal">
      <formula>MIN($E$21:$E$30)</formula>
    </cfRule>
  </conditionalFormatting>
  <conditionalFormatting sqref="T45:T54">
    <cfRule type="cellIs" dxfId="541" priority="3" operator="equal">
      <formula>MAX($T$21:$T$30)</formula>
    </cfRule>
  </conditionalFormatting>
  <conditionalFormatting sqref="S21:S30">
    <cfRule type="cellIs" dxfId="540" priority="1" stopIfTrue="1" operator="lessThan">
      <formula>0</formula>
    </cfRule>
    <cfRule type="cellIs" dxfId="539" priority="2" operator="equal">
      <formula>MIN($E$21:$E$30)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pageSetUpPr fitToPage="1"/>
  </sheetPr>
  <dimension ref="A1:W54"/>
  <sheetViews>
    <sheetView workbookViewId="0">
      <selection activeCell="C7" sqref="C7:C16"/>
    </sheetView>
  </sheetViews>
  <sheetFormatPr baseColWidth="10" defaultColWidth="8.6640625" defaultRowHeight="16" x14ac:dyDescent="0.2"/>
  <cols>
    <col min="13" max="13" width="9.1640625" bestFit="1" customWidth="1"/>
    <col min="14" max="14" width="5.6640625" bestFit="1" customWidth="1"/>
  </cols>
  <sheetData>
    <row r="1" spans="1:23" x14ac:dyDescent="0.2">
      <c r="C1" t="s">
        <v>95</v>
      </c>
      <c r="D1">
        <f>C2+E2</f>
        <v>0.99999999999999956</v>
      </c>
    </row>
    <row r="2" spans="1:23" x14ac:dyDescent="0.2">
      <c r="A2" t="s">
        <v>40</v>
      </c>
      <c r="B2" s="149" t="s">
        <v>125</v>
      </c>
      <c r="C2" s="155">
        <f>Analysis!B16</f>
        <v>0.56483619989274847</v>
      </c>
      <c r="D2" s="149" t="s">
        <v>126</v>
      </c>
      <c r="E2" s="155">
        <f>Analysis!L16</f>
        <v>0.43516380010725103</v>
      </c>
      <c r="F2" s="149" t="s">
        <v>47</v>
      </c>
      <c r="G2" s="155">
        <f>Analysis!S16</f>
        <v>7.6695417362840868</v>
      </c>
      <c r="H2" t="s">
        <v>156</v>
      </c>
      <c r="I2" s="169">
        <f>Analysis!T16</f>
        <v>-7.7282353513318727</v>
      </c>
      <c r="J2" t="s">
        <v>48</v>
      </c>
      <c r="K2" s="169">
        <f>C2*G2+E2*I2</f>
        <v>0.96898654563276132</v>
      </c>
      <c r="L2" t="s">
        <v>47</v>
      </c>
      <c r="M2" s="176">
        <v>1</v>
      </c>
      <c r="N2" t="s">
        <v>156</v>
      </c>
      <c r="O2" s="176">
        <v>9</v>
      </c>
    </row>
    <row r="4" spans="1:23" x14ac:dyDescent="0.2">
      <c r="A4" t="s">
        <v>123</v>
      </c>
      <c r="B4">
        <f>$C$2</f>
        <v>0.56483619989274847</v>
      </c>
      <c r="C4" t="s">
        <v>124</v>
      </c>
      <c r="D4">
        <f>$E$2</f>
        <v>0.43516380010725103</v>
      </c>
      <c r="E4" t="s">
        <v>47</v>
      </c>
      <c r="F4">
        <f>G2</f>
        <v>7.6695417362840868</v>
      </c>
      <c r="G4" t="s">
        <v>156</v>
      </c>
      <c r="H4">
        <f>I2</f>
        <v>-7.7282353513318727</v>
      </c>
      <c r="I4" t="s">
        <v>48</v>
      </c>
      <c r="J4">
        <f>K2</f>
        <v>0.96898654563276132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60">
        <v>-10</v>
      </c>
      <c r="N6" s="104" t="s">
        <v>136</v>
      </c>
      <c r="R6" s="188" t="s">
        <v>49</v>
      </c>
      <c r="S6" s="164" t="s">
        <v>130</v>
      </c>
      <c r="T6" s="165" t="s">
        <v>137</v>
      </c>
      <c r="U6" s="184" t="s">
        <v>48</v>
      </c>
      <c r="V6" s="175" t="s">
        <v>47</v>
      </c>
      <c r="W6" s="168" t="s">
        <v>156</v>
      </c>
    </row>
    <row r="7" spans="1:23" x14ac:dyDescent="0.2">
      <c r="A7" s="101">
        <v>1</v>
      </c>
      <c r="B7" s="95">
        <f>C7*B4</f>
        <v>0.56483619989274847</v>
      </c>
      <c r="C7" s="95">
        <v>1</v>
      </c>
      <c r="D7" s="109">
        <f>C7*D4</f>
        <v>0.43516380010725103</v>
      </c>
      <c r="E7" s="110"/>
      <c r="F7" s="110"/>
      <c r="G7" s="110"/>
      <c r="H7" s="110"/>
      <c r="I7" s="110"/>
      <c r="J7" s="110"/>
      <c r="K7" s="110"/>
      <c r="L7" s="110"/>
      <c r="M7" s="263"/>
      <c r="N7" s="95">
        <f>B7+D7</f>
        <v>0.99999999999999956</v>
      </c>
      <c r="R7" s="189">
        <f>B7-D7</f>
        <v>0.12967239978549744</v>
      </c>
      <c r="S7" s="109">
        <f>SUM(C7)*$B$4*$F$4</f>
        <v>4.3320348092415353</v>
      </c>
      <c r="T7" s="57">
        <f>SUM(C7)*$D$4*$H$4</f>
        <v>-3.363048263608774</v>
      </c>
      <c r="U7" s="265">
        <f>S7+T7</f>
        <v>0.96898654563276132</v>
      </c>
      <c r="V7" s="109">
        <f>(U7+W7*D7)/B7</f>
        <v>2.4859425546851166</v>
      </c>
      <c r="W7" s="57">
        <f>COUNT(D7:M7)</f>
        <v>1</v>
      </c>
    </row>
    <row r="8" spans="1:23" x14ac:dyDescent="0.2">
      <c r="A8" s="99">
        <v>2</v>
      </c>
      <c r="B8" s="97">
        <f>C8*B4</f>
        <v>0.74891726905593325</v>
      </c>
      <c r="C8" s="97">
        <f>1/(1-B4*D4*C7)</f>
        <v>1.3259016847683245</v>
      </c>
      <c r="D8" s="93">
        <f>C8*D4</f>
        <v>0.57698441571239056</v>
      </c>
      <c r="E8" s="1">
        <f>D8*D4</f>
        <v>0.25108273094406575</v>
      </c>
      <c r="F8" s="1"/>
      <c r="G8" s="1"/>
      <c r="H8" s="1"/>
      <c r="I8" s="1"/>
      <c r="J8" s="1"/>
      <c r="K8" s="1"/>
      <c r="L8" s="1"/>
      <c r="M8" s="262"/>
      <c r="N8" s="97">
        <f>B8+E8</f>
        <v>0.999999999999999</v>
      </c>
      <c r="R8" s="190">
        <f>B8-E8</f>
        <v>0.49783453811186751</v>
      </c>
      <c r="S8" s="93">
        <f>SUM(C8:D8)*$B$4*$F$4</f>
        <v>8.2433688253043442</v>
      </c>
      <c r="T8" s="9">
        <f>SUM(C8:D8)*$D$4*$H$4</f>
        <v>-6.3994977960669388</v>
      </c>
      <c r="U8" s="266">
        <f>S8+T8</f>
        <v>1.8438710292374054</v>
      </c>
      <c r="V8" s="93">
        <f>(U8+W8*E8)/B8</f>
        <v>3.132570963522971</v>
      </c>
      <c r="W8" s="9">
        <f>COUNT(D8:M8)</f>
        <v>2</v>
      </c>
    </row>
    <row r="9" spans="1:23" x14ac:dyDescent="0.2">
      <c r="A9" s="99">
        <v>3</v>
      </c>
      <c r="B9" s="97">
        <f>C9*B4</f>
        <v>0.83791367984449616</v>
      </c>
      <c r="C9" s="97">
        <f>1/(1-D4*B4*C8)</f>
        <v>1.4834631349824956</v>
      </c>
      <c r="D9" s="93">
        <f>C9*D4*C8</f>
        <v>0.85593511016874635</v>
      </c>
      <c r="E9" s="1">
        <f>D9*(D4)</f>
        <v>0.37247197518625025</v>
      </c>
      <c r="F9" s="1">
        <f>E9*D4</f>
        <v>0.16208632015550237</v>
      </c>
      <c r="G9" s="1"/>
      <c r="H9" s="1"/>
      <c r="I9" s="1"/>
      <c r="J9" s="1"/>
      <c r="K9" s="1"/>
      <c r="L9" s="1"/>
      <c r="M9" s="262"/>
      <c r="N9" s="97">
        <f>B9+F9</f>
        <v>0.99999999999999856</v>
      </c>
      <c r="R9" s="190">
        <f>B9-F9</f>
        <v>0.67582735968899377</v>
      </c>
      <c r="S9" s="93">
        <f>SUM(C9:E9)*$B$4*$F$4</f>
        <v>11.74791619264753</v>
      </c>
      <c r="T9" s="9">
        <f>SUM(C9:E9)*$D$4*$H$4</f>
        <v>-9.1201504356383474</v>
      </c>
      <c r="U9" s="266">
        <f t="shared" ref="U9:U16" si="0">S9+T9</f>
        <v>2.6277657570091826</v>
      </c>
      <c r="V9" s="93">
        <f>(U9+W9*F9)/B9</f>
        <v>3.7164027660386263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0.88898741545757709</v>
      </c>
      <c r="C10" s="97">
        <f>1/(1-D4*B4*C9)</f>
        <v>1.5738853416731766</v>
      </c>
      <c r="D10" s="93">
        <f>C10*D4*C9</f>
        <v>1.0160208247668021</v>
      </c>
      <c r="E10" s="1">
        <f>D10*D4*C8</f>
        <v>0.58622818192969439</v>
      </c>
      <c r="F10" s="1">
        <f>E10*D4</f>
        <v>0.2551052833784907</v>
      </c>
      <c r="G10" s="1">
        <f>F10*D4</f>
        <v>0.11101258454242116</v>
      </c>
      <c r="H10" s="1"/>
      <c r="I10" s="1"/>
      <c r="J10" s="1"/>
      <c r="K10" s="1"/>
      <c r="L10" s="1"/>
      <c r="M10" s="262"/>
      <c r="N10" s="97">
        <f>B10+G10</f>
        <v>0.99999999999999822</v>
      </c>
      <c r="R10" s="190">
        <f>B10-G10</f>
        <v>0.77797483091515596</v>
      </c>
      <c r="S10" s="93">
        <f>SUM(C10:F10)*$B$4*$F$4</f>
        <v>14.864249523582155</v>
      </c>
      <c r="T10" s="9">
        <f>SUM(C10:F10)*$D$4*$H$4</f>
        <v>-11.539424485576271</v>
      </c>
      <c r="U10" s="266">
        <f t="shared" si="0"/>
        <v>3.3248250380058835</v>
      </c>
      <c r="V10" s="93">
        <f>(U10+W10*G10)/B10</f>
        <v>4.2395148802367055</v>
      </c>
      <c r="W10" s="9">
        <f t="shared" si="1"/>
        <v>4</v>
      </c>
    </row>
    <row r="11" spans="1:23" x14ac:dyDescent="0.2">
      <c r="A11" s="99">
        <v>5</v>
      </c>
      <c r="B11" s="97">
        <f>C11*B4</f>
        <v>0.92121167206150989</v>
      </c>
      <c r="C11" s="97">
        <f>1/(1-D4*B4*C10)</f>
        <v>1.6309359638005323</v>
      </c>
      <c r="D11" s="93">
        <f>C11*D4*C10</f>
        <v>1.1170246593974233</v>
      </c>
      <c r="E11" s="1">
        <f>D11*D4*C9</f>
        <v>0.72109466024971514</v>
      </c>
      <c r="F11" s="1">
        <f>E11*D4*C8</f>
        <v>0.41606038121750666</v>
      </c>
      <c r="G11" s="1">
        <f>F11*D4</f>
        <v>0.18105441656468174</v>
      </c>
      <c r="H11" s="1">
        <f>G11*D4</f>
        <v>7.8788327938488126E-2</v>
      </c>
      <c r="I11" s="1"/>
      <c r="J11" s="1"/>
      <c r="K11" s="1"/>
      <c r="L11" s="1"/>
      <c r="M11" s="262"/>
      <c r="N11" s="97">
        <f>B11+H11</f>
        <v>0.999999999999998</v>
      </c>
      <c r="R11" s="190">
        <f>B11-H11</f>
        <v>0.84242334412302178</v>
      </c>
      <c r="S11" s="93">
        <f>SUM(C11:G11)*$B$4*$F$4</f>
        <v>17.614790332184231</v>
      </c>
      <c r="T11" s="9">
        <f>SUM(C11:G11)*$D$4*$H$4</f>
        <v>-13.674726231218024</v>
      </c>
      <c r="U11" s="266">
        <f t="shared" si="0"/>
        <v>3.9400641009662074</v>
      </c>
      <c r="V11" s="93">
        <f>(U11+W11*H11)/B11</f>
        <v>4.704679578103808</v>
      </c>
      <c r="W11" s="9">
        <f t="shared" si="1"/>
        <v>5</v>
      </c>
    </row>
    <row r="12" spans="1:23" x14ac:dyDescent="0.2">
      <c r="A12" s="99">
        <v>6</v>
      </c>
      <c r="B12" s="97">
        <f>C12*B4</f>
        <v>0.942773213831681</v>
      </c>
      <c r="C12" s="97">
        <f>1/(1-D4*B4*C11)</f>
        <v>1.6691090514572109</v>
      </c>
      <c r="D12" s="93">
        <f>C12*D4*C11</f>
        <v>1.1846072393806593</v>
      </c>
      <c r="E12" s="1">
        <f>D12*D4*C10</f>
        <v>0.81133504163179893</v>
      </c>
      <c r="F12" s="1">
        <f>E12*D4*C9</f>
        <v>0.52375689405977321</v>
      </c>
      <c r="G12" s="1">
        <f>F12*D4*C8</f>
        <v>0.30219956549441468</v>
      </c>
      <c r="H12" s="1">
        <f>G12*D4</f>
        <v>0.13150631131130958</v>
      </c>
      <c r="I12" s="1">
        <f>H12*D4</f>
        <v>5.7226786168316647E-2</v>
      </c>
      <c r="J12" s="1"/>
      <c r="K12" s="1"/>
      <c r="L12" s="1"/>
      <c r="M12" s="262"/>
      <c r="N12" s="97">
        <f>B12+I12</f>
        <v>0.99999999999999767</v>
      </c>
      <c r="R12" s="190">
        <f>B12-I12</f>
        <v>0.88554642766336433</v>
      </c>
      <c r="S12" s="93">
        <f>SUM(C12:H12)*$B$4*$F$4</f>
        <v>20.024892001857868</v>
      </c>
      <c r="T12" s="9">
        <f>SUM(C12:H12)*$D$4*$H$4</f>
        <v>-15.545738028728403</v>
      </c>
      <c r="U12" s="266">
        <f t="shared" si="0"/>
        <v>4.4791539731294652</v>
      </c>
      <c r="V12" s="93">
        <f>(U12+W12*I12)/B12</f>
        <v>5.1152436443748579</v>
      </c>
      <c r="W12" s="9">
        <f t="shared" si="1"/>
        <v>6</v>
      </c>
    </row>
    <row r="13" spans="1:23" x14ac:dyDescent="0.2">
      <c r="A13" s="99">
        <v>7</v>
      </c>
      <c r="B13" s="97">
        <f>C13*B4</f>
        <v>0.95777281779019929</v>
      </c>
      <c r="C13" s="97">
        <f>1/(1-D4*B4*C12)</f>
        <v>1.6956647218646077</v>
      </c>
      <c r="D13" s="93">
        <f>C13*D4*C12</f>
        <v>1.2316220560875897</v>
      </c>
      <c r="E13" s="1">
        <f>D13*D4*C11</f>
        <v>0.87411209144692226</v>
      </c>
      <c r="F13" s="1">
        <f>E13*D4*C10</f>
        <v>0.59867755871197681</v>
      </c>
      <c r="G13" s="1">
        <f>F13*D4*C9</f>
        <v>0.38647597182986382</v>
      </c>
      <c r="H13" s="1">
        <f>G13*D4*C8</f>
        <v>0.22299061279313229</v>
      </c>
      <c r="I13" s="1">
        <f>H13*D4</f>
        <v>9.7037442451304037E-2</v>
      </c>
      <c r="J13" s="1">
        <f>I13*D4</f>
        <v>4.2227182209798146E-2</v>
      </c>
      <c r="K13" s="1"/>
      <c r="L13" s="1"/>
      <c r="M13" s="262"/>
      <c r="N13" s="97">
        <f>B13+J13</f>
        <v>0.99999999999999745</v>
      </c>
      <c r="R13" s="190">
        <f>B13-J13</f>
        <v>0.91554563558040114</v>
      </c>
      <c r="S13" s="93">
        <f>SUM(C13:I13)*$B$4*$F$4</f>
        <v>22.121884288055622</v>
      </c>
      <c r="T13" s="9">
        <f>SUM(C13:I13)*$D$4*$H$4</f>
        <v>-17.173676532789752</v>
      </c>
      <c r="U13" s="266">
        <f t="shared" si="0"/>
        <v>4.9482077552658694</v>
      </c>
      <c r="V13" s="93">
        <f>(U13+W13*J13)/B13</f>
        <v>5.47499149415526</v>
      </c>
      <c r="W13" s="9">
        <f t="shared" si="1"/>
        <v>7</v>
      </c>
    </row>
    <row r="14" spans="1:23" x14ac:dyDescent="0.2">
      <c r="A14" s="99">
        <v>8</v>
      </c>
      <c r="B14" s="97">
        <f>C14*B4</f>
        <v>0.96849217276373833</v>
      </c>
      <c r="C14" s="97">
        <f>1/(1-D4*B4*C13)</f>
        <v>1.714642533441795</v>
      </c>
      <c r="D14" s="93">
        <f>C14*D4*C13</f>
        <v>1.2652208438083321</v>
      </c>
      <c r="E14" s="1">
        <f>D14*D4*C12</f>
        <v>0.9189752413688036</v>
      </c>
      <c r="F14" s="1">
        <f>E14*D4*C11</f>
        <v>0.65221905230617061</v>
      </c>
      <c r="G14" s="1">
        <f>F14*D4*C10</f>
        <v>0.44670347636279933</v>
      </c>
      <c r="H14" s="1">
        <f>G14*D4*C9</f>
        <v>0.28836918577425497</v>
      </c>
      <c r="I14" s="1">
        <f>H14*D4*C8</f>
        <v>0.16638452616341631</v>
      </c>
      <c r="J14" s="1">
        <f>I14*D4</f>
        <v>7.2404522684316575E-2</v>
      </c>
      <c r="K14" s="1">
        <f>J14*D4</f>
        <v>3.1507827236258862E-2</v>
      </c>
      <c r="L14" s="1"/>
      <c r="M14" s="262"/>
      <c r="N14" s="97">
        <f>B14+K14</f>
        <v>0.99999999999999722</v>
      </c>
      <c r="R14" s="190">
        <f>B14-K14</f>
        <v>0.93698434552747945</v>
      </c>
      <c r="S14" s="93">
        <f>SUM(C14:J14)*$B$4*$F$4</f>
        <v>23.934143080686869</v>
      </c>
      <c r="T14" s="9">
        <f>SUM(C14:J14)*$D$4*$H$4</f>
        <v>-18.580570533910514</v>
      </c>
      <c r="U14" s="266">
        <f t="shared" si="0"/>
        <v>5.3535725467763555</v>
      </c>
      <c r="V14" s="93">
        <f>(U14+W14*K14)/B14</f>
        <v>5.7880025490241209</v>
      </c>
      <c r="W14" s="9">
        <f t="shared" si="1"/>
        <v>8</v>
      </c>
    </row>
    <row r="15" spans="1:23" x14ac:dyDescent="0.2">
      <c r="A15" s="99">
        <v>9</v>
      </c>
      <c r="B15" s="97">
        <f>C15*B4</f>
        <v>0.97630087177743519</v>
      </c>
      <c r="C15" s="97">
        <f>1/(1-D4*B4*C14)</f>
        <v>1.7284672476070335</v>
      </c>
      <c r="D15" s="93">
        <f>C15*D4*C14</f>
        <v>1.2896964602221945</v>
      </c>
      <c r="E15" s="1">
        <f>D15*D4*C13</f>
        <v>0.9516565767113786</v>
      </c>
      <c r="F15" s="1">
        <f>E15*D4*C12</f>
        <v>0.69122227677750281</v>
      </c>
      <c r="G15" s="1">
        <f>F15*D4*C11</f>
        <v>0.49057724082014714</v>
      </c>
      <c r="H15" s="1">
        <f>G15*D4*C10</f>
        <v>0.33599533488628913</v>
      </c>
      <c r="I15" s="1">
        <f>H15*D4*C9</f>
        <v>0.21690160536475334</v>
      </c>
      <c r="J15" s="1">
        <f>I15*D4*C8</f>
        <v>0.12514884603846171</v>
      </c>
      <c r="K15" s="1">
        <f>J15*D4</f>
        <v>5.446024742113429E-2</v>
      </c>
      <c r="L15" s="1">
        <f>K15*D4</f>
        <v>2.3699128222561917E-2</v>
      </c>
      <c r="M15" s="262"/>
      <c r="N15" s="97">
        <f>B15+L15</f>
        <v>0.99999999999999711</v>
      </c>
      <c r="R15" s="190">
        <f>B15-L15</f>
        <v>0.95260174355487326</v>
      </c>
      <c r="S15" s="93">
        <f>SUM(C15:K15)*$B$4*$F$4</f>
        <v>25.490237942854854</v>
      </c>
      <c r="T15" s="9">
        <f>SUM(C15:K15)*$D$4*$H$4</f>
        <v>-19.788599175107148</v>
      </c>
      <c r="U15" s="266">
        <f t="shared" si="0"/>
        <v>5.7016387677477063</v>
      </c>
      <c r="V15" s="93">
        <f>(U15+W15*L15)/B15</f>
        <v>6.0585123835669128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0.98206899592291563</v>
      </c>
      <c r="C16" s="145">
        <f>1/(1-D4*B4*C15)</f>
        <v>1.7386792774779514</v>
      </c>
      <c r="D16" s="94">
        <f>C16*D4*C15</f>
        <v>1.3077760908706137</v>
      </c>
      <c r="E16" s="111">
        <f>D16*D4*C14</f>
        <v>0.97579760188924625</v>
      </c>
      <c r="F16" s="111">
        <f>E16*D4*C13</f>
        <v>0.72003315044929672</v>
      </c>
      <c r="G16" s="111">
        <f>F16*D4*C12</f>
        <v>0.52298588144973857</v>
      </c>
      <c r="H16" s="111">
        <f>G16*D4*C11</f>
        <v>0.37117578430142362</v>
      </c>
      <c r="I16" s="111">
        <f>H16*D4*C10</f>
        <v>0.2542175249294934</v>
      </c>
      <c r="J16" s="111">
        <f>I16*D4*C9</f>
        <v>0.16410998470476504</v>
      </c>
      <c r="K16" s="111">
        <f>J16*D4*C8</f>
        <v>9.4688903637448196E-2</v>
      </c>
      <c r="L16" s="111">
        <f>K16*D4</f>
        <v>4.120518313486126E-2</v>
      </c>
      <c r="M16" s="264">
        <f>L16*D4</f>
        <v>1.7931004077081435E-2</v>
      </c>
      <c r="N16" s="145">
        <f>B16+M16</f>
        <v>0.99999999999999711</v>
      </c>
      <c r="R16" s="191">
        <f>B16-M16</f>
        <v>0.96413799184583415</v>
      </c>
      <c r="S16" s="94">
        <f>SUM(C16:L16)*$B$4*$F$4</f>
        <v>26.81819525898965</v>
      </c>
      <c r="T16" s="10">
        <f>SUM(C16:L16)*$D$4*$H$4</f>
        <v>-20.819519918552331</v>
      </c>
      <c r="U16" s="267">
        <f t="shared" si="0"/>
        <v>5.9986753404373196</v>
      </c>
      <c r="V16" s="94">
        <f>(U16+W16*M16)/B16</f>
        <v>6.2907854813217776</v>
      </c>
      <c r="W16" s="10">
        <f t="shared" si="1"/>
        <v>10</v>
      </c>
    </row>
    <row r="18" spans="1:21" x14ac:dyDescent="0.2">
      <c r="A18" s="356" t="s">
        <v>200</v>
      </c>
      <c r="B18" s="356"/>
      <c r="C18" s="356"/>
      <c r="D18" s="356"/>
      <c r="E18" s="356"/>
      <c r="F18" s="356"/>
      <c r="O18" s="356" t="s">
        <v>201</v>
      </c>
      <c r="P18" s="356"/>
      <c r="Q18" s="356"/>
      <c r="R18" s="356"/>
      <c r="S18" s="356"/>
      <c r="T18" s="356"/>
    </row>
    <row r="19" spans="1:21" ht="17" thickBot="1" x14ac:dyDescent="0.25"/>
    <row r="20" spans="1:21" ht="17" thickBot="1" x14ac:dyDescent="0.25">
      <c r="A20" s="29" t="s">
        <v>135</v>
      </c>
      <c r="B20" s="19" t="s">
        <v>140</v>
      </c>
      <c r="C20" s="19" t="s">
        <v>139</v>
      </c>
      <c r="D20" s="19" t="s">
        <v>138</v>
      </c>
      <c r="E20" s="166" t="s">
        <v>151</v>
      </c>
      <c r="F20" s="168" t="s">
        <v>152</v>
      </c>
      <c r="G20" s="166" t="s">
        <v>47</v>
      </c>
      <c r="O20" s="29" t="s">
        <v>135</v>
      </c>
      <c r="P20" s="118" t="s">
        <v>140</v>
      </c>
      <c r="Q20" s="118" t="s">
        <v>139</v>
      </c>
      <c r="R20" s="118" t="s">
        <v>138</v>
      </c>
      <c r="S20" s="166" t="s">
        <v>151</v>
      </c>
      <c r="T20" s="168" t="s">
        <v>152</v>
      </c>
      <c r="U20" s="293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9</v>
      </c>
      <c r="D21" s="57">
        <f>SUM($C$21:C21)</f>
        <v>9</v>
      </c>
      <c r="E21" s="57">
        <f t="shared" ref="E21:E30" si="3">D21/R7</f>
        <v>69.40567163781725</v>
      </c>
      <c r="F21" s="8">
        <f t="shared" ref="F21:F30" si="4">U7/E21</f>
        <v>1.3961201192451067E-2</v>
      </c>
      <c r="G21" s="286">
        <f>E21*U7</f>
        <v>67.253162007650246</v>
      </c>
      <c r="O21" s="101">
        <v>1</v>
      </c>
      <c r="P21" s="109">
        <v>1</v>
      </c>
      <c r="Q21" s="110">
        <f>P21*9+36</f>
        <v>45</v>
      </c>
      <c r="R21" s="57">
        <f>SUM($Q$21)</f>
        <v>45</v>
      </c>
      <c r="S21" s="281">
        <f>R21/R7</f>
        <v>347.0283581890863</v>
      </c>
      <c r="T21" s="8">
        <f>U7/S21</f>
        <v>2.7922402384902129E-3</v>
      </c>
      <c r="U21" s="286">
        <f>S21*U7</f>
        <v>336.26581003825135</v>
      </c>
    </row>
    <row r="22" spans="1:21" x14ac:dyDescent="0.2">
      <c r="A22" s="97">
        <v>2</v>
      </c>
      <c r="B22" s="93">
        <f>C21</f>
        <v>9</v>
      </c>
      <c r="C22" s="1">
        <f t="shared" si="2"/>
        <v>81</v>
      </c>
      <c r="D22" s="9">
        <f>SUM($C$21:C22)</f>
        <v>90</v>
      </c>
      <c r="E22" s="9">
        <f t="shared" si="3"/>
        <v>180.78295720771439</v>
      </c>
      <c r="F22" s="9">
        <f t="shared" si="4"/>
        <v>1.0199363135313971E-2</v>
      </c>
      <c r="G22" s="287">
        <f t="shared" ref="G22:G30" si="5">E22*U8</f>
        <v>333.34045737517016</v>
      </c>
      <c r="O22" s="99">
        <v>2</v>
      </c>
      <c r="P22" s="93">
        <f>Q21</f>
        <v>45</v>
      </c>
      <c r="Q22" s="1">
        <f t="shared" ref="Q22:Q30" si="6">P22*9+36</f>
        <v>441</v>
      </c>
      <c r="R22" s="9">
        <f>SUM($Q$21:Q22)</f>
        <v>486</v>
      </c>
      <c r="S22" s="282">
        <f t="shared" ref="S22:S30" si="7">R22/R8</f>
        <v>976.22796892165763</v>
      </c>
      <c r="T22" s="9">
        <f>U8/S22</f>
        <v>1.888770950984069E-3</v>
      </c>
      <c r="U22" s="287">
        <f t="shared" ref="U22:U30" si="8">S22*U8</f>
        <v>1800.0384698259188</v>
      </c>
    </row>
    <row r="23" spans="1:21" x14ac:dyDescent="0.2">
      <c r="A23" s="97">
        <v>3</v>
      </c>
      <c r="B23" s="93">
        <f t="shared" ref="B23:B30" si="9">C22</f>
        <v>81</v>
      </c>
      <c r="C23" s="1">
        <f t="shared" si="2"/>
        <v>729</v>
      </c>
      <c r="D23" s="9">
        <f>SUM($C$21:C23)</f>
        <v>819</v>
      </c>
      <c r="E23" s="9">
        <f t="shared" si="3"/>
        <v>1211.8479494184614</v>
      </c>
      <c r="F23" s="9">
        <f t="shared" si="4"/>
        <v>2.1683955963866493E-3</v>
      </c>
      <c r="G23" s="287">
        <f t="shared" si="5"/>
        <v>3184.452544183629</v>
      </c>
      <c r="O23" s="99">
        <v>3</v>
      </c>
      <c r="P23" s="93">
        <f t="shared" ref="P23:P30" si="10">Q22</f>
        <v>441</v>
      </c>
      <c r="Q23" s="1">
        <f t="shared" si="6"/>
        <v>4005</v>
      </c>
      <c r="R23" s="9">
        <f>SUM($Q$21:Q23)</f>
        <v>4491</v>
      </c>
      <c r="S23" s="282">
        <f t="shared" si="7"/>
        <v>6645.1882061517827</v>
      </c>
      <c r="T23" s="9">
        <f t="shared" ref="T23:T30" si="11">U9/S23</f>
        <v>3.9543887629496012E-4</v>
      </c>
      <c r="U23" s="287">
        <f t="shared" si="8"/>
        <v>17461.998017006932</v>
      </c>
    </row>
    <row r="24" spans="1:21" x14ac:dyDescent="0.2">
      <c r="A24" s="97">
        <v>4</v>
      </c>
      <c r="B24" s="93">
        <f t="shared" si="9"/>
        <v>729</v>
      </c>
      <c r="C24" s="1">
        <f t="shared" si="2"/>
        <v>6561</v>
      </c>
      <c r="D24" s="9">
        <f>SUM($C$21:C24)</f>
        <v>7380</v>
      </c>
      <c r="E24" s="9">
        <f t="shared" si="3"/>
        <v>9486.16806962595</v>
      </c>
      <c r="F24" s="9">
        <f t="shared" si="4"/>
        <v>3.5049189658063745E-4</v>
      </c>
      <c r="G24" s="287">
        <f t="shared" si="5"/>
        <v>31539.849112624299</v>
      </c>
      <c r="O24" s="99">
        <v>4</v>
      </c>
      <c r="P24" s="93">
        <f t="shared" si="10"/>
        <v>4005</v>
      </c>
      <c r="Q24" s="1">
        <f t="shared" si="6"/>
        <v>36081</v>
      </c>
      <c r="R24" s="9">
        <f>SUM($Q$21:Q24)</f>
        <v>40572</v>
      </c>
      <c r="S24" s="282">
        <f t="shared" si="7"/>
        <v>52150.787387650955</v>
      </c>
      <c r="T24" s="9">
        <f t="shared" si="11"/>
        <v>6.3754071693904773E-5</v>
      </c>
      <c r="U24" s="287">
        <f t="shared" si="8"/>
        <v>173392.24365818335</v>
      </c>
    </row>
    <row r="25" spans="1:21" x14ac:dyDescent="0.2">
      <c r="A25" s="97">
        <v>5</v>
      </c>
      <c r="B25" s="93">
        <f t="shared" si="9"/>
        <v>6561</v>
      </c>
      <c r="C25" s="1">
        <f t="shared" si="2"/>
        <v>59049</v>
      </c>
      <c r="D25" s="9">
        <f>SUM($C$21:C25)</f>
        <v>66429</v>
      </c>
      <c r="E25" s="9">
        <f t="shared" si="3"/>
        <v>78854.652430309623</v>
      </c>
      <c r="F25" s="9">
        <f t="shared" si="4"/>
        <v>4.9966158996748705E-5</v>
      </c>
      <c r="G25" s="287">
        <f t="shared" si="5"/>
        <v>310692.38523483067</v>
      </c>
      <c r="O25" s="99">
        <v>5</v>
      </c>
      <c r="P25" s="93">
        <f t="shared" si="10"/>
        <v>36081</v>
      </c>
      <c r="Q25" s="1">
        <f t="shared" si="6"/>
        <v>324765</v>
      </c>
      <c r="R25" s="9">
        <f>SUM($Q$21:Q25)</f>
        <v>365337</v>
      </c>
      <c r="S25" s="282">
        <f t="shared" si="7"/>
        <v>433673.87970512919</v>
      </c>
      <c r="T25" s="9">
        <f t="shared" si="11"/>
        <v>9.085315683861803E-6</v>
      </c>
      <c r="U25" s="287">
        <f t="shared" si="8"/>
        <v>1708702.884952917</v>
      </c>
    </row>
    <row r="26" spans="1:21" x14ac:dyDescent="0.2">
      <c r="A26" s="97">
        <v>6</v>
      </c>
      <c r="B26" s="93">
        <f t="shared" si="9"/>
        <v>59049</v>
      </c>
      <c r="C26" s="1">
        <f t="shared" si="2"/>
        <v>531441</v>
      </c>
      <c r="D26" s="9">
        <f>SUM($C$21:C26)</f>
        <v>597870</v>
      </c>
      <c r="E26" s="9">
        <f t="shared" si="3"/>
        <v>675142.46720814169</v>
      </c>
      <c r="F26" s="9">
        <f t="shared" si="4"/>
        <v>6.6343833941474956E-6</v>
      </c>
      <c r="G26" s="287">
        <f t="shared" si="5"/>
        <v>3024067.0644237776</v>
      </c>
      <c r="O26" s="99">
        <v>6</v>
      </c>
      <c r="P26" s="93">
        <f t="shared" si="10"/>
        <v>324765</v>
      </c>
      <c r="Q26" s="1">
        <f t="shared" si="6"/>
        <v>2922921</v>
      </c>
      <c r="R26" s="9">
        <f>SUM($Q$21:Q26)</f>
        <v>3288258</v>
      </c>
      <c r="S26" s="282">
        <f t="shared" si="7"/>
        <v>3713253.0799955004</v>
      </c>
      <c r="T26" s="9">
        <f t="shared" si="11"/>
        <v>1.2062614307815758E-6</v>
      </c>
      <c r="U26" s="287">
        <f t="shared" si="8"/>
        <v>16632232.28649707</v>
      </c>
    </row>
    <row r="27" spans="1:21" x14ac:dyDescent="0.2">
      <c r="A27" s="97">
        <v>7</v>
      </c>
      <c r="B27" s="93">
        <f t="shared" si="9"/>
        <v>531441</v>
      </c>
      <c r="C27" s="1">
        <f t="shared" si="2"/>
        <v>4782969</v>
      </c>
      <c r="D27" s="9">
        <f>SUM($C$21:C27)</f>
        <v>5380839</v>
      </c>
      <c r="E27" s="9">
        <f t="shared" si="3"/>
        <v>5877193.6546766125</v>
      </c>
      <c r="F27" s="9">
        <f t="shared" si="4"/>
        <v>8.4193376056759191E-7</v>
      </c>
      <c r="G27" s="287">
        <f t="shared" si="5"/>
        <v>29081575.22127017</v>
      </c>
      <c r="O27" s="99">
        <v>7</v>
      </c>
      <c r="P27" s="93">
        <f t="shared" si="10"/>
        <v>2922921</v>
      </c>
      <c r="Q27" s="1">
        <f t="shared" si="6"/>
        <v>26306325</v>
      </c>
      <c r="R27" s="9">
        <f>SUM($Q$21:Q27)</f>
        <v>29594583</v>
      </c>
      <c r="S27" s="282">
        <f t="shared" si="7"/>
        <v>32324530.695008781</v>
      </c>
      <c r="T27" s="9">
        <f t="shared" si="11"/>
        <v>1.5307902849243596E-7</v>
      </c>
      <c r="U27" s="287">
        <f t="shared" si="8"/>
        <v>159948493.47037208</v>
      </c>
    </row>
    <row r="28" spans="1:21" x14ac:dyDescent="0.2">
      <c r="A28" s="97">
        <v>8</v>
      </c>
      <c r="B28" s="93">
        <f t="shared" si="9"/>
        <v>4782969</v>
      </c>
      <c r="C28" s="1">
        <f t="shared" si="2"/>
        <v>43046721</v>
      </c>
      <c r="D28" s="9">
        <f>SUM($C$21:C28)</f>
        <v>48427560</v>
      </c>
      <c r="E28" s="9">
        <f t="shared" si="3"/>
        <v>51684492.095476255</v>
      </c>
      <c r="F28" s="9">
        <f t="shared" si="4"/>
        <v>1.0358179658391057E-7</v>
      </c>
      <c r="G28" s="287">
        <f t="shared" si="5"/>
        <v>276696677.97642124</v>
      </c>
      <c r="O28" s="99">
        <v>8</v>
      </c>
      <c r="P28" s="93">
        <f t="shared" si="10"/>
        <v>26306325</v>
      </c>
      <c r="Q28" s="1">
        <f t="shared" si="6"/>
        <v>236756961</v>
      </c>
      <c r="R28" s="9">
        <f>SUM($Q$21:Q28)</f>
        <v>266351544</v>
      </c>
      <c r="S28" s="282">
        <f t="shared" si="7"/>
        <v>284264668.10398656</v>
      </c>
      <c r="T28" s="9">
        <f t="shared" si="11"/>
        <v>1.8833056469817665E-8</v>
      </c>
      <c r="U28" s="287">
        <f t="shared" si="8"/>
        <v>1521831523.1799948</v>
      </c>
    </row>
    <row r="29" spans="1:21" x14ac:dyDescent="0.2">
      <c r="A29" s="97">
        <v>9</v>
      </c>
      <c r="B29" s="93">
        <f t="shared" si="9"/>
        <v>43046721</v>
      </c>
      <c r="C29" s="1">
        <f t="shared" si="2"/>
        <v>387420489</v>
      </c>
      <c r="D29" s="9">
        <f>SUM($C$21:C29)</f>
        <v>435848049</v>
      </c>
      <c r="E29" s="9">
        <f t="shared" si="3"/>
        <v>457534380.91927403</v>
      </c>
      <c r="F29" s="9">
        <f t="shared" si="4"/>
        <v>1.2461661911159604E-8</v>
      </c>
      <c r="G29" s="287">
        <f t="shared" si="5"/>
        <v>2608695763.8267794</v>
      </c>
      <c r="O29" s="99">
        <v>9</v>
      </c>
      <c r="P29" s="93">
        <f t="shared" si="10"/>
        <v>236756961</v>
      </c>
      <c r="Q29" s="1">
        <f t="shared" si="6"/>
        <v>2130812685</v>
      </c>
      <c r="R29" s="9">
        <f>SUM($Q$21:Q29)</f>
        <v>2397164229</v>
      </c>
      <c r="S29" s="282">
        <f t="shared" si="7"/>
        <v>2516439052.5408635</v>
      </c>
      <c r="T29" s="9">
        <f t="shared" si="11"/>
        <v>2.2657567493998028E-9</v>
      </c>
      <c r="U29" s="287">
        <f t="shared" si="8"/>
        <v>14347826458.641294</v>
      </c>
    </row>
    <row r="30" spans="1:21" ht="17" thickBot="1" x14ac:dyDescent="0.25">
      <c r="A30" s="145">
        <v>10</v>
      </c>
      <c r="B30" s="94">
        <f t="shared" si="9"/>
        <v>387420489</v>
      </c>
      <c r="C30" s="111">
        <f t="shared" si="2"/>
        <v>3486784401</v>
      </c>
      <c r="D30" s="10">
        <f>SUM($C$21:C30)</f>
        <v>3922632450</v>
      </c>
      <c r="E30" s="10">
        <f t="shared" si="3"/>
        <v>4068538407.5469871</v>
      </c>
      <c r="F30" s="10">
        <f t="shared" si="4"/>
        <v>1.4744054841193094E-9</v>
      </c>
      <c r="G30" s="288">
        <f t="shared" si="5"/>
        <v>24405841016.974232</v>
      </c>
      <c r="O30" s="100">
        <v>10</v>
      </c>
      <c r="P30" s="94">
        <f t="shared" si="10"/>
        <v>2130812685</v>
      </c>
      <c r="Q30" s="111">
        <f t="shared" si="6"/>
        <v>19177314201</v>
      </c>
      <c r="R30" s="10">
        <f>SUM($Q$21:Q30)</f>
        <v>21574478430</v>
      </c>
      <c r="S30" s="283">
        <f t="shared" si="7"/>
        <v>22376961194.83461</v>
      </c>
      <c r="T30" s="10">
        <f t="shared" si="11"/>
        <v>2.6807372494447662E-10</v>
      </c>
      <c r="U30" s="288">
        <f t="shared" si="8"/>
        <v>134232125313.3772</v>
      </c>
    </row>
    <row r="31" spans="1:21" ht="17" thickBot="1" x14ac:dyDescent="0.25"/>
    <row r="32" spans="1:21" ht="17" thickBot="1" x14ac:dyDescent="0.25">
      <c r="A32" s="117" t="s">
        <v>135</v>
      </c>
      <c r="B32" s="118" t="s">
        <v>140</v>
      </c>
      <c r="C32" s="118" t="s">
        <v>139</v>
      </c>
      <c r="D32" s="170" t="s">
        <v>138</v>
      </c>
      <c r="E32" s="166" t="s">
        <v>151</v>
      </c>
      <c r="F32" s="168" t="s">
        <v>152</v>
      </c>
      <c r="G32" s="290" t="s">
        <v>47</v>
      </c>
      <c r="O32" s="29" t="s">
        <v>135</v>
      </c>
      <c r="P32" s="118" t="s">
        <v>140</v>
      </c>
      <c r="Q32" s="118" t="s">
        <v>139</v>
      </c>
      <c r="R32" s="118" t="s">
        <v>138</v>
      </c>
      <c r="S32" s="166" t="s">
        <v>151</v>
      </c>
      <c r="T32" s="168" t="s">
        <v>152</v>
      </c>
      <c r="U32" s="294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9</v>
      </c>
      <c r="D33" s="57">
        <f>SUM($C$33:C33)</f>
        <v>9</v>
      </c>
      <c r="E33" s="9">
        <f t="shared" ref="E33:E42" si="13">D33/R7</f>
        <v>69.40567163781725</v>
      </c>
      <c r="F33" s="8">
        <f t="shared" ref="F33:F42" si="14">U7/E33</f>
        <v>1.3961201192451067E-2</v>
      </c>
      <c r="G33" s="289">
        <f>E33*U7</f>
        <v>67.253162007650246</v>
      </c>
      <c r="O33" s="101">
        <v>1</v>
      </c>
      <c r="P33" s="109">
        <v>1</v>
      </c>
      <c r="Q33" s="110">
        <f>P33*9+36</f>
        <v>45</v>
      </c>
      <c r="R33" s="57">
        <f>SUM($Q$21)</f>
        <v>45</v>
      </c>
      <c r="S33" s="281">
        <f>R33/R7</f>
        <v>347.0283581890863</v>
      </c>
      <c r="T33" s="8">
        <f>U7/S33</f>
        <v>2.7922402384902129E-3</v>
      </c>
      <c r="U33" s="289">
        <f>S33*U7</f>
        <v>336.26581003825135</v>
      </c>
    </row>
    <row r="34" spans="1:21" x14ac:dyDescent="0.2">
      <c r="A34" s="97">
        <v>2</v>
      </c>
      <c r="B34" s="93">
        <f t="shared" ref="B34:B42" si="15">B33*($O$2+1)</f>
        <v>10</v>
      </c>
      <c r="C34" s="1">
        <f t="shared" si="12"/>
        <v>90</v>
      </c>
      <c r="D34" s="9">
        <f>SUM($C$33:C34)</f>
        <v>99</v>
      </c>
      <c r="E34" s="9">
        <f t="shared" si="13"/>
        <v>198.86125292848581</v>
      </c>
      <c r="F34" s="9">
        <f t="shared" si="14"/>
        <v>9.2721483048308836E-3</v>
      </c>
      <c r="G34" s="287">
        <f t="shared" ref="G34:G42" si="16">E34*U8</f>
        <v>366.67450311268715</v>
      </c>
      <c r="O34" s="99">
        <v>2</v>
      </c>
      <c r="P34" s="93">
        <f>Q33+1</f>
        <v>46</v>
      </c>
      <c r="Q34" s="1">
        <f t="shared" ref="Q34:Q42" si="17">P34*9+36</f>
        <v>450</v>
      </c>
      <c r="R34" s="9">
        <f>SUM($Q$33:Q34)</f>
        <v>495</v>
      </c>
      <c r="S34" s="282">
        <f>R34/R8</f>
        <v>994.30626464242914</v>
      </c>
      <c r="T34" s="9">
        <f t="shared" ref="T34:T42" si="18">U8/S34</f>
        <v>1.8544296609661766E-3</v>
      </c>
      <c r="U34" s="287">
        <f t="shared" ref="U34:U42" si="19">S34*U8</f>
        <v>1833.3725155634359</v>
      </c>
    </row>
    <row r="35" spans="1:21" x14ac:dyDescent="0.2">
      <c r="A35" s="97">
        <v>3</v>
      </c>
      <c r="B35" s="93">
        <f t="shared" si="15"/>
        <v>100</v>
      </c>
      <c r="C35" s="1">
        <f t="shared" si="12"/>
        <v>900</v>
      </c>
      <c r="D35" s="9">
        <f>SUM($C$33:C35)</f>
        <v>999</v>
      </c>
      <c r="E35" s="9">
        <f t="shared" si="13"/>
        <v>1478.1881580818595</v>
      </c>
      <c r="F35" s="9">
        <f t="shared" si="14"/>
        <v>1.7776936871277936E-3</v>
      </c>
      <c r="G35" s="287">
        <f t="shared" si="16"/>
        <v>3884.3322242239865</v>
      </c>
      <c r="O35" s="99">
        <v>3</v>
      </c>
      <c r="P35" s="93">
        <f t="shared" ref="P35:P42" si="20">Q34+1</f>
        <v>451</v>
      </c>
      <c r="Q35" s="1">
        <f t="shared" si="17"/>
        <v>4095</v>
      </c>
      <c r="R35" s="9">
        <f>SUM($Q$33:Q35)</f>
        <v>4590</v>
      </c>
      <c r="S35" s="282">
        <f t="shared" ref="S35:S42" si="21">R35/R9</f>
        <v>6791.6753209166518</v>
      </c>
      <c r="T35" s="9">
        <f t="shared" si="18"/>
        <v>3.8690980249251976E-4</v>
      </c>
      <c r="U35" s="287">
        <f t="shared" si="19"/>
        <v>17846.931841029127</v>
      </c>
    </row>
    <row r="36" spans="1:21" x14ac:dyDescent="0.2">
      <c r="A36" s="97">
        <v>4</v>
      </c>
      <c r="B36" s="93">
        <f t="shared" si="15"/>
        <v>1000</v>
      </c>
      <c r="C36" s="1">
        <f t="shared" si="12"/>
        <v>9000</v>
      </c>
      <c r="D36" s="9">
        <f>SUM($C$33:C36)</f>
        <v>9999</v>
      </c>
      <c r="E36" s="9">
        <f t="shared" si="13"/>
        <v>12852.600884578575</v>
      </c>
      <c r="F36" s="9">
        <f t="shared" si="14"/>
        <v>2.5868888856536693E-4</v>
      </c>
      <c r="G36" s="287">
        <f t="shared" si="16"/>
        <v>42732.649224543413</v>
      </c>
      <c r="O36" s="99">
        <v>4</v>
      </c>
      <c r="P36" s="93">
        <f t="shared" si="20"/>
        <v>4096</v>
      </c>
      <c r="Q36" s="1">
        <f t="shared" si="17"/>
        <v>36900</v>
      </c>
      <c r="R36" s="9">
        <f>SUM($Q$33:Q36)</f>
        <v>41490</v>
      </c>
      <c r="S36" s="282">
        <f t="shared" si="21"/>
        <v>53330.774147531258</v>
      </c>
      <c r="T36" s="9">
        <f t="shared" si="18"/>
        <v>6.2343460996989737E-5</v>
      </c>
      <c r="U36" s="287">
        <f t="shared" si="19"/>
        <v>177315.49318194881</v>
      </c>
    </row>
    <row r="37" spans="1:21" x14ac:dyDescent="0.2">
      <c r="A37" s="97">
        <v>5</v>
      </c>
      <c r="B37" s="93">
        <f t="shared" si="15"/>
        <v>10000</v>
      </c>
      <c r="C37" s="1">
        <f t="shared" si="12"/>
        <v>90000</v>
      </c>
      <c r="D37" s="9">
        <f>SUM($C$33:C37)</f>
        <v>99999</v>
      </c>
      <c r="E37" s="9">
        <f t="shared" si="13"/>
        <v>118703.97549832953</v>
      </c>
      <c r="F37" s="9">
        <f t="shared" si="14"/>
        <v>3.3192351683467033E-5</v>
      </c>
      <c r="G37" s="287">
        <f t="shared" si="16"/>
        <v>467701.27250294044</v>
      </c>
      <c r="O37" s="99">
        <v>5</v>
      </c>
      <c r="P37" s="93">
        <f t="shared" si="20"/>
        <v>36901</v>
      </c>
      <c r="Q37" s="1">
        <f t="shared" si="17"/>
        <v>332145</v>
      </c>
      <c r="R37" s="9">
        <f>SUM($Q$33:Q37)</f>
        <v>373635</v>
      </c>
      <c r="S37" s="282">
        <f t="shared" si="21"/>
        <v>443524.03409352445</v>
      </c>
      <c r="T37" s="9">
        <f t="shared" si="18"/>
        <v>8.8835413598699803E-6</v>
      </c>
      <c r="U37" s="287">
        <f t="shared" si="19"/>
        <v>1747513.124647608</v>
      </c>
    </row>
    <row r="38" spans="1:21" x14ac:dyDescent="0.2">
      <c r="A38" s="97">
        <v>6</v>
      </c>
      <c r="B38" s="93">
        <f t="shared" si="15"/>
        <v>100000</v>
      </c>
      <c r="C38" s="1">
        <f t="shared" si="12"/>
        <v>900000</v>
      </c>
      <c r="D38" s="9">
        <f>SUM($C$33:C38)</f>
        <v>999999</v>
      </c>
      <c r="E38" s="9">
        <f t="shared" si="13"/>
        <v>1129245.1403577274</v>
      </c>
      <c r="F38" s="9">
        <f t="shared" si="14"/>
        <v>3.9665027663617298E-6</v>
      </c>
      <c r="G38" s="287">
        <f t="shared" si="16"/>
        <v>5058062.8570704553</v>
      </c>
      <c r="O38" s="99">
        <v>6</v>
      </c>
      <c r="P38" s="93">
        <f t="shared" si="20"/>
        <v>332146</v>
      </c>
      <c r="Q38" s="1">
        <f t="shared" si="17"/>
        <v>2989350</v>
      </c>
      <c r="R38" s="9">
        <f>SUM($Q$33:Q38)</f>
        <v>3362985</v>
      </c>
      <c r="S38" s="282">
        <f t="shared" si="21"/>
        <v>3797638.2659841981</v>
      </c>
      <c r="T38" s="9">
        <f t="shared" si="18"/>
        <v>1.1794577733349875E-6</v>
      </c>
      <c r="U38" s="287">
        <f t="shared" si="19"/>
        <v>17010206.527591612</v>
      </c>
    </row>
    <row r="39" spans="1:21" x14ac:dyDescent="0.2">
      <c r="A39" s="97">
        <v>7</v>
      </c>
      <c r="B39" s="93">
        <f t="shared" si="15"/>
        <v>1000000</v>
      </c>
      <c r="C39" s="1">
        <f t="shared" si="12"/>
        <v>9000000</v>
      </c>
      <c r="D39" s="9">
        <f>SUM($C$33:C39)</f>
        <v>9999999</v>
      </c>
      <c r="E39" s="9">
        <f t="shared" si="13"/>
        <v>10922447.348744772</v>
      </c>
      <c r="F39" s="9">
        <f t="shared" si="14"/>
        <v>4.5303104673098071E-7</v>
      </c>
      <c r="G39" s="287">
        <f t="shared" si="16"/>
        <v>54046538.677542016</v>
      </c>
      <c r="O39" s="99">
        <v>7</v>
      </c>
      <c r="P39" s="93">
        <f t="shared" si="20"/>
        <v>2989351</v>
      </c>
      <c r="Q39" s="1">
        <f t="shared" si="17"/>
        <v>26904195</v>
      </c>
      <c r="R39" s="9">
        <f>SUM($Q$33:Q39)</f>
        <v>30267180</v>
      </c>
      <c r="S39" s="282">
        <f t="shared" si="21"/>
        <v>33059171.30041521</v>
      </c>
      <c r="T39" s="9">
        <f t="shared" si="18"/>
        <v>1.4967730770685476E-7</v>
      </c>
      <c r="U39" s="287">
        <f t="shared" si="19"/>
        <v>163583647.81137741</v>
      </c>
    </row>
    <row r="40" spans="1:21" x14ac:dyDescent="0.2">
      <c r="A40" s="97">
        <v>8</v>
      </c>
      <c r="B40" s="93">
        <f t="shared" si="15"/>
        <v>10000000</v>
      </c>
      <c r="C40" s="1">
        <f t="shared" si="12"/>
        <v>90000000</v>
      </c>
      <c r="D40" s="9">
        <f>SUM($C$33:C40)</f>
        <v>99999999</v>
      </c>
      <c r="E40" s="9">
        <f t="shared" si="13"/>
        <v>106725367.90751244</v>
      </c>
      <c r="F40" s="9">
        <f t="shared" si="14"/>
        <v>5.0162137191372619E-8</v>
      </c>
      <c r="G40" s="287">
        <f t="shared" si="16"/>
        <v>571361999.67426491</v>
      </c>
      <c r="O40" s="99">
        <v>8</v>
      </c>
      <c r="P40" s="93">
        <f t="shared" si="20"/>
        <v>26904196</v>
      </c>
      <c r="Q40" s="1">
        <f t="shared" si="17"/>
        <v>242137800</v>
      </c>
      <c r="R40" s="9">
        <f>SUM($Q$33:Q40)</f>
        <v>272404980</v>
      </c>
      <c r="S40" s="282">
        <f t="shared" si="21"/>
        <v>290725220.01063788</v>
      </c>
      <c r="T40" s="9">
        <f t="shared" si="18"/>
        <v>1.8414544656911651E-8</v>
      </c>
      <c r="U40" s="287">
        <f t="shared" si="19"/>
        <v>1556418556.504467</v>
      </c>
    </row>
    <row r="41" spans="1:21" x14ac:dyDescent="0.2">
      <c r="A41" s="97">
        <v>9</v>
      </c>
      <c r="B41" s="93">
        <f t="shared" si="15"/>
        <v>100000000</v>
      </c>
      <c r="C41" s="1">
        <f t="shared" si="12"/>
        <v>900000000</v>
      </c>
      <c r="D41" s="9">
        <f>SUM($C$33:C41)</f>
        <v>999999999</v>
      </c>
      <c r="E41" s="9">
        <f t="shared" si="13"/>
        <v>1049756633.1006788</v>
      </c>
      <c r="F41" s="9">
        <f t="shared" si="14"/>
        <v>5.4313910367079153E-9</v>
      </c>
      <c r="G41" s="287">
        <f t="shared" si="16"/>
        <v>5985333115.9871349</v>
      </c>
      <c r="O41" s="99">
        <v>9</v>
      </c>
      <c r="P41" s="93">
        <f t="shared" si="20"/>
        <v>242137801</v>
      </c>
      <c r="Q41" s="1">
        <f t="shared" si="17"/>
        <v>2179240245</v>
      </c>
      <c r="R41" s="9">
        <f>SUM($Q$33:Q41)</f>
        <v>2451645225</v>
      </c>
      <c r="S41" s="282">
        <f t="shared" si="21"/>
        <v>2573630839.5269871</v>
      </c>
      <c r="T41" s="9">
        <f t="shared" si="18"/>
        <v>2.2154066077307428E-9</v>
      </c>
      <c r="U41" s="287">
        <f t="shared" si="19"/>
        <v>14673913368.518145</v>
      </c>
    </row>
    <row r="42" spans="1:21" ht="17" thickBot="1" x14ac:dyDescent="0.25">
      <c r="A42" s="145">
        <v>10</v>
      </c>
      <c r="B42" s="94">
        <f t="shared" si="15"/>
        <v>1000000000</v>
      </c>
      <c r="C42" s="111">
        <f t="shared" si="12"/>
        <v>9000000000</v>
      </c>
      <c r="D42" s="10">
        <f>SUM($C$33:C42)</f>
        <v>9999999999</v>
      </c>
      <c r="E42" s="9">
        <f t="shared" si="13"/>
        <v>10371959287.544601</v>
      </c>
      <c r="F42" s="10">
        <f t="shared" si="14"/>
        <v>5.7835507970427172E-10</v>
      </c>
      <c r="G42" s="288">
        <f t="shared" si="16"/>
        <v>62218016410.213631</v>
      </c>
      <c r="O42" s="100">
        <v>10</v>
      </c>
      <c r="P42" s="94">
        <f t="shared" si="20"/>
        <v>2179240246</v>
      </c>
      <c r="Q42" s="111">
        <f t="shared" si="17"/>
        <v>19613162250</v>
      </c>
      <c r="R42" s="10">
        <f>SUM($Q$33:Q42)</f>
        <v>22064807475</v>
      </c>
      <c r="S42" s="283">
        <f t="shared" si="21"/>
        <v>22885528484.109531</v>
      </c>
      <c r="T42" s="10">
        <f t="shared" si="18"/>
        <v>2.6211653117831534E-10</v>
      </c>
      <c r="U42" s="288">
        <f t="shared" si="19"/>
        <v>137282855370.50372</v>
      </c>
    </row>
    <row r="43" spans="1:21" ht="17" thickBot="1" x14ac:dyDescent="0.25">
      <c r="U43" s="285"/>
    </row>
    <row r="44" spans="1:21" ht="17" thickBot="1" x14ac:dyDescent="0.25">
      <c r="A44" s="117" t="s">
        <v>135</v>
      </c>
      <c r="B44" s="118" t="s">
        <v>140</v>
      </c>
      <c r="C44" s="118" t="s">
        <v>139</v>
      </c>
      <c r="D44" s="170" t="s">
        <v>138</v>
      </c>
      <c r="E44" s="166" t="s">
        <v>151</v>
      </c>
      <c r="F44" s="168" t="s">
        <v>152</v>
      </c>
      <c r="G44" s="290" t="s">
        <v>47</v>
      </c>
      <c r="O44" s="29" t="s">
        <v>135</v>
      </c>
      <c r="P44" s="118" t="s">
        <v>140</v>
      </c>
      <c r="Q44" s="118" t="s">
        <v>139</v>
      </c>
      <c r="R44" s="118" t="s">
        <v>138</v>
      </c>
      <c r="S44" s="166" t="s">
        <v>151</v>
      </c>
      <c r="T44" s="168" t="s">
        <v>152</v>
      </c>
      <c r="U44" s="294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9</v>
      </c>
      <c r="D45" s="57">
        <f>SUM(C45:C45)</f>
        <v>9</v>
      </c>
      <c r="E45" s="57">
        <f t="shared" ref="E45:E54" si="23">D45/R7</f>
        <v>69.40567163781725</v>
      </c>
      <c r="F45" s="8">
        <f t="shared" ref="F45:F54" si="24">U7/E45</f>
        <v>1.3961201192451067E-2</v>
      </c>
      <c r="G45" s="286">
        <f>E45*U7</f>
        <v>67.253162007650246</v>
      </c>
      <c r="O45" s="101">
        <v>1</v>
      </c>
      <c r="P45" s="109">
        <v>1</v>
      </c>
      <c r="Q45" s="110">
        <f>P45*9+36</f>
        <v>45</v>
      </c>
      <c r="R45" s="57">
        <f>SUM($Q$21)</f>
        <v>45</v>
      </c>
      <c r="S45" s="281">
        <f>R45/R7</f>
        <v>347.0283581890863</v>
      </c>
      <c r="T45" s="8">
        <f>U7/S45</f>
        <v>2.7922402384902129E-3</v>
      </c>
      <c r="U45" s="289">
        <f>S45*U7</f>
        <v>336.26581003825135</v>
      </c>
    </row>
    <row r="46" spans="1:21" x14ac:dyDescent="0.2">
      <c r="A46" s="97">
        <v>2</v>
      </c>
      <c r="B46" s="93">
        <f t="shared" ref="B46:B54" si="25">B45*$O$2*2</f>
        <v>18</v>
      </c>
      <c r="C46" s="1">
        <f t="shared" si="22"/>
        <v>162</v>
      </c>
      <c r="D46" s="9">
        <f>SUM($C$45:C46)</f>
        <v>171</v>
      </c>
      <c r="E46" s="9">
        <f t="shared" si="23"/>
        <v>343.48761869465733</v>
      </c>
      <c r="F46" s="9">
        <f t="shared" si="24"/>
        <v>5.3680858606915639E-3</v>
      </c>
      <c r="G46" s="287">
        <f t="shared" ref="G46:G54" si="26">E46*U8</f>
        <v>633.34686901282328</v>
      </c>
      <c r="O46" s="99">
        <v>2</v>
      </c>
      <c r="P46" s="93">
        <f>Q45*2</f>
        <v>90</v>
      </c>
      <c r="Q46" s="1">
        <f t="shared" ref="Q46:Q54" si="27">P46*9+36</f>
        <v>846</v>
      </c>
      <c r="R46" s="9">
        <f>SUM($Q$45:Q46)</f>
        <v>891</v>
      </c>
      <c r="S46" s="282">
        <f t="shared" ref="S46:S54" si="28">R46/R8</f>
        <v>1789.7512763563725</v>
      </c>
      <c r="T46" s="9">
        <f t="shared" ref="T46:T54" si="29">U8/S46</f>
        <v>1.0302387005367648E-3</v>
      </c>
      <c r="U46" s="287">
        <f t="shared" ref="U46:U54" si="30">S46*U8</f>
        <v>3300.0705280141847</v>
      </c>
    </row>
    <row r="47" spans="1:21" x14ac:dyDescent="0.2">
      <c r="A47" s="97">
        <v>3</v>
      </c>
      <c r="B47" s="93">
        <f t="shared" si="25"/>
        <v>324</v>
      </c>
      <c r="C47" s="1">
        <f t="shared" si="22"/>
        <v>2916</v>
      </c>
      <c r="D47" s="9">
        <f>SUM($C$45:C47)</f>
        <v>3087</v>
      </c>
      <c r="E47" s="9">
        <f t="shared" si="23"/>
        <v>4567.7345785772777</v>
      </c>
      <c r="F47" s="9">
        <f t="shared" si="24"/>
        <v>5.7528862761278452E-4</v>
      </c>
      <c r="G47" s="287">
        <f t="shared" si="26"/>
        <v>12002.93651269214</v>
      </c>
      <c r="O47" s="99">
        <v>3</v>
      </c>
      <c r="P47" s="93">
        <f t="shared" ref="P47:P54" si="31">Q46*2</f>
        <v>1692</v>
      </c>
      <c r="Q47" s="1">
        <f t="shared" si="27"/>
        <v>15264</v>
      </c>
      <c r="R47" s="9">
        <f>SUM($Q$45:Q47)</f>
        <v>16155</v>
      </c>
      <c r="S47" s="282">
        <f t="shared" si="28"/>
        <v>23904.03372753998</v>
      </c>
      <c r="T47" s="9">
        <f t="shared" si="29"/>
        <v>1.0992980460790256E-4</v>
      </c>
      <c r="U47" s="287">
        <f t="shared" si="30"/>
        <v>62814.201283622126</v>
      </c>
    </row>
    <row r="48" spans="1:21" x14ac:dyDescent="0.2">
      <c r="A48" s="97">
        <v>4</v>
      </c>
      <c r="B48" s="93">
        <f t="shared" si="25"/>
        <v>5832</v>
      </c>
      <c r="C48" s="1">
        <f t="shared" si="22"/>
        <v>52488</v>
      </c>
      <c r="D48" s="9">
        <f>SUM($C$45:C48)</f>
        <v>55575</v>
      </c>
      <c r="E48" s="9">
        <f t="shared" si="23"/>
        <v>71435.472963341759</v>
      </c>
      <c r="F48" s="9">
        <f t="shared" si="24"/>
        <v>4.6543053473056303E-5</v>
      </c>
      <c r="G48" s="287">
        <f t="shared" si="26"/>
        <v>237510.44911031102</v>
      </c>
      <c r="O48" s="99">
        <v>4</v>
      </c>
      <c r="P48" s="93">
        <f t="shared" si="31"/>
        <v>30528</v>
      </c>
      <c r="Q48" s="1">
        <f t="shared" si="27"/>
        <v>274788</v>
      </c>
      <c r="R48" s="9">
        <f>SUM($Q$45:Q48)</f>
        <v>290943</v>
      </c>
      <c r="S48" s="282">
        <f t="shared" si="28"/>
        <v>373974.82339853427</v>
      </c>
      <c r="T48" s="9">
        <f t="shared" si="29"/>
        <v>8.8905050018907632E-6</v>
      </c>
      <c r="U48" s="287">
        <f t="shared" si="30"/>
        <v>1243400.8564192753</v>
      </c>
    </row>
    <row r="49" spans="1:21" x14ac:dyDescent="0.2">
      <c r="A49" s="97">
        <v>5</v>
      </c>
      <c r="B49" s="93">
        <f t="shared" si="25"/>
        <v>104976</v>
      </c>
      <c r="C49" s="1">
        <f t="shared" si="22"/>
        <v>944784</v>
      </c>
      <c r="D49" s="9">
        <f>SUM($C$45:C49)</f>
        <v>1000359</v>
      </c>
      <c r="E49" s="9">
        <f t="shared" si="23"/>
        <v>1187477.7770331046</v>
      </c>
      <c r="F49" s="9">
        <f t="shared" si="24"/>
        <v>3.3180108101141888E-6</v>
      </c>
      <c r="G49" s="287">
        <f t="shared" si="26"/>
        <v>4678738.5599832898</v>
      </c>
      <c r="O49" s="99">
        <v>5</v>
      </c>
      <c r="P49" s="93">
        <f t="shared" si="31"/>
        <v>549576</v>
      </c>
      <c r="Q49" s="1">
        <f t="shared" si="27"/>
        <v>4946220</v>
      </c>
      <c r="R49" s="9">
        <f>SUM($Q$45:Q49)</f>
        <v>5237163</v>
      </c>
      <c r="S49" s="282">
        <f t="shared" si="28"/>
        <v>6216782.8521561008</v>
      </c>
      <c r="T49" s="9">
        <f t="shared" si="29"/>
        <v>6.337786270916181E-7</v>
      </c>
      <c r="U49" s="287">
        <f t="shared" si="30"/>
        <v>24494522.939282563</v>
      </c>
    </row>
    <row r="50" spans="1:21" x14ac:dyDescent="0.2">
      <c r="A50" s="97">
        <v>6</v>
      </c>
      <c r="B50" s="93">
        <f t="shared" si="25"/>
        <v>1889568</v>
      </c>
      <c r="C50" s="1">
        <f t="shared" si="22"/>
        <v>17006112</v>
      </c>
      <c r="D50" s="9">
        <f>SUM($C$45:C50)</f>
        <v>18006471</v>
      </c>
      <c r="E50" s="9">
        <f t="shared" si="23"/>
        <v>20333740.205482554</v>
      </c>
      <c r="F50" s="9">
        <f t="shared" si="24"/>
        <v>2.2028185311041586E-7</v>
      </c>
      <c r="G50" s="287">
        <f t="shared" si="26"/>
        <v>91077953.229969531</v>
      </c>
      <c r="O50" s="99">
        <v>6</v>
      </c>
      <c r="P50" s="93">
        <f t="shared" si="31"/>
        <v>9892440</v>
      </c>
      <c r="Q50" s="1">
        <f t="shared" si="27"/>
        <v>89031996</v>
      </c>
      <c r="R50" s="9">
        <f>SUM($Q$45:Q50)</f>
        <v>94269159</v>
      </c>
      <c r="S50" s="282">
        <f t="shared" si="28"/>
        <v>106453096.13945606</v>
      </c>
      <c r="T50" s="9">
        <f t="shared" si="29"/>
        <v>4.2076314692262855E-8</v>
      </c>
      <c r="U50" s="287">
        <f t="shared" si="30"/>
        <v>476819808.52497756</v>
      </c>
    </row>
    <row r="51" spans="1:21" x14ac:dyDescent="0.2">
      <c r="A51" s="97">
        <v>7</v>
      </c>
      <c r="B51" s="93">
        <f t="shared" si="25"/>
        <v>34012224</v>
      </c>
      <c r="C51" s="1">
        <f t="shared" si="22"/>
        <v>306110016</v>
      </c>
      <c r="D51" s="9">
        <f>SUM($C$45:C51)</f>
        <v>324116487</v>
      </c>
      <c r="E51" s="9">
        <f t="shared" si="23"/>
        <v>354014561.81321812</v>
      </c>
      <c r="F51" s="9">
        <f t="shared" si="24"/>
        <v>1.3977413047423165E-8</v>
      </c>
      <c r="G51" s="287">
        <f t="shared" si="26"/>
        <v>1751737600.2412143</v>
      </c>
      <c r="O51" s="99">
        <v>7</v>
      </c>
      <c r="P51" s="93">
        <f t="shared" si="31"/>
        <v>178063992</v>
      </c>
      <c r="Q51" s="1">
        <f t="shared" si="27"/>
        <v>1602575964</v>
      </c>
      <c r="R51" s="9">
        <f>SUM($Q$45:Q51)</f>
        <v>1696845123</v>
      </c>
      <c r="S51" s="282">
        <f t="shared" si="28"/>
        <v>1853370336.8312185</v>
      </c>
      <c r="T51" s="9">
        <f t="shared" si="29"/>
        <v>2.6698429649662025E-9</v>
      </c>
      <c r="U51" s="287">
        <f t="shared" si="30"/>
        <v>9170861474.0879517</v>
      </c>
    </row>
    <row r="52" spans="1:21" x14ac:dyDescent="0.2">
      <c r="A52" s="97">
        <v>8</v>
      </c>
      <c r="B52" s="93">
        <f t="shared" si="25"/>
        <v>612220032</v>
      </c>
      <c r="C52" s="1">
        <f t="shared" si="22"/>
        <v>5509980288</v>
      </c>
      <c r="D52" s="9">
        <f>SUM($C$45:C52)</f>
        <v>5834096775</v>
      </c>
      <c r="E52" s="9">
        <f t="shared" si="23"/>
        <v>6226461309.4636812</v>
      </c>
      <c r="F52" s="9">
        <f t="shared" si="24"/>
        <v>8.5980981502918671E-10</v>
      </c>
      <c r="G52" s="287">
        <f t="shared" si="26"/>
        <v>33333812329.90992</v>
      </c>
      <c r="O52" s="99">
        <v>8</v>
      </c>
      <c r="P52" s="93">
        <f t="shared" si="31"/>
        <v>3205151928</v>
      </c>
      <c r="Q52" s="1">
        <f t="shared" si="27"/>
        <v>28846367388</v>
      </c>
      <c r="R52" s="9">
        <f>SUM($Q$45:Q52)</f>
        <v>30543212511</v>
      </c>
      <c r="S52" s="282">
        <f t="shared" si="28"/>
        <v>32597356249.111679</v>
      </c>
      <c r="T52" s="9">
        <f t="shared" si="29"/>
        <v>1.6423333554610728E-10</v>
      </c>
      <c r="U52" s="287">
        <f t="shared" si="30"/>
        <v>174512311512.73297</v>
      </c>
    </row>
    <row r="53" spans="1:21" x14ac:dyDescent="0.2">
      <c r="A53" s="97">
        <v>9</v>
      </c>
      <c r="B53" s="93">
        <f t="shared" si="25"/>
        <v>11019960576</v>
      </c>
      <c r="C53" s="1">
        <f t="shared" si="22"/>
        <v>99179645184</v>
      </c>
      <c r="D53" s="9">
        <f>SUM($C$45:C53)</f>
        <v>105013741959</v>
      </c>
      <c r="E53" s="9">
        <f t="shared" si="23"/>
        <v>110238872298.4222</v>
      </c>
      <c r="F53" s="9">
        <f t="shared" si="24"/>
        <v>5.1720764634756803E-11</v>
      </c>
      <c r="G53" s="287">
        <f t="shared" si="26"/>
        <v>628542228009.47266</v>
      </c>
      <c r="O53" s="99">
        <v>9</v>
      </c>
      <c r="P53" s="93">
        <f t="shared" si="31"/>
        <v>57692734776</v>
      </c>
      <c r="Q53" s="1">
        <f t="shared" si="27"/>
        <v>519234613020</v>
      </c>
      <c r="R53" s="9">
        <f>SUM($Q$45:Q53)</f>
        <v>549777825531</v>
      </c>
      <c r="S53" s="282">
        <f t="shared" si="28"/>
        <v>577132919659.9679</v>
      </c>
      <c r="T53" s="9">
        <f t="shared" si="29"/>
        <v>9.8792471777679353E-12</v>
      </c>
      <c r="U53" s="287">
        <f t="shared" si="30"/>
        <v>3290603428876.6953</v>
      </c>
    </row>
    <row r="54" spans="1:21" ht="17" thickBot="1" x14ac:dyDescent="0.25">
      <c r="A54" s="145">
        <v>10</v>
      </c>
      <c r="B54" s="94">
        <f t="shared" si="25"/>
        <v>198359290368</v>
      </c>
      <c r="C54" s="111">
        <f t="shared" si="22"/>
        <v>1785233613312</v>
      </c>
      <c r="D54" s="10">
        <f>SUM($C$45:C54)</f>
        <v>1890247355271</v>
      </c>
      <c r="E54" s="10">
        <f t="shared" si="23"/>
        <v>1960556861422.0225</v>
      </c>
      <c r="F54" s="10">
        <f t="shared" si="24"/>
        <v>3.0596793484920334E-12</v>
      </c>
      <c r="G54" s="288">
        <f t="shared" si="26"/>
        <v>11760744098137.473</v>
      </c>
      <c r="O54" s="100">
        <v>10</v>
      </c>
      <c r="P54" s="94">
        <f t="shared" si="31"/>
        <v>1038469226040</v>
      </c>
      <c r="Q54" s="111">
        <f t="shared" si="27"/>
        <v>9346223034396</v>
      </c>
      <c r="R54" s="10">
        <f>SUM($Q$45:Q54)</f>
        <v>9896000859927</v>
      </c>
      <c r="S54" s="283">
        <f t="shared" si="28"/>
        <v>10264091803893.33</v>
      </c>
      <c r="T54" s="10">
        <f t="shared" si="29"/>
        <v>5.8443313398287495E-13</v>
      </c>
      <c r="U54" s="288">
        <f t="shared" si="30"/>
        <v>61570954395999.727</v>
      </c>
    </row>
  </sheetData>
  <mergeCells count="2">
    <mergeCell ref="A18:F18"/>
    <mergeCell ref="O18:T18"/>
  </mergeCells>
  <conditionalFormatting sqref="F45:F54">
    <cfRule type="cellIs" dxfId="538" priority="67" operator="equal">
      <formula>MAX($F$45:$F$54)</formula>
    </cfRule>
  </conditionalFormatting>
  <conditionalFormatting sqref="F21:F30">
    <cfRule type="cellIs" dxfId="537" priority="65" operator="equal">
      <formula>MAX($F$21:$F$30)</formula>
    </cfRule>
  </conditionalFormatting>
  <conditionalFormatting sqref="E33:E42">
    <cfRule type="cellIs" dxfId="536" priority="61" stopIfTrue="1" operator="lessThan">
      <formula>0</formula>
    </cfRule>
    <cfRule type="cellIs" dxfId="535" priority="62" operator="equal">
      <formula>MIN($E$33:$E$42)</formula>
    </cfRule>
  </conditionalFormatting>
  <conditionalFormatting sqref="E21:E30">
    <cfRule type="cellIs" dxfId="534" priority="57" stopIfTrue="1" operator="lessThan">
      <formula>0</formula>
    </cfRule>
    <cfRule type="cellIs" dxfId="533" priority="58" operator="equal">
      <formula>MIN($E$21:$E$30)</formula>
    </cfRule>
  </conditionalFormatting>
  <conditionalFormatting sqref="E45:E54">
    <cfRule type="cellIs" dxfId="532" priority="53" stopIfTrue="1" operator="lessThan">
      <formula>0</formula>
    </cfRule>
    <cfRule type="cellIs" dxfId="531" priority="54" operator="equal">
      <formula>MIN($E$45:$E$54)</formula>
    </cfRule>
  </conditionalFormatting>
  <conditionalFormatting sqref="F33:F42">
    <cfRule type="cellIs" dxfId="530" priority="35" operator="lessThanOrEqual">
      <formula>0</formula>
    </cfRule>
    <cfRule type="cellIs" dxfId="529" priority="36" operator="equal">
      <formula>MAX($F$33:$F$42)</formula>
    </cfRule>
  </conditionalFormatting>
  <conditionalFormatting sqref="S7:T16">
    <cfRule type="cellIs" dxfId="528" priority="13" operator="lessThanOrEqual">
      <formula>0</formula>
    </cfRule>
    <cfRule type="cellIs" dxfId="527" priority="14" operator="greaterThan">
      <formula>0</formula>
    </cfRule>
  </conditionalFormatting>
  <conditionalFormatting sqref="U7:U16">
    <cfRule type="cellIs" dxfId="526" priority="15" operator="lessThanOrEqual">
      <formula>0</formula>
    </cfRule>
    <cfRule type="cellIs" dxfId="525" priority="16" operator="greaterThan">
      <formula>0</formula>
    </cfRule>
  </conditionalFormatting>
  <conditionalFormatting sqref="R7:R16">
    <cfRule type="cellIs" dxfId="524" priority="17" operator="lessThanOrEqual">
      <formula>0</formula>
    </cfRule>
    <cfRule type="cellIs" dxfId="523" priority="18" operator="greaterThan">
      <formula>0</formula>
    </cfRule>
  </conditionalFormatting>
  <conditionalFormatting sqref="T21:T30">
    <cfRule type="cellIs" dxfId="522" priority="9" operator="equal">
      <formula>MAX($T$21:$T$30)</formula>
    </cfRule>
  </conditionalFormatting>
  <conditionalFormatting sqref="S33:S42">
    <cfRule type="cellIs" dxfId="521" priority="7" stopIfTrue="1" operator="lessThan">
      <formula>0</formula>
    </cfRule>
    <cfRule type="cellIs" dxfId="520" priority="8" operator="equal">
      <formula>MIN($E$21:$E$30)</formula>
    </cfRule>
  </conditionalFormatting>
  <conditionalFormatting sqref="T33:T42">
    <cfRule type="cellIs" dxfId="519" priority="6" operator="equal">
      <formula>MAX($T$21:$T$30)</formula>
    </cfRule>
  </conditionalFormatting>
  <conditionalFormatting sqref="S45:S54">
    <cfRule type="cellIs" dxfId="518" priority="4" stopIfTrue="1" operator="lessThan">
      <formula>0</formula>
    </cfRule>
    <cfRule type="cellIs" dxfId="517" priority="5" operator="equal">
      <formula>MIN($E$21:$E$30)</formula>
    </cfRule>
  </conditionalFormatting>
  <conditionalFormatting sqref="T45:T54">
    <cfRule type="cellIs" dxfId="516" priority="3" operator="equal">
      <formula>MAX($T$21:$T$30)</formula>
    </cfRule>
  </conditionalFormatting>
  <conditionalFormatting sqref="S21:S30">
    <cfRule type="cellIs" dxfId="515" priority="1" stopIfTrue="1" operator="lessThan">
      <formula>0</formula>
    </cfRule>
    <cfRule type="cellIs" dxfId="514" priority="2" operator="equal">
      <formula>MIN($E$21:$E$30)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pageSetUpPr fitToPage="1"/>
  </sheetPr>
  <dimension ref="A1:W54"/>
  <sheetViews>
    <sheetView workbookViewId="0">
      <selection activeCell="C7" sqref="C7:C16"/>
    </sheetView>
  </sheetViews>
  <sheetFormatPr baseColWidth="10" defaultColWidth="8.6640625" defaultRowHeight="16" x14ac:dyDescent="0.2"/>
  <cols>
    <col min="14" max="14" width="5.6640625" bestFit="1" customWidth="1"/>
  </cols>
  <sheetData>
    <row r="1" spans="1:23" x14ac:dyDescent="0.2">
      <c r="C1" t="s">
        <v>95</v>
      </c>
      <c r="D1">
        <f>C2+E2</f>
        <v>0.99999999999999956</v>
      </c>
    </row>
    <row r="2" spans="1:23" x14ac:dyDescent="0.2">
      <c r="A2" t="s">
        <v>40</v>
      </c>
      <c r="B2" s="149" t="s">
        <v>125</v>
      </c>
      <c r="C2" s="155">
        <f>Analysis!B17</f>
        <v>0.56547774518477134</v>
      </c>
      <c r="D2" s="149" t="s">
        <v>126</v>
      </c>
      <c r="E2" s="155">
        <f>Analysis!M17</f>
        <v>0.43452225481522816</v>
      </c>
      <c r="F2" s="149" t="s">
        <v>47</v>
      </c>
      <c r="G2" s="155">
        <f>Analysis!S17</f>
        <v>8.6491770619577206</v>
      </c>
      <c r="H2" t="s">
        <v>156</v>
      </c>
      <c r="I2" s="169">
        <f>Analysis!T17</f>
        <v>-8.7153676488806688</v>
      </c>
      <c r="J2" t="s">
        <v>48</v>
      </c>
      <c r="K2" s="169">
        <f>C2*G2+E2*I2</f>
        <v>1.1038959403643753</v>
      </c>
      <c r="L2" t="s">
        <v>47</v>
      </c>
      <c r="M2" s="176">
        <v>1</v>
      </c>
      <c r="N2" t="s">
        <v>156</v>
      </c>
      <c r="O2" s="176">
        <v>10</v>
      </c>
    </row>
    <row r="4" spans="1:23" x14ac:dyDescent="0.2">
      <c r="A4" t="s">
        <v>123</v>
      </c>
      <c r="B4">
        <f>$C$2</f>
        <v>0.56547774518477134</v>
      </c>
      <c r="C4" t="s">
        <v>124</v>
      </c>
      <c r="D4">
        <f>$E$2</f>
        <v>0.43452225481522816</v>
      </c>
      <c r="E4" t="s">
        <v>47</v>
      </c>
      <c r="F4">
        <f>G2</f>
        <v>8.6491770619577206</v>
      </c>
      <c r="G4" t="s">
        <v>156</v>
      </c>
      <c r="H4">
        <f>I2</f>
        <v>-8.7153676488806688</v>
      </c>
      <c r="I4" t="s">
        <v>48</v>
      </c>
      <c r="J4">
        <f>K2</f>
        <v>1.1038959403643753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60">
        <v>-10</v>
      </c>
      <c r="N6" s="104" t="s">
        <v>136</v>
      </c>
      <c r="R6" s="188" t="s">
        <v>49</v>
      </c>
      <c r="S6" s="164" t="s">
        <v>130</v>
      </c>
      <c r="T6" s="165" t="s">
        <v>137</v>
      </c>
      <c r="U6" s="184" t="s">
        <v>48</v>
      </c>
      <c r="V6" s="175" t="s">
        <v>47</v>
      </c>
      <c r="W6" s="168" t="s">
        <v>156</v>
      </c>
    </row>
    <row r="7" spans="1:23" x14ac:dyDescent="0.2">
      <c r="A7" s="101">
        <v>1</v>
      </c>
      <c r="B7" s="95">
        <f>C7*B4</f>
        <v>0.56547774518477134</v>
      </c>
      <c r="C7" s="95">
        <v>1</v>
      </c>
      <c r="D7" s="109">
        <f>C7*D4</f>
        <v>0.43452225481522816</v>
      </c>
      <c r="E7" s="110"/>
      <c r="F7" s="110"/>
      <c r="G7" s="110"/>
      <c r="H7" s="110"/>
      <c r="I7" s="110"/>
      <c r="J7" s="110"/>
      <c r="K7" s="110"/>
      <c r="L7" s="110"/>
      <c r="M7" s="263"/>
      <c r="N7" s="95">
        <f>B7+D7</f>
        <v>0.99999999999999956</v>
      </c>
      <c r="R7" s="189">
        <f>B7-D7</f>
        <v>0.13095549036954318</v>
      </c>
      <c r="S7" s="109">
        <f>SUM(C7)*$B$4*$F$4</f>
        <v>4.8909171426996974</v>
      </c>
      <c r="T7" s="57">
        <f>SUM(C7)*$D$4*$H$4</f>
        <v>-3.787021202335322</v>
      </c>
      <c r="U7" s="265">
        <f>S7+T7</f>
        <v>1.1038959403643753</v>
      </c>
      <c r="V7" s="109">
        <f>(U7+W7*D7)/B7</f>
        <v>2.7205636442454888</v>
      </c>
      <c r="W7" s="57">
        <f>COUNT(D7:M7)</f>
        <v>1</v>
      </c>
    </row>
    <row r="8" spans="1:23" x14ac:dyDescent="0.2">
      <c r="A8" s="99">
        <v>2</v>
      </c>
      <c r="B8" s="97">
        <f>C8*B4</f>
        <v>0.74968479365883267</v>
      </c>
      <c r="C8" s="97">
        <f>1/(1-B4*D4*C7)</f>
        <v>1.325754726941325</v>
      </c>
      <c r="D8" s="93">
        <f>C8*D4</f>
        <v>0.57606993328249168</v>
      </c>
      <c r="E8" s="1">
        <f>D8*D4</f>
        <v>0.25031520634116633</v>
      </c>
      <c r="F8" s="1"/>
      <c r="G8" s="1"/>
      <c r="H8" s="1"/>
      <c r="I8" s="1"/>
      <c r="J8" s="1"/>
      <c r="K8" s="1"/>
      <c r="L8" s="1"/>
      <c r="M8" s="262"/>
      <c r="N8" s="97">
        <f>B8+E8</f>
        <v>0.999999999999999</v>
      </c>
      <c r="R8" s="190">
        <f>B8-E8</f>
        <v>0.49936958731766634</v>
      </c>
      <c r="S8" s="93">
        <f>SUM(C8:D8)*$B$4*$F$4</f>
        <v>9.3016668330976913</v>
      </c>
      <c r="T8" s="9">
        <f>SUM(C8:D8)*$D$4*$H$4</f>
        <v>-7.2022503113917633</v>
      </c>
      <c r="U8" s="266">
        <f>S8+T8</f>
        <v>2.099416521705928</v>
      </c>
      <c r="V8" s="93">
        <f>(U8+W8*E8)/B8</f>
        <v>3.4681868384961438</v>
      </c>
      <c r="W8" s="9">
        <f>COUNT(D8:M8)</f>
        <v>2</v>
      </c>
    </row>
    <row r="9" spans="1:23" x14ac:dyDescent="0.2">
      <c r="A9" s="99">
        <v>3</v>
      </c>
      <c r="B9" s="97">
        <f>C9*B4</f>
        <v>0.83868255037149009</v>
      </c>
      <c r="C9" s="97">
        <f>1/(1-D4*B4*C8)</f>
        <v>1.4831398008376941</v>
      </c>
      <c r="D9" s="93">
        <f>C9*D4*C8</f>
        <v>0.85439224611717846</v>
      </c>
      <c r="E9" s="1">
        <f>D9*(D4)</f>
        <v>0.37125244527948376</v>
      </c>
      <c r="F9" s="1">
        <f>E9*D4</f>
        <v>0.16131744962850839</v>
      </c>
      <c r="G9" s="1"/>
      <c r="H9" s="1"/>
      <c r="I9" s="1"/>
      <c r="J9" s="1"/>
      <c r="K9" s="1"/>
      <c r="L9" s="1"/>
      <c r="M9" s="262"/>
      <c r="N9" s="97">
        <f>B9+F9</f>
        <v>0.99999999999999845</v>
      </c>
      <c r="R9" s="190">
        <f>B9-F9</f>
        <v>0.67736510074298173</v>
      </c>
      <c r="S9" s="93">
        <f>SUM(C9:E9)*$B$4*$F$4</f>
        <v>13.248440508948105</v>
      </c>
      <c r="T9" s="9">
        <f>SUM(C9:E9)*$D$4*$H$4</f>
        <v>-10.258224304648625</v>
      </c>
      <c r="U9" s="266">
        <f t="shared" ref="U9:U16" si="0">S9+T9</f>
        <v>2.9902162042994807</v>
      </c>
      <c r="V9" s="93">
        <f>(U9+W9*F9)/B9</f>
        <v>4.1424118716266856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0.88971221661771427</v>
      </c>
      <c r="C10" s="97">
        <f>1/(1-D4*B4*C9)</f>
        <v>1.5733814888276434</v>
      </c>
      <c r="D10" s="93">
        <f>C10*D4*C9</f>
        <v>1.0139771082242843</v>
      </c>
      <c r="E10" s="1">
        <f>D10*D4*C8</f>
        <v>0.58412172508473725</v>
      </c>
      <c r="F10" s="1">
        <f>E10*D4</f>
        <v>0.25381388907038083</v>
      </c>
      <c r="G10" s="1">
        <f>F10*D4</f>
        <v>0.11028778338228407</v>
      </c>
      <c r="H10" s="1"/>
      <c r="I10" s="1"/>
      <c r="J10" s="1"/>
      <c r="K10" s="1"/>
      <c r="L10" s="1"/>
      <c r="M10" s="262"/>
      <c r="N10" s="97">
        <f>B10+G10</f>
        <v>0.99999999999999833</v>
      </c>
      <c r="R10" s="190">
        <f>B10-G10</f>
        <v>0.7794244332354302</v>
      </c>
      <c r="S10" s="93">
        <f>SUM(C10:F10)*$B$4*$F$4</f>
        <v>16.752830176382577</v>
      </c>
      <c r="T10" s="9">
        <f>SUM(C10:F10)*$D$4*$H$4</f>
        <v>-12.971661802077525</v>
      </c>
      <c r="U10" s="266">
        <f t="shared" si="0"/>
        <v>3.7811683743050519</v>
      </c>
      <c r="V10" s="93">
        <f>(U10+W10*G10)/B10</f>
        <v>4.7457137588663754</v>
      </c>
      <c r="W10" s="9">
        <f t="shared" si="1"/>
        <v>4</v>
      </c>
    </row>
    <row r="11" spans="1:23" x14ac:dyDescent="0.2">
      <c r="A11" s="99">
        <v>5</v>
      </c>
      <c r="B11" s="97">
        <f>C11*B4</f>
        <v>0.92187401785698053</v>
      </c>
      <c r="C11" s="97">
        <f>1/(1-D4*B4*C10)</f>
        <v>1.6302569388575243</v>
      </c>
      <c r="D11" s="93">
        <f>C11*D4*C10</f>
        <v>1.1145565749039092</v>
      </c>
      <c r="E11" s="1">
        <f>D11*D4*C9</f>
        <v>0.71828406575160231</v>
      </c>
      <c r="F11" s="1">
        <f>E11*D4*C8</f>
        <v>0.41378185383540239</v>
      </c>
      <c r="G11" s="1">
        <f>F11*D4</f>
        <v>0.17979742413018421</v>
      </c>
      <c r="H11" s="1">
        <f>G11*D4</f>
        <v>7.8125982143017553E-2</v>
      </c>
      <c r="I11" s="1"/>
      <c r="J11" s="1"/>
      <c r="K11" s="1"/>
      <c r="L11" s="1"/>
      <c r="M11" s="262"/>
      <c r="N11" s="97">
        <f>B11+H11</f>
        <v>0.99999999999999811</v>
      </c>
      <c r="R11" s="190">
        <f>B11-H11</f>
        <v>0.84374803571396295</v>
      </c>
      <c r="S11" s="93">
        <f>SUM(C11:G11)*$B$4*$F$4</f>
        <v>19.84087038463533</v>
      </c>
      <c r="T11" s="9">
        <f>SUM(C11:G11)*$D$4*$H$4</f>
        <v>-15.362721270294569</v>
      </c>
      <c r="U11" s="266">
        <f t="shared" si="0"/>
        <v>4.478149114340761</v>
      </c>
      <c r="V11" s="93">
        <f>(U11+W11*H11)/B11</f>
        <v>5.2813930436763767</v>
      </c>
      <c r="W11" s="9">
        <f t="shared" si="1"/>
        <v>5</v>
      </c>
    </row>
    <row r="12" spans="1:23" x14ac:dyDescent="0.2">
      <c r="A12" s="99">
        <v>6</v>
      </c>
      <c r="B12" s="97">
        <f>C12*B4</f>
        <v>0.9433666175330746</v>
      </c>
      <c r="C12" s="97">
        <f>1/(1-D4*B4*C11)</f>
        <v>1.6682648001024816</v>
      </c>
      <c r="D12" s="93">
        <f>C12*D4*C11</f>
        <v>1.181770292098983</v>
      </c>
      <c r="E12" s="1">
        <f>D12*D4*C10</f>
        <v>0.80794003551862603</v>
      </c>
      <c r="F12" s="1">
        <f>E12*D4*C9</f>
        <v>0.52068281383190029</v>
      </c>
      <c r="G12" s="1">
        <f>F12*D4*C8</f>
        <v>0.2999497138254828</v>
      </c>
      <c r="H12" s="1">
        <f>G12*D4</f>
        <v>0.13033482598263121</v>
      </c>
      <c r="I12" s="1">
        <f>H12*D4</f>
        <v>5.6633382466923302E-2</v>
      </c>
      <c r="J12" s="1"/>
      <c r="K12" s="1"/>
      <c r="L12" s="1"/>
      <c r="M12" s="262"/>
      <c r="N12" s="97">
        <f>B12+I12</f>
        <v>0.99999999999999789</v>
      </c>
      <c r="R12" s="190">
        <f>B12-I12</f>
        <v>0.88673323506615132</v>
      </c>
      <c r="S12" s="93">
        <f>SUM(C12:H12)*$B$4*$F$4</f>
        <v>22.541955791801016</v>
      </c>
      <c r="T12" s="9">
        <f>SUM(C12:H12)*$D$4*$H$4</f>
        <v>-17.454162897254687</v>
      </c>
      <c r="U12" s="266">
        <f t="shared" si="0"/>
        <v>5.0877928945463289</v>
      </c>
      <c r="V12" s="93">
        <f>(U12+W12*I12)/B12</f>
        <v>5.7534293544763644</v>
      </c>
      <c r="W12" s="9">
        <f t="shared" si="1"/>
        <v>6</v>
      </c>
    </row>
    <row r="13" spans="1:23" x14ac:dyDescent="0.2">
      <c r="A13" s="99">
        <v>7</v>
      </c>
      <c r="B13" s="97">
        <f>C13*B4</f>
        <v>0.95829683083483297</v>
      </c>
      <c r="C13" s="97">
        <f>1/(1-D4*B4*C12)</f>
        <v>1.6946676310341922</v>
      </c>
      <c r="D13" s="93">
        <f>C13*D4*C12</f>
        <v>1.2284614857958869</v>
      </c>
      <c r="E13" s="1">
        <f>D13*D4*C11</f>
        <v>0.87022113564475745</v>
      </c>
      <c r="F13" s="1">
        <f>E13*D4*C10</f>
        <v>0.59494345046794861</v>
      </c>
      <c r="G13" s="1">
        <f>F13*D4*C9</f>
        <v>0.38341562027144999</v>
      </c>
      <c r="H13" s="1">
        <f>G13*D4*C8</f>
        <v>0.22087421078923936</v>
      </c>
      <c r="I13" s="1">
        <f>H13*D4</f>
        <v>9.5974760102674278E-2</v>
      </c>
      <c r="J13" s="1">
        <f>I13*D4</f>
        <v>4.1703169165164623E-2</v>
      </c>
      <c r="K13" s="1"/>
      <c r="L13" s="1"/>
      <c r="M13" s="262"/>
      <c r="N13" s="97">
        <f>B13+J13</f>
        <v>0.99999999999999756</v>
      </c>
      <c r="R13" s="190">
        <f>B13-J13</f>
        <v>0.91659366166966838</v>
      </c>
      <c r="S13" s="93">
        <f>SUM(C13:I13)*$B$4*$F$4</f>
        <v>24.887716992270491</v>
      </c>
      <c r="T13" s="9">
        <f>SUM(C13:I13)*$D$4*$H$4</f>
        <v>-19.270478149099244</v>
      </c>
      <c r="U13" s="266">
        <f t="shared" si="0"/>
        <v>5.617238843171247</v>
      </c>
      <c r="V13" s="93">
        <f>(U13+W13*J13)/B13</f>
        <v>6.1663159442774687</v>
      </c>
      <c r="W13" s="9">
        <f t="shared" si="1"/>
        <v>7</v>
      </c>
    </row>
    <row r="14" spans="1:23" x14ac:dyDescent="0.2">
      <c r="A14" s="99">
        <v>8</v>
      </c>
      <c r="B14" s="97">
        <f>C14*B4</f>
        <v>0.9689496308168758</v>
      </c>
      <c r="C14" s="97">
        <f>1/(1-D4*B4*C13)</f>
        <v>1.7135062149974956</v>
      </c>
      <c r="D14" s="93">
        <f>C14*D4*C13</f>
        <v>1.2617759426842794</v>
      </c>
      <c r="E14" s="1">
        <f>D14*D4*C12</f>
        <v>0.91465908766163329</v>
      </c>
      <c r="F14" s="1">
        <f>E14*D4*C11</f>
        <v>0.64792887623743955</v>
      </c>
      <c r="G14" s="1">
        <f>F14*D4*C10</f>
        <v>0.44296906326104707</v>
      </c>
      <c r="H14" s="1">
        <f>G14*D4*C9</f>
        <v>0.28547462455080402</v>
      </c>
      <c r="I14" s="1">
        <f>H14*D4*C8</f>
        <v>0.16445334791882604</v>
      </c>
      <c r="J14" s="1">
        <f>I14*D4</f>
        <v>7.1458639549601508E-2</v>
      </c>
      <c r="K14" s="1">
        <f>J14*D4</f>
        <v>3.1050369183121488E-2</v>
      </c>
      <c r="L14" s="1"/>
      <c r="M14" s="262"/>
      <c r="N14" s="97">
        <f>B14+K14</f>
        <v>0.99999999999999734</v>
      </c>
      <c r="R14" s="190">
        <f>B14-K14</f>
        <v>0.93789926163375426</v>
      </c>
      <c r="S14" s="93">
        <f>SUM(C14:J14)*$B$4*$F$4</f>
        <v>26.910930472872586</v>
      </c>
      <c r="T14" s="9">
        <f>SUM(C14:J14)*$D$4*$H$4</f>
        <v>-20.837045752749447</v>
      </c>
      <c r="U14" s="266">
        <f t="shared" si="0"/>
        <v>6.0738847201231394</v>
      </c>
      <c r="V14" s="93">
        <f>(U14+W14*K14)/B14</f>
        <v>6.5248878502157934</v>
      </c>
      <c r="W14" s="9">
        <f t="shared" si="1"/>
        <v>8</v>
      </c>
    </row>
    <row r="15" spans="1:23" x14ac:dyDescent="0.2">
      <c r="A15" s="99">
        <v>9</v>
      </c>
      <c r="B15" s="97">
        <f>C15*B4</f>
        <v>0.97669640812597103</v>
      </c>
      <c r="C15" s="97">
        <f>1/(1-D4*B4*C14)</f>
        <v>1.7272057414157527</v>
      </c>
      <c r="D15" s="93">
        <f>C15*D4*C14</f>
        <v>1.2860024070056661</v>
      </c>
      <c r="E15" s="1">
        <f>D15*D4*C13</f>
        <v>0.94697462150506317</v>
      </c>
      <c r="F15" s="1">
        <f>E15*D4*C12</f>
        <v>0.68646018206837156</v>
      </c>
      <c r="G15" s="1">
        <f>F15*D4*C11</f>
        <v>0.48627666892415761</v>
      </c>
      <c r="H15" s="1">
        <f>G15*D4*C10</f>
        <v>0.33245241633604711</v>
      </c>
      <c r="I15" s="1">
        <f>H15*D4*C9</f>
        <v>0.21425137014277437</v>
      </c>
      <c r="J15" s="1">
        <f>I15*D4*C8</f>
        <v>0.12342377250383045</v>
      </c>
      <c r="K15" s="1">
        <f>J15*D4</f>
        <v>5.3630375926166166E-2</v>
      </c>
      <c r="L15" s="1">
        <f>K15*D4</f>
        <v>2.3303591874026051E-2</v>
      </c>
      <c r="M15" s="262"/>
      <c r="N15" s="97">
        <f>B15+L15</f>
        <v>0.99999999999999711</v>
      </c>
      <c r="R15" s="190">
        <f>B15-L15</f>
        <v>0.95339281625194494</v>
      </c>
      <c r="S15" s="93">
        <f>SUM(C15:K15)*$B$4*$F$4</f>
        <v>28.644524657062895</v>
      </c>
      <c r="T15" s="9">
        <f>SUM(C15:K15)*$D$4*$H$4</f>
        <v>-22.1793620791614</v>
      </c>
      <c r="U15" s="266">
        <f t="shared" si="0"/>
        <v>6.465162577901495</v>
      </c>
      <c r="V15" s="93">
        <f>(U15+W15*L15)/B15</f>
        <v>6.8341552699831611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0.98240815732161446</v>
      </c>
      <c r="C16" s="145">
        <f>1/(1-D4*B4*C15)</f>
        <v>1.7373064911698868</v>
      </c>
      <c r="D16" s="94">
        <f>C16*D4*C15</f>
        <v>1.3038647364079201</v>
      </c>
      <c r="E16" s="111">
        <f>D16*D4*C14</f>
        <v>0.97080107437344398</v>
      </c>
      <c r="F16" s="111">
        <f>E16*D4*C13</f>
        <v>0.71486956397076973</v>
      </c>
      <c r="G16" s="111">
        <f>F16*D4*C12</f>
        <v>0.51820764769659478</v>
      </c>
      <c r="H16" s="111">
        <f>G16*D4*C11</f>
        <v>0.36708944716013414</v>
      </c>
      <c r="I16" s="111">
        <f>H16*D4*C10</f>
        <v>0.25096777517591384</v>
      </c>
      <c r="J16" s="111">
        <f>I16*D4*C9</f>
        <v>0.16173800234548971</v>
      </c>
      <c r="K16" s="111">
        <f>J16*D4*C8</f>
        <v>9.3172400220409735E-2</v>
      </c>
      <c r="L16" s="111">
        <f>K16*D4</f>
        <v>4.0485481430319298E-2</v>
      </c>
      <c r="M16" s="264">
        <f>L16*D4</f>
        <v>1.7591842678382388E-2</v>
      </c>
      <c r="N16" s="145">
        <f>B16+M16</f>
        <v>0.99999999999999689</v>
      </c>
      <c r="R16" s="191">
        <f>B16-M16</f>
        <v>0.96481631464323203</v>
      </c>
      <c r="S16" s="94">
        <f>SUM(C16:L16)*$B$4*$F$4</f>
        <v>30.120726037278764</v>
      </c>
      <c r="T16" s="10">
        <f>SUM(C16:L16)*$D$4*$H$4</f>
        <v>-23.322379996391618</v>
      </c>
      <c r="U16" s="267">
        <f t="shared" si="0"/>
        <v>6.7983460408871466</v>
      </c>
      <c r="V16" s="94">
        <f>(U16+W16*M16)/B16</f>
        <v>7.0991516262296059</v>
      </c>
      <c r="W16" s="10">
        <f t="shared" si="1"/>
        <v>10</v>
      </c>
    </row>
    <row r="18" spans="1:21" x14ac:dyDescent="0.2">
      <c r="A18" s="356" t="s">
        <v>200</v>
      </c>
      <c r="B18" s="356"/>
      <c r="C18" s="356"/>
      <c r="D18" s="356"/>
      <c r="E18" s="356"/>
      <c r="F18" s="356"/>
      <c r="O18" s="356" t="s">
        <v>201</v>
      </c>
      <c r="P18" s="356"/>
      <c r="Q18" s="356"/>
      <c r="R18" s="356"/>
      <c r="S18" s="356"/>
      <c r="T18" s="356"/>
    </row>
    <row r="19" spans="1:21" ht="17" thickBot="1" x14ac:dyDescent="0.25"/>
    <row r="20" spans="1:21" ht="17" thickBot="1" x14ac:dyDescent="0.25">
      <c r="A20" s="29" t="s">
        <v>135</v>
      </c>
      <c r="B20" s="19" t="s">
        <v>140</v>
      </c>
      <c r="C20" s="19" t="s">
        <v>139</v>
      </c>
      <c r="D20" s="19" t="s">
        <v>138</v>
      </c>
      <c r="E20" s="166" t="s">
        <v>151</v>
      </c>
      <c r="F20" s="168" t="s">
        <v>152</v>
      </c>
      <c r="G20" s="166" t="s">
        <v>47</v>
      </c>
      <c r="O20" s="29" t="s">
        <v>135</v>
      </c>
      <c r="P20" s="118" t="s">
        <v>140</v>
      </c>
      <c r="Q20" s="118" t="s">
        <v>139</v>
      </c>
      <c r="R20" s="118" t="s">
        <v>138</v>
      </c>
      <c r="S20" s="166" t="s">
        <v>151</v>
      </c>
      <c r="T20" s="168" t="s">
        <v>152</v>
      </c>
      <c r="U20" s="293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10</v>
      </c>
      <c r="D21" s="57">
        <f>SUM($C$21:C21)</f>
        <v>10</v>
      </c>
      <c r="E21" s="57">
        <f t="shared" ref="E21:E30" si="3">D21/R7</f>
        <v>76.361823179623926</v>
      </c>
      <c r="F21" s="8">
        <f t="shared" ref="F21:F30" si="4">U7/E21</f>
        <v>1.4456123418736476E-2</v>
      </c>
      <c r="G21" s="286">
        <f>E21*U7</f>
        <v>84.295506606809113</v>
      </c>
      <c r="O21" s="101">
        <v>1</v>
      </c>
      <c r="P21" s="109">
        <v>1</v>
      </c>
      <c r="Q21" s="110">
        <f>P21*10+45</f>
        <v>55</v>
      </c>
      <c r="R21" s="57">
        <f>SUM($Q$21)</f>
        <v>55</v>
      </c>
      <c r="S21" s="281">
        <f>R21/R7</f>
        <v>419.99002748793157</v>
      </c>
      <c r="T21" s="8">
        <f>U7/S21</f>
        <v>2.6283860761339051E-3</v>
      </c>
      <c r="U21" s="286">
        <f>S21*U7</f>
        <v>463.62528633745006</v>
      </c>
    </row>
    <row r="22" spans="1:21" x14ac:dyDescent="0.2">
      <c r="A22" s="97">
        <v>2</v>
      </c>
      <c r="B22" s="93">
        <f>C21</f>
        <v>10</v>
      </c>
      <c r="C22" s="1">
        <f t="shared" si="2"/>
        <v>100</v>
      </c>
      <c r="D22" s="9">
        <f>SUM($C$21:C22)</f>
        <v>110</v>
      </c>
      <c r="E22" s="9">
        <f t="shared" si="3"/>
        <v>220.27773175146362</v>
      </c>
      <c r="F22" s="9">
        <f t="shared" si="4"/>
        <v>9.5307705641107261E-3</v>
      </c>
      <c r="G22" s="287">
        <f t="shared" ref="G22:G30" si="5">E22*U8</f>
        <v>462.45470940292921</v>
      </c>
      <c r="O22" s="99">
        <v>2</v>
      </c>
      <c r="P22" s="93">
        <f>Q21</f>
        <v>55</v>
      </c>
      <c r="Q22" s="1">
        <f t="shared" ref="Q22:Q30" si="6">P22*10+45</f>
        <v>595</v>
      </c>
      <c r="R22" s="9">
        <f>SUM($Q$21:Q22)</f>
        <v>650</v>
      </c>
      <c r="S22" s="282">
        <f t="shared" ref="S22:S30" si="7">R22/R8</f>
        <v>1301.6411421677396</v>
      </c>
      <c r="T22" s="9">
        <f>U8/S22</f>
        <v>1.6128996339264303E-3</v>
      </c>
      <c r="U22" s="287">
        <f t="shared" ref="U22:U30" si="8">S22*U8</f>
        <v>2732.6869191991273</v>
      </c>
    </row>
    <row r="23" spans="1:21" x14ac:dyDescent="0.2">
      <c r="A23" s="97">
        <v>3</v>
      </c>
      <c r="B23" s="93">
        <f t="shared" ref="B23:B30" si="9">C22</f>
        <v>100</v>
      </c>
      <c r="C23" s="1">
        <f t="shared" si="2"/>
        <v>1000</v>
      </c>
      <c r="D23" s="9">
        <f>SUM($C$21:C23)</f>
        <v>1110</v>
      </c>
      <c r="E23" s="9">
        <f t="shared" si="3"/>
        <v>1638.7026712514032</v>
      </c>
      <c r="F23" s="9">
        <f t="shared" si="4"/>
        <v>1.8247460364582109E-3</v>
      </c>
      <c r="G23" s="287">
        <f t="shared" si="5"/>
        <v>4900.0752816047907</v>
      </c>
      <c r="O23" s="99">
        <v>3</v>
      </c>
      <c r="P23" s="93">
        <f t="shared" ref="P23:P30" si="10">Q22</f>
        <v>595</v>
      </c>
      <c r="Q23" s="1">
        <f t="shared" si="6"/>
        <v>5995</v>
      </c>
      <c r="R23" s="9">
        <f>SUM($Q$21:Q23)</f>
        <v>6645</v>
      </c>
      <c r="S23" s="282">
        <f t="shared" si="7"/>
        <v>9810.0713968158325</v>
      </c>
      <c r="T23" s="9">
        <f t="shared" ref="T23:T30" si="11">U9/S23</f>
        <v>3.0481085033387724E-4</v>
      </c>
      <c r="U23" s="287">
        <f t="shared" si="8"/>
        <v>29334.234456093542</v>
      </c>
    </row>
    <row r="24" spans="1:21" x14ac:dyDescent="0.2">
      <c r="A24" s="97">
        <v>4</v>
      </c>
      <c r="B24" s="93">
        <f t="shared" si="9"/>
        <v>1000</v>
      </c>
      <c r="C24" s="1">
        <f t="shared" si="2"/>
        <v>10000</v>
      </c>
      <c r="D24" s="9">
        <f>SUM($C$21:C24)</f>
        <v>11110</v>
      </c>
      <c r="E24" s="9">
        <f t="shared" si="3"/>
        <v>14254.107936906505</v>
      </c>
      <c r="F24" s="9">
        <f t="shared" si="4"/>
        <v>2.6526867840778111E-4</v>
      </c>
      <c r="G24" s="287">
        <f t="shared" si="5"/>
        <v>53897.182134961506</v>
      </c>
      <c r="O24" s="99">
        <v>4</v>
      </c>
      <c r="P24" s="93">
        <f t="shared" si="10"/>
        <v>5995</v>
      </c>
      <c r="Q24" s="1">
        <f t="shared" si="6"/>
        <v>59995</v>
      </c>
      <c r="R24" s="9">
        <f>SUM($Q$21:Q24)</f>
        <v>66640</v>
      </c>
      <c r="S24" s="282">
        <f t="shared" si="7"/>
        <v>85498.987661156571</v>
      </c>
      <c r="T24" s="9">
        <f t="shared" si="11"/>
        <v>4.4224715142713808E-5</v>
      </c>
      <c r="U24" s="287">
        <f t="shared" si="8"/>
        <v>323286.06817946309</v>
      </c>
    </row>
    <row r="25" spans="1:21" x14ac:dyDescent="0.2">
      <c r="A25" s="97">
        <v>5</v>
      </c>
      <c r="B25" s="93">
        <f t="shared" si="9"/>
        <v>10000</v>
      </c>
      <c r="C25" s="1">
        <f t="shared" si="2"/>
        <v>100000</v>
      </c>
      <c r="D25" s="9">
        <f>SUM($C$21:C25)</f>
        <v>111110</v>
      </c>
      <c r="E25" s="9">
        <f t="shared" si="3"/>
        <v>131686.23249709958</v>
      </c>
      <c r="F25" s="9">
        <f t="shared" si="4"/>
        <v>3.4006205731790476E-5</v>
      </c>
      <c r="G25" s="287">
        <f t="shared" si="5"/>
        <v>589710.58542775805</v>
      </c>
      <c r="O25" s="99">
        <v>5</v>
      </c>
      <c r="P25" s="93">
        <f t="shared" si="10"/>
        <v>59995</v>
      </c>
      <c r="Q25" s="1">
        <f t="shared" si="6"/>
        <v>599995</v>
      </c>
      <c r="R25" s="9">
        <f>SUM($Q$21:Q25)</f>
        <v>666635</v>
      </c>
      <c r="S25" s="282">
        <f t="shared" si="7"/>
        <v>790087.76528398856</v>
      </c>
      <c r="T25" s="9">
        <f t="shared" si="11"/>
        <v>5.667913504180309E-6</v>
      </c>
      <c r="U25" s="287">
        <f t="shared" si="8"/>
        <v>3538130.8263579644</v>
      </c>
    </row>
    <row r="26" spans="1:21" x14ac:dyDescent="0.2">
      <c r="A26" s="97">
        <v>6</v>
      </c>
      <c r="B26" s="93">
        <f t="shared" si="9"/>
        <v>100000</v>
      </c>
      <c r="C26" s="1">
        <f t="shared" si="2"/>
        <v>1000000</v>
      </c>
      <c r="D26" s="9">
        <f>SUM($C$21:C26)</f>
        <v>1111110</v>
      </c>
      <c r="E26" s="9">
        <f t="shared" si="3"/>
        <v>1253037.5044723682</v>
      </c>
      <c r="F26" s="9">
        <f t="shared" si="4"/>
        <v>4.0603676078224877E-6</v>
      </c>
      <c r="G26" s="287">
        <f t="shared" si="5"/>
        <v>6375195.3118545786</v>
      </c>
      <c r="O26" s="99">
        <v>6</v>
      </c>
      <c r="P26" s="93">
        <f t="shared" si="10"/>
        <v>599995</v>
      </c>
      <c r="Q26" s="1">
        <f t="shared" si="6"/>
        <v>5999995</v>
      </c>
      <c r="R26" s="9">
        <f>SUM($Q$21:Q26)</f>
        <v>6666630</v>
      </c>
      <c r="S26" s="282">
        <f t="shared" si="7"/>
        <v>7518191.1947877556</v>
      </c>
      <c r="T26" s="9">
        <f t="shared" si="11"/>
        <v>6.7673097992953624E-7</v>
      </c>
      <c r="U26" s="287">
        <f t="shared" si="8"/>
        <v>38250999.740681916</v>
      </c>
    </row>
    <row r="27" spans="1:21" x14ac:dyDescent="0.2">
      <c r="A27" s="97">
        <v>7</v>
      </c>
      <c r="B27" s="93">
        <f t="shared" si="9"/>
        <v>1000000</v>
      </c>
      <c r="C27" s="1">
        <f t="shared" si="2"/>
        <v>10000000</v>
      </c>
      <c r="D27" s="9">
        <f>SUM($C$21:C27)</f>
        <v>11111110</v>
      </c>
      <c r="E27" s="9">
        <f t="shared" si="3"/>
        <v>12122176.34121535</v>
      </c>
      <c r="F27" s="9">
        <f t="shared" si="4"/>
        <v>4.6338534311472258E-7</v>
      </c>
      <c r="G27" s="287">
        <f t="shared" si="5"/>
        <v>68093159.807646364</v>
      </c>
      <c r="O27" s="99">
        <v>7</v>
      </c>
      <c r="P27" s="93">
        <f t="shared" si="10"/>
        <v>5999995</v>
      </c>
      <c r="Q27" s="1">
        <f t="shared" si="6"/>
        <v>59999995</v>
      </c>
      <c r="R27" s="9">
        <f>SUM($Q$21:Q27)</f>
        <v>66666625</v>
      </c>
      <c r="S27" s="282">
        <f t="shared" si="7"/>
        <v>72733019.862432793</v>
      </c>
      <c r="T27" s="9">
        <f t="shared" si="11"/>
        <v>7.7230931065363309E-8</v>
      </c>
      <c r="U27" s="287">
        <f t="shared" si="8"/>
        <v>408558744.35240328</v>
      </c>
    </row>
    <row r="28" spans="1:21" x14ac:dyDescent="0.2">
      <c r="A28" s="97">
        <v>8</v>
      </c>
      <c r="B28" s="93">
        <f t="shared" si="9"/>
        <v>10000000</v>
      </c>
      <c r="C28" s="1">
        <f t="shared" si="2"/>
        <v>100000000</v>
      </c>
      <c r="D28" s="9">
        <f>SUM($C$21:C28)</f>
        <v>111111110</v>
      </c>
      <c r="E28" s="9">
        <f t="shared" si="3"/>
        <v>118468064.26358871</v>
      </c>
      <c r="F28" s="9">
        <f t="shared" si="4"/>
        <v>5.1270228460970598E-8</v>
      </c>
      <c r="G28" s="287">
        <f t="shared" si="5"/>
        <v>719561365.35317767</v>
      </c>
      <c r="O28" s="99">
        <v>8</v>
      </c>
      <c r="P28" s="93">
        <f t="shared" si="10"/>
        <v>59999995</v>
      </c>
      <c r="Q28" s="1">
        <f t="shared" si="6"/>
        <v>599999995</v>
      </c>
      <c r="R28" s="9">
        <f>SUM($Q$21:Q28)</f>
        <v>666666620</v>
      </c>
      <c r="S28" s="282">
        <f t="shared" si="7"/>
        <v>710808342.9330287</v>
      </c>
      <c r="T28" s="9">
        <f t="shared" si="11"/>
        <v>8.5450385895307527E-9</v>
      </c>
      <c r="U28" s="287">
        <f t="shared" si="8"/>
        <v>4317367933.0769711</v>
      </c>
    </row>
    <row r="29" spans="1:21" x14ac:dyDescent="0.2">
      <c r="A29" s="97">
        <v>9</v>
      </c>
      <c r="B29" s="93">
        <f t="shared" si="9"/>
        <v>100000000</v>
      </c>
      <c r="C29" s="1">
        <f t="shared" si="2"/>
        <v>1000000000</v>
      </c>
      <c r="D29" s="9">
        <f>SUM($C$21:C29)</f>
        <v>1111111110</v>
      </c>
      <c r="E29" s="9">
        <f t="shared" si="3"/>
        <v>1165428447.8124032</v>
      </c>
      <c r="F29" s="9">
        <f t="shared" si="4"/>
        <v>5.5474556074524279E-9</v>
      </c>
      <c r="G29" s="287">
        <f t="shared" si="5"/>
        <v>7534684388.0185747</v>
      </c>
      <c r="O29" s="99">
        <v>9</v>
      </c>
      <c r="P29" s="93">
        <f t="shared" si="10"/>
        <v>599999995</v>
      </c>
      <c r="Q29" s="1">
        <f t="shared" si="6"/>
        <v>5999999995</v>
      </c>
      <c r="R29" s="9">
        <f>SUM($Q$21:Q29)</f>
        <v>6666666615</v>
      </c>
      <c r="S29" s="282">
        <f t="shared" si="7"/>
        <v>6992570639.6745672</v>
      </c>
      <c r="T29" s="9">
        <f t="shared" si="11"/>
        <v>9.2457594081629216E-10</v>
      </c>
      <c r="U29" s="287">
        <f t="shared" si="8"/>
        <v>45208106022.956734</v>
      </c>
    </row>
    <row r="30" spans="1:21" ht="17" thickBot="1" x14ac:dyDescent="0.25">
      <c r="A30" s="145">
        <v>10</v>
      </c>
      <c r="B30" s="94">
        <f t="shared" si="9"/>
        <v>1000000000</v>
      </c>
      <c r="C30" s="111">
        <f t="shared" si="2"/>
        <v>10000000000</v>
      </c>
      <c r="D30" s="10">
        <f>SUM($C$21:C30)</f>
        <v>11111111110</v>
      </c>
      <c r="E30" s="10">
        <f t="shared" si="3"/>
        <v>11516296875.751574</v>
      </c>
      <c r="F30" s="10">
        <f t="shared" si="4"/>
        <v>5.9032396561446529E-10</v>
      </c>
      <c r="G30" s="288">
        <f t="shared" si="5"/>
        <v>78291771270.946732</v>
      </c>
      <c r="O30" s="100">
        <v>10</v>
      </c>
      <c r="P30" s="94">
        <f t="shared" si="10"/>
        <v>5999999995</v>
      </c>
      <c r="Q30" s="111">
        <f t="shared" si="6"/>
        <v>59999999995</v>
      </c>
      <c r="R30" s="10">
        <f>SUM($Q$21:Q30)</f>
        <v>66666666610</v>
      </c>
      <c r="S30" s="283">
        <f t="shared" si="7"/>
        <v>69097781202.686111</v>
      </c>
      <c r="T30" s="10">
        <f t="shared" si="11"/>
        <v>9.8387327676201381E-11</v>
      </c>
      <c r="U30" s="288">
        <f t="shared" si="8"/>
        <v>469750627273.36743</v>
      </c>
    </row>
    <row r="31" spans="1:21" ht="17" thickBot="1" x14ac:dyDescent="0.25"/>
    <row r="32" spans="1:21" ht="17" thickBot="1" x14ac:dyDescent="0.25">
      <c r="A32" s="117" t="s">
        <v>135</v>
      </c>
      <c r="B32" s="118" t="s">
        <v>140</v>
      </c>
      <c r="C32" s="118" t="s">
        <v>139</v>
      </c>
      <c r="D32" s="170" t="s">
        <v>138</v>
      </c>
      <c r="E32" s="166" t="s">
        <v>151</v>
      </c>
      <c r="F32" s="168" t="s">
        <v>152</v>
      </c>
      <c r="G32" s="290" t="s">
        <v>47</v>
      </c>
      <c r="O32" s="29" t="s">
        <v>135</v>
      </c>
      <c r="P32" s="118" t="s">
        <v>140</v>
      </c>
      <c r="Q32" s="118" t="s">
        <v>139</v>
      </c>
      <c r="R32" s="118" t="s">
        <v>138</v>
      </c>
      <c r="S32" s="166" t="s">
        <v>151</v>
      </c>
      <c r="T32" s="168" t="s">
        <v>152</v>
      </c>
      <c r="U32" s="294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10</v>
      </c>
      <c r="D33" s="57">
        <f>SUM($C$33:C33)</f>
        <v>10</v>
      </c>
      <c r="E33" s="9">
        <f t="shared" ref="E33:E42" si="13">D33/R7</f>
        <v>76.361823179623926</v>
      </c>
      <c r="F33" s="8">
        <f t="shared" ref="F33:F42" si="14">U7/E33</f>
        <v>1.4456123418736476E-2</v>
      </c>
      <c r="G33" s="289">
        <f>E33*U7</f>
        <v>84.295506606809113</v>
      </c>
      <c r="O33" s="101">
        <v>1</v>
      </c>
      <c r="P33" s="109">
        <v>1</v>
      </c>
      <c r="Q33" s="110">
        <f>P33*10+45</f>
        <v>55</v>
      </c>
      <c r="R33" s="57">
        <f>SUM($Q$21)</f>
        <v>55</v>
      </c>
      <c r="S33" s="281">
        <f>R33/R7</f>
        <v>419.99002748793157</v>
      </c>
      <c r="T33" s="8">
        <f>U7/S33</f>
        <v>2.6283860761339051E-3</v>
      </c>
      <c r="U33" s="289">
        <f>S33*U7</f>
        <v>463.62528633745006</v>
      </c>
    </row>
    <row r="34" spans="1:21" x14ac:dyDescent="0.2">
      <c r="A34" s="97">
        <v>2</v>
      </c>
      <c r="B34" s="93">
        <f t="shared" ref="B34:B42" si="15">B33*($O$2+1)</f>
        <v>11</v>
      </c>
      <c r="C34" s="1">
        <f t="shared" si="12"/>
        <v>110</v>
      </c>
      <c r="D34" s="9">
        <f>SUM($C$33:C34)</f>
        <v>120</v>
      </c>
      <c r="E34" s="9">
        <f t="shared" si="13"/>
        <v>240.30298009250578</v>
      </c>
      <c r="F34" s="9">
        <f t="shared" si="14"/>
        <v>8.7365396837681651E-3</v>
      </c>
      <c r="G34" s="287">
        <f t="shared" ref="G34:G42" si="16">E34*U8</f>
        <v>504.49604662137733</v>
      </c>
      <c r="O34" s="99">
        <v>2</v>
      </c>
      <c r="P34" s="93">
        <f>Q33+1</f>
        <v>56</v>
      </c>
      <c r="Q34" s="1">
        <f t="shared" ref="Q34:Q42" si="17">P34*10+45</f>
        <v>605</v>
      </c>
      <c r="R34" s="9">
        <f>SUM($Q$33:Q34)</f>
        <v>660</v>
      </c>
      <c r="S34" s="282">
        <f>R34/R8</f>
        <v>1321.6663905087817</v>
      </c>
      <c r="T34" s="9">
        <f t="shared" ref="T34:T42" si="18">U8/S34</f>
        <v>1.588461760685121E-3</v>
      </c>
      <c r="U34" s="287">
        <f t="shared" ref="U34:U42" si="19">S34*U8</f>
        <v>2774.7282564175753</v>
      </c>
    </row>
    <row r="35" spans="1:21" x14ac:dyDescent="0.2">
      <c r="A35" s="97">
        <v>3</v>
      </c>
      <c r="B35" s="93">
        <f t="shared" si="15"/>
        <v>121</v>
      </c>
      <c r="C35" s="1">
        <f t="shared" si="12"/>
        <v>1210</v>
      </c>
      <c r="D35" s="9">
        <f>SUM($C$33:C35)</f>
        <v>1330</v>
      </c>
      <c r="E35" s="9">
        <f t="shared" si="13"/>
        <v>1963.4905880760057</v>
      </c>
      <c r="F35" s="9">
        <f t="shared" si="14"/>
        <v>1.5229083462170031E-3</v>
      </c>
      <c r="G35" s="287">
        <f t="shared" si="16"/>
        <v>5871.2613734543884</v>
      </c>
      <c r="O35" s="99">
        <v>3</v>
      </c>
      <c r="P35" s="93">
        <f t="shared" ref="P35:P42" si="20">Q34+1</f>
        <v>606</v>
      </c>
      <c r="Q35" s="1">
        <f t="shared" si="17"/>
        <v>6105</v>
      </c>
      <c r="R35" s="9">
        <f>SUM($Q$33:Q35)</f>
        <v>6765</v>
      </c>
      <c r="S35" s="282">
        <f t="shared" ref="S35:S42" si="21">R35/R9</f>
        <v>9987.2284423565252</v>
      </c>
      <c r="T35" s="9">
        <f t="shared" si="18"/>
        <v>2.9940400598205678E-4</v>
      </c>
      <c r="U35" s="287">
        <f t="shared" si="19"/>
        <v>29863.972324375143</v>
      </c>
    </row>
    <row r="36" spans="1:21" x14ac:dyDescent="0.2">
      <c r="A36" s="97">
        <v>4</v>
      </c>
      <c r="B36" s="93">
        <f t="shared" si="15"/>
        <v>1331</v>
      </c>
      <c r="C36" s="1">
        <f t="shared" si="12"/>
        <v>13310</v>
      </c>
      <c r="D36" s="9">
        <f>SUM($C$33:C36)</f>
        <v>14640</v>
      </c>
      <c r="E36" s="9">
        <f t="shared" si="13"/>
        <v>18783.090926760688</v>
      </c>
      <c r="F36" s="9">
        <f t="shared" si="14"/>
        <v>2.0130703668787213E-4</v>
      </c>
      <c r="G36" s="287">
        <f t="shared" si="16"/>
        <v>71022.029383963687</v>
      </c>
      <c r="O36" s="99">
        <v>4</v>
      </c>
      <c r="P36" s="93">
        <f t="shared" si="20"/>
        <v>6106</v>
      </c>
      <c r="Q36" s="1">
        <f t="shared" si="17"/>
        <v>61105</v>
      </c>
      <c r="R36" s="9">
        <f>SUM($Q$33:Q36)</f>
        <v>67870</v>
      </c>
      <c r="S36" s="282">
        <f t="shared" si="21"/>
        <v>87077.075218527854</v>
      </c>
      <c r="T36" s="9">
        <f t="shared" si="18"/>
        <v>4.3423235849571949E-5</v>
      </c>
      <c r="U36" s="287">
        <f t="shared" si="19"/>
        <v>329253.0829432797</v>
      </c>
    </row>
    <row r="37" spans="1:21" x14ac:dyDescent="0.2">
      <c r="A37" s="97">
        <v>5</v>
      </c>
      <c r="B37" s="93">
        <f t="shared" si="15"/>
        <v>14641</v>
      </c>
      <c r="C37" s="1">
        <f t="shared" si="12"/>
        <v>146410</v>
      </c>
      <c r="D37" s="9">
        <f>SUM($C$33:C37)</f>
        <v>161050</v>
      </c>
      <c r="E37" s="9">
        <f t="shared" si="13"/>
        <v>190874.51843810536</v>
      </c>
      <c r="F37" s="9">
        <f t="shared" si="14"/>
        <v>2.3461220235077555E-5</v>
      </c>
      <c r="G37" s="287">
        <f t="shared" si="16"/>
        <v>854764.5556938207</v>
      </c>
      <c r="O37" s="99">
        <v>5</v>
      </c>
      <c r="P37" s="93">
        <f t="shared" si="20"/>
        <v>61106</v>
      </c>
      <c r="Q37" s="1">
        <f t="shared" si="17"/>
        <v>611105</v>
      </c>
      <c r="R37" s="9">
        <f>SUM($Q$33:Q37)</f>
        <v>678975</v>
      </c>
      <c r="S37" s="282">
        <f t="shared" si="21"/>
        <v>804712.98451730877</v>
      </c>
      <c r="T37" s="9">
        <f t="shared" si="18"/>
        <v>5.5649022701266474E-6</v>
      </c>
      <c r="U37" s="287">
        <f t="shared" si="19"/>
        <v>3603624.738914697</v>
      </c>
    </row>
    <row r="38" spans="1:21" x14ac:dyDescent="0.2">
      <c r="A38" s="97">
        <v>6</v>
      </c>
      <c r="B38" s="93">
        <f t="shared" si="15"/>
        <v>161051</v>
      </c>
      <c r="C38" s="1">
        <f t="shared" si="12"/>
        <v>1610510</v>
      </c>
      <c r="D38" s="9">
        <f>SUM($C$33:C38)</f>
        <v>1771560</v>
      </c>
      <c r="E38" s="9">
        <f t="shared" si="13"/>
        <v>1997850.0071307686</v>
      </c>
      <c r="F38" s="9">
        <f t="shared" si="14"/>
        <v>2.5466340698184902E-6</v>
      </c>
      <c r="G38" s="287">
        <f t="shared" si="16"/>
        <v>10164647.070649257</v>
      </c>
      <c r="O38" s="99">
        <v>6</v>
      </c>
      <c r="P38" s="93">
        <f t="shared" si="20"/>
        <v>611106</v>
      </c>
      <c r="Q38" s="1">
        <f t="shared" si="17"/>
        <v>6111105</v>
      </c>
      <c r="R38" s="9">
        <f>SUM($Q$33:Q38)</f>
        <v>6790080</v>
      </c>
      <c r="S38" s="282">
        <f t="shared" si="21"/>
        <v>7657410.0659410292</v>
      </c>
      <c r="T38" s="9">
        <f t="shared" si="18"/>
        <v>6.6442737828238315E-7</v>
      </c>
      <c r="U38" s="287">
        <f t="shared" si="19"/>
        <v>38959316.524122305</v>
      </c>
    </row>
    <row r="39" spans="1:21" x14ac:dyDescent="0.2">
      <c r="A39" s="97">
        <v>7</v>
      </c>
      <c r="B39" s="93">
        <f t="shared" si="15"/>
        <v>1771561</v>
      </c>
      <c r="C39" s="1">
        <f t="shared" si="12"/>
        <v>17715610</v>
      </c>
      <c r="D39" s="9">
        <f>SUM($C$33:C39)</f>
        <v>19487170</v>
      </c>
      <c r="E39" s="9">
        <f t="shared" si="13"/>
        <v>21260424.12785415</v>
      </c>
      <c r="F39" s="9">
        <f t="shared" si="14"/>
        <v>2.6421104345758904E-7</v>
      </c>
      <c r="G39" s="287">
        <f t="shared" si="16"/>
        <v>119424880.23327751</v>
      </c>
      <c r="O39" s="99">
        <v>7</v>
      </c>
      <c r="P39" s="93">
        <f t="shared" si="20"/>
        <v>6111106</v>
      </c>
      <c r="Q39" s="1">
        <f t="shared" si="17"/>
        <v>61111105</v>
      </c>
      <c r="R39" s="9">
        <f>SUM($Q$33:Q39)</f>
        <v>67901185</v>
      </c>
      <c r="S39" s="282">
        <f t="shared" si="21"/>
        <v>74079919.859265774</v>
      </c>
      <c r="T39" s="9">
        <f t="shared" si="18"/>
        <v>7.5826740280533028E-8</v>
      </c>
      <c r="U39" s="287">
        <f t="shared" si="19"/>
        <v>416124603.33248079</v>
      </c>
    </row>
    <row r="40" spans="1:21" x14ac:dyDescent="0.2">
      <c r="A40" s="97">
        <v>8</v>
      </c>
      <c r="B40" s="93">
        <f t="shared" si="15"/>
        <v>19487171</v>
      </c>
      <c r="C40" s="1">
        <f t="shared" si="12"/>
        <v>194871710</v>
      </c>
      <c r="D40" s="9">
        <f>SUM($C$33:C40)</f>
        <v>214358880</v>
      </c>
      <c r="E40" s="9">
        <f t="shared" si="13"/>
        <v>228552136.42731947</v>
      </c>
      <c r="F40" s="9">
        <f t="shared" si="14"/>
        <v>2.6575488704979399E-8</v>
      </c>
      <c r="G40" s="287">
        <f t="shared" si="16"/>
        <v>1388199329.1973948</v>
      </c>
      <c r="O40" s="99">
        <v>8</v>
      </c>
      <c r="P40" s="93">
        <f t="shared" si="20"/>
        <v>61111106</v>
      </c>
      <c r="Q40" s="1">
        <f t="shared" si="17"/>
        <v>611111105</v>
      </c>
      <c r="R40" s="9">
        <f>SUM($Q$33:Q40)</f>
        <v>679012290</v>
      </c>
      <c r="S40" s="282">
        <f t="shared" si="21"/>
        <v>723971451.70709336</v>
      </c>
      <c r="T40" s="9">
        <f t="shared" si="18"/>
        <v>8.3896743522153838E-9</v>
      </c>
      <c r="U40" s="287">
        <f t="shared" si="19"/>
        <v>4397319138.3290815</v>
      </c>
    </row>
    <row r="41" spans="1:21" x14ac:dyDescent="0.2">
      <c r="A41" s="97">
        <v>9</v>
      </c>
      <c r="B41" s="93">
        <f t="shared" si="15"/>
        <v>214358881</v>
      </c>
      <c r="C41" s="1">
        <f t="shared" si="12"/>
        <v>2143588810</v>
      </c>
      <c r="D41" s="9">
        <f>SUM($C$33:C41)</f>
        <v>2357947690</v>
      </c>
      <c r="E41" s="9">
        <f t="shared" si="13"/>
        <v>2473217387.2148051</v>
      </c>
      <c r="F41" s="9">
        <f t="shared" si="14"/>
        <v>2.6140696775475076E-9</v>
      </c>
      <c r="G41" s="287">
        <f t="shared" si="16"/>
        <v>15989752498.83647</v>
      </c>
      <c r="O41" s="99">
        <v>9</v>
      </c>
      <c r="P41" s="93">
        <f t="shared" si="20"/>
        <v>611111106</v>
      </c>
      <c r="Q41" s="1">
        <f t="shared" si="17"/>
        <v>6111111105</v>
      </c>
      <c r="R41" s="9">
        <f>SUM($Q$33:Q41)</f>
        <v>6790123395</v>
      </c>
      <c r="S41" s="282">
        <f t="shared" si="21"/>
        <v>7122062678.9426451</v>
      </c>
      <c r="T41" s="9">
        <f t="shared" si="18"/>
        <v>9.0776547039057022E-10</v>
      </c>
      <c r="U41" s="287">
        <f t="shared" si="19"/>
        <v>46045293109.368858</v>
      </c>
    </row>
    <row r="42" spans="1:21" ht="17" thickBot="1" x14ac:dyDescent="0.25">
      <c r="A42" s="145">
        <v>10</v>
      </c>
      <c r="B42" s="94">
        <f t="shared" si="15"/>
        <v>2357947691</v>
      </c>
      <c r="C42" s="111">
        <f t="shared" si="12"/>
        <v>23579476910</v>
      </c>
      <c r="D42" s="10">
        <f>SUM($C$33:C42)</f>
        <v>25937424600</v>
      </c>
      <c r="E42" s="9">
        <f t="shared" si="13"/>
        <v>26883277372.430309</v>
      </c>
      <c r="F42" s="10">
        <f t="shared" si="14"/>
        <v>2.5288382613122443E-10</v>
      </c>
      <c r="G42" s="288">
        <f t="shared" si="16"/>
        <v>182761822290.93262</v>
      </c>
      <c r="O42" s="100">
        <v>10</v>
      </c>
      <c r="P42" s="94">
        <f t="shared" si="20"/>
        <v>6111111106</v>
      </c>
      <c r="Q42" s="111">
        <f t="shared" si="17"/>
        <v>61111111105</v>
      </c>
      <c r="R42" s="10">
        <f>SUM($Q$33:Q42)</f>
        <v>67901234500</v>
      </c>
      <c r="S42" s="283">
        <f t="shared" si="21"/>
        <v>70377369732.919983</v>
      </c>
      <c r="T42" s="10">
        <f t="shared" si="18"/>
        <v>9.6598467187487499E-11</v>
      </c>
      <c r="U42" s="288">
        <f t="shared" si="19"/>
        <v>478449712891.84747</v>
      </c>
    </row>
    <row r="43" spans="1:21" ht="17" thickBot="1" x14ac:dyDescent="0.25">
      <c r="U43" s="285"/>
    </row>
    <row r="44" spans="1:21" ht="17" thickBot="1" x14ac:dyDescent="0.25">
      <c r="A44" s="117" t="s">
        <v>135</v>
      </c>
      <c r="B44" s="118" t="s">
        <v>140</v>
      </c>
      <c r="C44" s="118" t="s">
        <v>139</v>
      </c>
      <c r="D44" s="170" t="s">
        <v>138</v>
      </c>
      <c r="E44" s="166" t="s">
        <v>151</v>
      </c>
      <c r="F44" s="168" t="s">
        <v>152</v>
      </c>
      <c r="G44" s="290" t="s">
        <v>47</v>
      </c>
      <c r="O44" s="29" t="s">
        <v>135</v>
      </c>
      <c r="P44" s="118" t="s">
        <v>140</v>
      </c>
      <c r="Q44" s="118" t="s">
        <v>139</v>
      </c>
      <c r="R44" s="118" t="s">
        <v>138</v>
      </c>
      <c r="S44" s="166" t="s">
        <v>151</v>
      </c>
      <c r="T44" s="168" t="s">
        <v>152</v>
      </c>
      <c r="U44" s="294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10</v>
      </c>
      <c r="D45" s="57">
        <f>SUM(C45:C45)</f>
        <v>10</v>
      </c>
      <c r="E45" s="57">
        <f t="shared" ref="E45:E54" si="23">D45/R7</f>
        <v>76.361823179623926</v>
      </c>
      <c r="F45" s="8">
        <f t="shared" ref="F45:F54" si="24">U7/E45</f>
        <v>1.4456123418736476E-2</v>
      </c>
      <c r="G45" s="286">
        <f>E45*U7</f>
        <v>84.295506606809113</v>
      </c>
      <c r="O45" s="101">
        <v>1</v>
      </c>
      <c r="P45" s="109">
        <v>1</v>
      </c>
      <c r="Q45" s="110">
        <f>P45*10+45</f>
        <v>55</v>
      </c>
      <c r="R45" s="57">
        <f>SUM($Q$21)</f>
        <v>55</v>
      </c>
      <c r="S45" s="281">
        <f>R45/R7</f>
        <v>419.99002748793157</v>
      </c>
      <c r="T45" s="8">
        <f>U7/S45</f>
        <v>2.6283860761339051E-3</v>
      </c>
      <c r="U45" s="289">
        <f>S45*U7</f>
        <v>463.62528633745006</v>
      </c>
    </row>
    <row r="46" spans="1:21" x14ac:dyDescent="0.2">
      <c r="A46" s="97">
        <v>2</v>
      </c>
      <c r="B46" s="93">
        <f t="shared" ref="B46:B54" si="25">B45*$O$2*2</f>
        <v>20</v>
      </c>
      <c r="C46" s="1">
        <f t="shared" si="22"/>
        <v>200</v>
      </c>
      <c r="D46" s="9">
        <f>SUM($C$45:C46)</f>
        <v>210</v>
      </c>
      <c r="E46" s="9">
        <f t="shared" si="23"/>
        <v>420.53021516188511</v>
      </c>
      <c r="F46" s="9">
        <f t="shared" si="24"/>
        <v>4.9923083907246653E-3</v>
      </c>
      <c r="G46" s="287">
        <f t="shared" ref="G46:G54" si="26">E46*U8</f>
        <v>882.8680815874103</v>
      </c>
      <c r="O46" s="99">
        <v>2</v>
      </c>
      <c r="P46" s="93">
        <f>Q45*2</f>
        <v>110</v>
      </c>
      <c r="Q46" s="1">
        <f t="shared" ref="Q46:Q54" si="27">P46*10+45</f>
        <v>1145</v>
      </c>
      <c r="R46" s="9">
        <f>SUM($Q$45:Q46)</f>
        <v>1200</v>
      </c>
      <c r="S46" s="282">
        <f t="shared" ref="S46:S54" si="28">R46/R8</f>
        <v>2403.0298009250578</v>
      </c>
      <c r="T46" s="9">
        <f t="shared" ref="T46:T54" si="29">U8/S46</f>
        <v>8.736539683768164E-4</v>
      </c>
      <c r="U46" s="287">
        <f t="shared" ref="U46:U54" si="30">S46*U8</f>
        <v>5044.9604662137735</v>
      </c>
    </row>
    <row r="47" spans="1:21" x14ac:dyDescent="0.2">
      <c r="A47" s="97">
        <v>3</v>
      </c>
      <c r="B47" s="93">
        <f t="shared" si="25"/>
        <v>400</v>
      </c>
      <c r="C47" s="1">
        <f t="shared" si="22"/>
        <v>4000</v>
      </c>
      <c r="D47" s="9">
        <f>SUM($C$45:C47)</f>
        <v>4210</v>
      </c>
      <c r="E47" s="9">
        <f t="shared" si="23"/>
        <v>6215.2596810526193</v>
      </c>
      <c r="F47" s="9">
        <f t="shared" si="24"/>
        <v>4.8110881246285372E-4</v>
      </c>
      <c r="G47" s="287">
        <f t="shared" si="26"/>
        <v>18584.970212212764</v>
      </c>
      <c r="O47" s="99">
        <v>3</v>
      </c>
      <c r="P47" s="93">
        <f t="shared" ref="P47:P54" si="31">Q46*2</f>
        <v>2290</v>
      </c>
      <c r="Q47" s="1">
        <f t="shared" si="27"/>
        <v>22945</v>
      </c>
      <c r="R47" s="9">
        <f>SUM($Q$45:Q47)</f>
        <v>24145</v>
      </c>
      <c r="S47" s="282">
        <f t="shared" si="28"/>
        <v>35645.473871500115</v>
      </c>
      <c r="T47" s="9">
        <f t="shared" si="29"/>
        <v>8.3887682769460102E-5</v>
      </c>
      <c r="U47" s="287">
        <f t="shared" si="30"/>
        <v>106587.67358049339</v>
      </c>
    </row>
    <row r="48" spans="1:21" x14ac:dyDescent="0.2">
      <c r="A48" s="97">
        <v>4</v>
      </c>
      <c r="B48" s="93">
        <f t="shared" si="25"/>
        <v>8000</v>
      </c>
      <c r="C48" s="1">
        <f t="shared" si="22"/>
        <v>80000</v>
      </c>
      <c r="D48" s="9">
        <f>SUM($C$45:C48)</f>
        <v>84210</v>
      </c>
      <c r="E48" s="9">
        <f t="shared" si="23"/>
        <v>108041.26276929764</v>
      </c>
      <c r="F48" s="9">
        <f t="shared" si="24"/>
        <v>3.4997447062230711E-5</v>
      </c>
      <c r="G48" s="287">
        <f t="shared" si="26"/>
        <v>408522.20590325008</v>
      </c>
      <c r="O48" s="99">
        <v>4</v>
      </c>
      <c r="P48" s="93">
        <f t="shared" si="31"/>
        <v>45890</v>
      </c>
      <c r="Q48" s="1">
        <f t="shared" si="27"/>
        <v>458945</v>
      </c>
      <c r="R48" s="9">
        <f>SUM($Q$45:Q48)</f>
        <v>483090</v>
      </c>
      <c r="S48" s="282">
        <f t="shared" si="28"/>
        <v>619803.51064267894</v>
      </c>
      <c r="T48" s="9">
        <f t="shared" si="29"/>
        <v>6.1005920576092411E-6</v>
      </c>
      <c r="U48" s="287">
        <f t="shared" si="30"/>
        <v>2343581.4327253425</v>
      </c>
    </row>
    <row r="49" spans="1:21" x14ac:dyDescent="0.2">
      <c r="A49" s="97">
        <v>5</v>
      </c>
      <c r="B49" s="93">
        <f t="shared" si="25"/>
        <v>160000</v>
      </c>
      <c r="C49" s="1">
        <f t="shared" si="22"/>
        <v>1600000</v>
      </c>
      <c r="D49" s="9">
        <f>SUM($C$45:C49)</f>
        <v>1684210</v>
      </c>
      <c r="E49" s="9">
        <f t="shared" si="23"/>
        <v>1996105.3877593384</v>
      </c>
      <c r="F49" s="9">
        <f t="shared" si="24"/>
        <v>2.2434432278986822E-6</v>
      </c>
      <c r="G49" s="287">
        <f t="shared" si="26"/>
        <v>8938857.5743253026</v>
      </c>
      <c r="O49" s="99">
        <v>5</v>
      </c>
      <c r="P49" s="93">
        <f t="shared" si="31"/>
        <v>917890</v>
      </c>
      <c r="Q49" s="1">
        <f t="shared" si="27"/>
        <v>9178945</v>
      </c>
      <c r="R49" s="9">
        <f>SUM($Q$45:Q49)</f>
        <v>9662035</v>
      </c>
      <c r="S49" s="282">
        <f t="shared" si="28"/>
        <v>11451327.39992002</v>
      </c>
      <c r="T49" s="9">
        <f t="shared" si="29"/>
        <v>3.9105939057964912E-7</v>
      </c>
      <c r="U49" s="287">
        <f t="shared" si="30"/>
        <v>51280751.653977931</v>
      </c>
    </row>
    <row r="50" spans="1:21" x14ac:dyDescent="0.2">
      <c r="A50" s="97">
        <v>6</v>
      </c>
      <c r="B50" s="93">
        <f t="shared" si="25"/>
        <v>3200000</v>
      </c>
      <c r="C50" s="1">
        <f t="shared" si="22"/>
        <v>32000000</v>
      </c>
      <c r="D50" s="9">
        <f>SUM($C$45:C50)</f>
        <v>33684210</v>
      </c>
      <c r="E50" s="9">
        <f t="shared" si="23"/>
        <v>37986858.581529446</v>
      </c>
      <c r="F50" s="9">
        <f t="shared" si="24"/>
        <v>1.3393560522059577E-7</v>
      </c>
      <c r="G50" s="287">
        <f t="shared" si="26"/>
        <v>193269269.17724174</v>
      </c>
      <c r="O50" s="99">
        <v>6</v>
      </c>
      <c r="P50" s="93">
        <f t="shared" si="31"/>
        <v>18357890</v>
      </c>
      <c r="Q50" s="1">
        <f t="shared" si="27"/>
        <v>183578945</v>
      </c>
      <c r="R50" s="9">
        <f>SUM($Q$45:Q50)</f>
        <v>193240980</v>
      </c>
      <c r="S50" s="282">
        <f t="shared" si="28"/>
        <v>217924593.73148903</v>
      </c>
      <c r="T50" s="9">
        <f t="shared" si="29"/>
        <v>2.3346575103933154E-8</v>
      </c>
      <c r="U50" s="287">
        <f t="shared" si="30"/>
        <v>1108755199.5339653</v>
      </c>
    </row>
    <row r="51" spans="1:21" x14ac:dyDescent="0.2">
      <c r="A51" s="97">
        <v>7</v>
      </c>
      <c r="B51" s="93">
        <f t="shared" si="25"/>
        <v>64000000</v>
      </c>
      <c r="C51" s="1">
        <f t="shared" si="22"/>
        <v>640000000</v>
      </c>
      <c r="D51" s="9">
        <f>SUM($C$45:C51)</f>
        <v>673684210</v>
      </c>
      <c r="E51" s="9">
        <f t="shared" si="23"/>
        <v>734986764.77078819</v>
      </c>
      <c r="F51" s="9">
        <f t="shared" si="24"/>
        <v>7.6426394493280839E-9</v>
      </c>
      <c r="G51" s="287">
        <f t="shared" si="26"/>
        <v>4128596204.2872396</v>
      </c>
      <c r="O51" s="99">
        <v>7</v>
      </c>
      <c r="P51" s="93">
        <f t="shared" si="31"/>
        <v>367157890</v>
      </c>
      <c r="Q51" s="1">
        <f t="shared" si="27"/>
        <v>3671578945</v>
      </c>
      <c r="R51" s="9">
        <f>SUM($Q$45:Q51)</f>
        <v>3864819925</v>
      </c>
      <c r="S51" s="282">
        <f t="shared" si="28"/>
        <v>4216503000.860641</v>
      </c>
      <c r="T51" s="9">
        <f t="shared" si="29"/>
        <v>1.3322032124783734E-9</v>
      </c>
      <c r="U51" s="287">
        <f t="shared" si="30"/>
        <v>23685104438.78252</v>
      </c>
    </row>
    <row r="52" spans="1:21" x14ac:dyDescent="0.2">
      <c r="A52" s="97">
        <v>8</v>
      </c>
      <c r="B52" s="93">
        <f t="shared" si="25"/>
        <v>1280000000</v>
      </c>
      <c r="C52" s="1">
        <f t="shared" si="22"/>
        <v>12800000000</v>
      </c>
      <c r="D52" s="9">
        <f>SUM($C$45:C52)</f>
        <v>13473684210</v>
      </c>
      <c r="E52" s="9">
        <f t="shared" si="23"/>
        <v>14365811725.376341</v>
      </c>
      <c r="F52" s="9">
        <f t="shared" si="24"/>
        <v>4.2280135896490887E-10</v>
      </c>
      <c r="G52" s="287">
        <f t="shared" si="26"/>
        <v>87256284330.929184</v>
      </c>
      <c r="O52" s="99">
        <v>8</v>
      </c>
      <c r="P52" s="93">
        <f t="shared" si="31"/>
        <v>7343157890</v>
      </c>
      <c r="Q52" s="1">
        <f t="shared" si="27"/>
        <v>73431578945</v>
      </c>
      <c r="R52" s="9">
        <f>SUM($Q$45:Q52)</f>
        <v>77296398870</v>
      </c>
      <c r="S52" s="282">
        <f t="shared" si="28"/>
        <v>82414393562.220245</v>
      </c>
      <c r="T52" s="9">
        <f t="shared" si="29"/>
        <v>7.3699319470664427E-11</v>
      </c>
      <c r="U52" s="287">
        <f t="shared" si="30"/>
        <v>500575525775.78436</v>
      </c>
    </row>
    <row r="53" spans="1:21" x14ac:dyDescent="0.2">
      <c r="A53" s="97">
        <v>9</v>
      </c>
      <c r="B53" s="93">
        <f t="shared" si="25"/>
        <v>25600000000</v>
      </c>
      <c r="C53" s="1">
        <f t="shared" si="22"/>
        <v>256000000000</v>
      </c>
      <c r="D53" s="9">
        <f>SUM($C$45:C53)</f>
        <v>269473684210</v>
      </c>
      <c r="E53" s="9">
        <f t="shared" si="23"/>
        <v>282647068046.2821</v>
      </c>
      <c r="F53" s="9">
        <f t="shared" si="24"/>
        <v>2.2873623358593819E-11</v>
      </c>
      <c r="G53" s="287">
        <f t="shared" si="26"/>
        <v>1827359247086.4004</v>
      </c>
      <c r="O53" s="99">
        <v>9</v>
      </c>
      <c r="P53" s="93">
        <f t="shared" si="31"/>
        <v>146863157890</v>
      </c>
      <c r="Q53" s="1">
        <f t="shared" si="27"/>
        <v>1468631578945</v>
      </c>
      <c r="R53" s="9">
        <f>SUM($Q$45:Q53)</f>
        <v>1545927977815</v>
      </c>
      <c r="S53" s="282">
        <f t="shared" si="28"/>
        <v>1621501600874.7341</v>
      </c>
      <c r="T53" s="9">
        <f t="shared" si="29"/>
        <v>3.9871453561401372E-12</v>
      </c>
      <c r="U53" s="287">
        <f t="shared" si="30"/>
        <v>10483271469982.697</v>
      </c>
    </row>
    <row r="54" spans="1:21" ht="17" thickBot="1" x14ac:dyDescent="0.25">
      <c r="A54" s="145">
        <v>10</v>
      </c>
      <c r="B54" s="94">
        <f t="shared" si="25"/>
        <v>512000000000</v>
      </c>
      <c r="C54" s="111">
        <f t="shared" si="22"/>
        <v>5120000000000</v>
      </c>
      <c r="D54" s="10">
        <f>SUM($C$45:C54)</f>
        <v>5389473684210</v>
      </c>
      <c r="E54" s="10">
        <f t="shared" si="23"/>
        <v>5586010106185.7656</v>
      </c>
      <c r="F54" s="10">
        <f t="shared" si="24"/>
        <v>1.2170307449603215E-12</v>
      </c>
      <c r="G54" s="288">
        <f t="shared" si="26"/>
        <v>37975629689743.586</v>
      </c>
      <c r="O54" s="100">
        <v>10</v>
      </c>
      <c r="P54" s="94">
        <f t="shared" si="31"/>
        <v>2937263157890</v>
      </c>
      <c r="Q54" s="111">
        <f t="shared" si="27"/>
        <v>29372631578945</v>
      </c>
      <c r="R54" s="10">
        <f>SUM($Q$45:Q54)</f>
        <v>30918559556760</v>
      </c>
      <c r="S54" s="283">
        <f t="shared" si="28"/>
        <v>32046057977567.477</v>
      </c>
      <c r="T54" s="10">
        <f t="shared" si="29"/>
        <v>2.1214297389232861E-13</v>
      </c>
      <c r="U54" s="288">
        <f t="shared" si="30"/>
        <v>217860191377835.81</v>
      </c>
    </row>
  </sheetData>
  <mergeCells count="2">
    <mergeCell ref="A18:F18"/>
    <mergeCell ref="O18:T18"/>
  </mergeCells>
  <conditionalFormatting sqref="F45:F54">
    <cfRule type="cellIs" dxfId="513" priority="59" operator="equal">
      <formula>MAX($F$45:$F$54)</formula>
    </cfRule>
  </conditionalFormatting>
  <conditionalFormatting sqref="F21:F30">
    <cfRule type="cellIs" dxfId="512" priority="57" operator="equal">
      <formula>MAX($F$21:$F$30)</formula>
    </cfRule>
  </conditionalFormatting>
  <conditionalFormatting sqref="E33:E42">
    <cfRule type="cellIs" dxfId="511" priority="53" stopIfTrue="1" operator="lessThan">
      <formula>0</formula>
    </cfRule>
    <cfRule type="cellIs" dxfId="510" priority="54" operator="equal">
      <formula>MIN($E$33:$E$42)</formula>
    </cfRule>
  </conditionalFormatting>
  <conditionalFormatting sqref="E21:E30">
    <cfRule type="cellIs" dxfId="509" priority="49" stopIfTrue="1" operator="lessThan">
      <formula>0</formula>
    </cfRule>
    <cfRule type="cellIs" dxfId="508" priority="50" operator="equal">
      <formula>MIN($E$21:$E$30)</formula>
    </cfRule>
  </conditionalFormatting>
  <conditionalFormatting sqref="E45:E54">
    <cfRule type="cellIs" dxfId="507" priority="45" stopIfTrue="1" operator="lessThan">
      <formula>0</formula>
    </cfRule>
    <cfRule type="cellIs" dxfId="506" priority="46" operator="equal">
      <formula>MIN($E$45:$E$54)</formula>
    </cfRule>
  </conditionalFormatting>
  <conditionalFormatting sqref="F33:F42">
    <cfRule type="cellIs" dxfId="505" priority="31" operator="lessThanOrEqual">
      <formula>0</formula>
    </cfRule>
    <cfRule type="cellIs" dxfId="504" priority="32" operator="equal">
      <formula>MAX($F$33:$F$42)</formula>
    </cfRule>
  </conditionalFormatting>
  <conditionalFormatting sqref="S7:T16">
    <cfRule type="cellIs" dxfId="503" priority="13" operator="lessThanOrEqual">
      <formula>0</formula>
    </cfRule>
    <cfRule type="cellIs" dxfId="502" priority="14" operator="greaterThan">
      <formula>0</formula>
    </cfRule>
  </conditionalFormatting>
  <conditionalFormatting sqref="U7:U16">
    <cfRule type="cellIs" dxfId="501" priority="15" operator="lessThanOrEqual">
      <formula>0</formula>
    </cfRule>
    <cfRule type="cellIs" dxfId="500" priority="16" operator="greaterThan">
      <formula>0</formula>
    </cfRule>
  </conditionalFormatting>
  <conditionalFormatting sqref="R7:R16">
    <cfRule type="cellIs" dxfId="499" priority="17" operator="lessThanOrEqual">
      <formula>0</formula>
    </cfRule>
    <cfRule type="cellIs" dxfId="498" priority="18" operator="greaterThan">
      <formula>0</formula>
    </cfRule>
  </conditionalFormatting>
  <conditionalFormatting sqref="T21:T30">
    <cfRule type="cellIs" dxfId="497" priority="9" operator="equal">
      <formula>MAX($T$21:$T$30)</formula>
    </cfRule>
  </conditionalFormatting>
  <conditionalFormatting sqref="S33:S42">
    <cfRule type="cellIs" dxfId="496" priority="7" stopIfTrue="1" operator="lessThan">
      <formula>0</formula>
    </cfRule>
    <cfRule type="cellIs" dxfId="495" priority="8" operator="equal">
      <formula>MIN($E$21:$E$30)</formula>
    </cfRule>
  </conditionalFormatting>
  <conditionalFormatting sqref="T33:T42">
    <cfRule type="cellIs" dxfId="494" priority="6" operator="equal">
      <formula>MAX($T$21:$T$30)</formula>
    </cfRule>
  </conditionalFormatting>
  <conditionalFormatting sqref="S45:S54">
    <cfRule type="cellIs" dxfId="493" priority="4" stopIfTrue="1" operator="lessThan">
      <formula>0</formula>
    </cfRule>
    <cfRule type="cellIs" dxfId="492" priority="5" operator="equal">
      <formula>MIN($E$21:$E$30)</formula>
    </cfRule>
  </conditionalFormatting>
  <conditionalFormatting sqref="T45:T54">
    <cfRule type="cellIs" dxfId="491" priority="3" operator="equal">
      <formula>MAX($T$21:$T$30)</formula>
    </cfRule>
  </conditionalFormatting>
  <conditionalFormatting sqref="S21:S30">
    <cfRule type="cellIs" dxfId="490" priority="1" stopIfTrue="1" operator="lessThan">
      <formula>0</formula>
    </cfRule>
    <cfRule type="cellIs" dxfId="489" priority="2" operator="equal">
      <formula>MIN($E$21:$E$30)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>
    <pageSetUpPr fitToPage="1"/>
  </sheetPr>
  <dimension ref="A1:W54"/>
  <sheetViews>
    <sheetView workbookViewId="0">
      <selection activeCell="C7" sqref="C7:C16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0.99999999999999978</v>
      </c>
    </row>
    <row r="2" spans="1:23" x14ac:dyDescent="0.2">
      <c r="A2" t="s">
        <v>40</v>
      </c>
      <c r="B2" s="149" t="s">
        <v>125</v>
      </c>
      <c r="C2" s="155">
        <f>Analysis!B26</f>
        <v>0.27869543141060632</v>
      </c>
      <c r="D2" s="149" t="s">
        <v>126</v>
      </c>
      <c r="E2" s="155">
        <f>Analysis!G26</f>
        <v>0.7213045685893934</v>
      </c>
      <c r="F2" s="149" t="s">
        <v>47</v>
      </c>
      <c r="G2" s="155">
        <f>Analysis!S26</f>
        <v>3.6762007085290125</v>
      </c>
      <c r="H2" t="s">
        <v>156</v>
      </c>
      <c r="I2" s="169">
        <f>Analysis!T26</f>
        <v>-3.7043340073158242</v>
      </c>
      <c r="J2" t="s">
        <v>48</v>
      </c>
      <c r="K2" s="169">
        <f>C2*G2+E2*I2</f>
        <v>-1.6474127006424895</v>
      </c>
      <c r="L2" t="s">
        <v>47</v>
      </c>
      <c r="M2" s="176">
        <v>2</v>
      </c>
      <c r="N2" t="s">
        <v>156</v>
      </c>
      <c r="O2" s="176">
        <v>3</v>
      </c>
    </row>
    <row r="4" spans="1:23" x14ac:dyDescent="0.2">
      <c r="A4" t="s">
        <v>123</v>
      </c>
      <c r="B4">
        <f>$C$2</f>
        <v>0.27869543141060632</v>
      </c>
      <c r="C4" t="s">
        <v>124</v>
      </c>
      <c r="D4">
        <f>$E$2</f>
        <v>0.7213045685893934</v>
      </c>
      <c r="E4" t="s">
        <v>47</v>
      </c>
      <c r="F4">
        <f>G2</f>
        <v>3.6762007085290125</v>
      </c>
      <c r="G4" t="s">
        <v>156</v>
      </c>
      <c r="H4">
        <f>I2</f>
        <v>-3.7043340073158242</v>
      </c>
      <c r="I4" t="s">
        <v>48</v>
      </c>
      <c r="J4">
        <f>K2</f>
        <v>-1.6474127006424895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60">
        <v>-10</v>
      </c>
      <c r="N6" s="104" t="s">
        <v>136</v>
      </c>
      <c r="R6" s="188" t="s">
        <v>49</v>
      </c>
      <c r="S6" s="164" t="s">
        <v>130</v>
      </c>
      <c r="T6" s="165" t="s">
        <v>137</v>
      </c>
      <c r="U6" s="268" t="s">
        <v>48</v>
      </c>
      <c r="V6" s="175" t="s">
        <v>47</v>
      </c>
      <c r="W6" s="168" t="s">
        <v>156</v>
      </c>
    </row>
    <row r="7" spans="1:23" x14ac:dyDescent="0.2">
      <c r="A7" s="101">
        <v>1</v>
      </c>
      <c r="B7" s="95">
        <f>C7*B4</f>
        <v>0.27869543141060632</v>
      </c>
      <c r="C7" s="95">
        <v>1</v>
      </c>
      <c r="D7" s="22">
        <f>C7*D4</f>
        <v>0.7213045685893934</v>
      </c>
      <c r="E7" s="2"/>
      <c r="F7" s="2"/>
      <c r="G7" s="2"/>
      <c r="H7" s="2"/>
      <c r="I7" s="2"/>
      <c r="J7" s="2"/>
      <c r="K7" s="2"/>
      <c r="L7" s="2"/>
      <c r="M7" s="261"/>
      <c r="N7" s="96">
        <f>B7+D7</f>
        <v>0.99999999999999978</v>
      </c>
      <c r="R7" s="189">
        <f>B7-D7</f>
        <v>-0.44260913717878708</v>
      </c>
      <c r="S7" s="109">
        <f>SUM(C7)*$B$4*$F$4</f>
        <v>1.0245403424154698</v>
      </c>
      <c r="T7" s="263">
        <f>SUM(C7)*$D$4*$H$4</f>
        <v>-2.6719530430579592</v>
      </c>
      <c r="U7" s="265">
        <f>S7+T7</f>
        <v>-1.6474127006424895</v>
      </c>
      <c r="V7" s="109">
        <f>(U7+W7*D7)/B7</f>
        <v>-3.3230115304209868</v>
      </c>
      <c r="W7" s="57">
        <f>COUNT(D7:M7)</f>
        <v>1</v>
      </c>
    </row>
    <row r="8" spans="1:23" x14ac:dyDescent="0.2">
      <c r="A8" s="99">
        <v>2</v>
      </c>
      <c r="B8" s="97">
        <f>C8*B4</f>
        <v>0.3488158991536543</v>
      </c>
      <c r="C8" s="97">
        <f>1/(1-B4*D4*C7)</f>
        <v>1.2516025016561481</v>
      </c>
      <c r="D8" s="144">
        <f>C8*D4</f>
        <v>0.90278660250249343</v>
      </c>
      <c r="E8" s="1">
        <f>D8*D4</f>
        <v>0.65118410084634526</v>
      </c>
      <c r="F8" s="1"/>
      <c r="G8" s="1"/>
      <c r="H8" s="1"/>
      <c r="I8" s="1"/>
      <c r="J8" s="1"/>
      <c r="K8" s="1"/>
      <c r="L8" s="1"/>
      <c r="M8" s="262"/>
      <c r="N8" s="97">
        <f>B8+E8</f>
        <v>0.99999999999999956</v>
      </c>
      <c r="R8" s="190">
        <f>B8-E8</f>
        <v>-0.30236820169269096</v>
      </c>
      <c r="S8" s="93">
        <f>SUM(C8:D8)*$B$4*$F$4</f>
        <v>2.2072585504708515</v>
      </c>
      <c r="T8" s="262">
        <f>SUM(C8:D8)*$D$4*$H$4</f>
        <v>-5.756426522787593</v>
      </c>
      <c r="U8" s="266">
        <f>S8+T8</f>
        <v>-3.5491679723167415</v>
      </c>
      <c r="V8" s="93">
        <f>(U8+W8*E8)/B8</f>
        <v>-6.4412194973782713</v>
      </c>
      <c r="W8" s="9">
        <f>COUNT(D8:M8)</f>
        <v>2</v>
      </c>
    </row>
    <row r="9" spans="1:23" x14ac:dyDescent="0.2">
      <c r="A9" s="99">
        <v>3</v>
      </c>
      <c r="B9" s="97">
        <f>C9*B4</f>
        <v>0.37238958177617987</v>
      </c>
      <c r="C9" s="97">
        <f>1/(1-D4*B4*C8)</f>
        <v>1.3361883253390419</v>
      </c>
      <c r="D9" s="144">
        <f>C9*D4*C8</f>
        <v>1.20629291853633</v>
      </c>
      <c r="E9" s="1">
        <f>D9*(D4)</f>
        <v>0.87010459319728783</v>
      </c>
      <c r="F9" s="1">
        <f>E9*D4</f>
        <v>0.62761041822381936</v>
      </c>
      <c r="G9" s="1"/>
      <c r="H9" s="1"/>
      <c r="I9" s="1"/>
      <c r="J9" s="1"/>
      <c r="K9" s="1"/>
      <c r="L9" s="1"/>
      <c r="M9" s="262"/>
      <c r="N9" s="97">
        <f>B9+F9</f>
        <v>0.99999999999999922</v>
      </c>
      <c r="R9" s="190">
        <f>B9-F9</f>
        <v>-0.25522083644763949</v>
      </c>
      <c r="S9" s="93">
        <f>SUM(C9:E9)*$B$4*$F$4</f>
        <v>3.4963318620366053</v>
      </c>
      <c r="T9" s="262">
        <f>SUM(C9:E9)*$D$4*$H$4</f>
        <v>-9.1182691120627872</v>
      </c>
      <c r="U9" s="266">
        <f t="shared" ref="U9:U16" si="0">S9+T9</f>
        <v>-5.6219372500261819</v>
      </c>
      <c r="V9" s="93">
        <f>(U9+W9*F9)/B9</f>
        <v>-10.040844798934431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0.38104708030304951</v>
      </c>
      <c r="C10" s="97">
        <f>1/(1-D4*B4*C9)</f>
        <v>1.3672526972343759</v>
      </c>
      <c r="D10" s="144">
        <f>C10*D4*C9</f>
        <v>1.3177564317274251</v>
      </c>
      <c r="E10" s="1">
        <f>D10*D4*C8</f>
        <v>1.1896528519250111</v>
      </c>
      <c r="F10" s="1">
        <f>E10*D4</f>
        <v>0.85810203712891164</v>
      </c>
      <c r="G10" s="1">
        <f>F10*D4</f>
        <v>0.61895291969694921</v>
      </c>
      <c r="H10" s="1"/>
      <c r="I10" s="1"/>
      <c r="J10" s="1"/>
      <c r="K10" s="1"/>
      <c r="L10" s="1"/>
      <c r="M10" s="262"/>
      <c r="N10" s="97">
        <f>B10+G10</f>
        <v>0.99999999999999867</v>
      </c>
      <c r="R10" s="190">
        <f>B10-G10</f>
        <v>-0.2379058393938997</v>
      </c>
      <c r="S10" s="93">
        <f>SUM(C10:F10)*$B$4*$F$4</f>
        <v>4.8489076675894438</v>
      </c>
      <c r="T10" s="262">
        <f>SUM(C10:F10)*$D$4*$H$4</f>
        <v>-12.645723220012327</v>
      </c>
      <c r="U10" s="266">
        <f t="shared" si="0"/>
        <v>-7.796815552422883</v>
      </c>
      <c r="V10" s="93">
        <f>(U10+W10*G10)/B10</f>
        <v>-13.964163875506546</v>
      </c>
      <c r="W10" s="9">
        <f t="shared" si="1"/>
        <v>4</v>
      </c>
    </row>
    <row r="11" spans="1:23" x14ac:dyDescent="0.2">
      <c r="A11" s="99">
        <v>5</v>
      </c>
      <c r="B11" s="97">
        <f>C11*B4</f>
        <v>0.38432850539783614</v>
      </c>
      <c r="C11" s="97">
        <f>1/(1-D4*B4*C10)</f>
        <v>1.3790269307701675</v>
      </c>
      <c r="D11" s="144">
        <f>C11*D4*C10</f>
        <v>1.3600041050251059</v>
      </c>
      <c r="E11" s="1">
        <f>D11*D4*C9</f>
        <v>1.3107702476635312</v>
      </c>
      <c r="F11" s="1">
        <f>E11*D4*C8</f>
        <v>1.1833458185495112</v>
      </c>
      <c r="G11" s="1">
        <f>F11*D4</f>
        <v>0.85355274514091772</v>
      </c>
      <c r="H11" s="1">
        <f>G11*D4</f>
        <v>0.61567149460216208</v>
      </c>
      <c r="I11" s="1"/>
      <c r="J11" s="1"/>
      <c r="K11" s="1"/>
      <c r="L11" s="1"/>
      <c r="M11" s="262"/>
      <c r="N11" s="97">
        <f>B11+H11</f>
        <v>0.99999999999999822</v>
      </c>
      <c r="R11" s="190">
        <f>B11-H11</f>
        <v>-0.23134298920432594</v>
      </c>
      <c r="S11" s="93">
        <f>SUM(C11:G11)*$B$4*$F$4</f>
        <v>6.236069545578462</v>
      </c>
      <c r="T11" s="262">
        <f>SUM(C11:G11)*$D$4*$H$4</f>
        <v>-16.263376178770809</v>
      </c>
      <c r="U11" s="266">
        <f t="shared" si="0"/>
        <v>-10.027306633192346</v>
      </c>
      <c r="V11" s="93">
        <f>(U11+W11*H11)/B11</f>
        <v>-18.080753997126386</v>
      </c>
      <c r="W11" s="9">
        <f t="shared" si="1"/>
        <v>5</v>
      </c>
    </row>
    <row r="12" spans="1:23" x14ac:dyDescent="0.2">
      <c r="A12" s="99">
        <v>6</v>
      </c>
      <c r="B12" s="97">
        <f>C12*B4</f>
        <v>0.38558707254355956</v>
      </c>
      <c r="C12" s="97">
        <f>1/(1-D4*B4*C11)</f>
        <v>1.3835428539030055</v>
      </c>
      <c r="D12" s="144">
        <f>C12*D4*C11</f>
        <v>1.3762078982124604</v>
      </c>
      <c r="E12" s="1">
        <f>D12*D4*C10</f>
        <v>1.3572239592823832</v>
      </c>
      <c r="F12" s="1">
        <f>E12*D4*C9</f>
        <v>1.3080907466897733</v>
      </c>
      <c r="G12" s="1">
        <f>F12*D4*C8</f>
        <v>1.1809268009690101</v>
      </c>
      <c r="H12" s="1">
        <f>G12*D4</f>
        <v>0.85180789670860435</v>
      </c>
      <c r="I12" s="1">
        <f>H12*D4</f>
        <v>0.61441292745643838</v>
      </c>
      <c r="J12" s="1"/>
      <c r="K12" s="1"/>
      <c r="L12" s="1"/>
      <c r="M12" s="262"/>
      <c r="N12" s="97">
        <f>B12+I12</f>
        <v>0.999999999999998</v>
      </c>
      <c r="R12" s="190">
        <f>B12-I12</f>
        <v>-0.22882585491287882</v>
      </c>
      <c r="S12" s="93">
        <f>SUM(C12:H12)*$B$4*$F$4</f>
        <v>7.6408171252538599</v>
      </c>
      <c r="T12" s="262">
        <f>SUM(C12:H12)*$D$4*$H$4</f>
        <v>-19.926891820715049</v>
      </c>
      <c r="U12" s="266">
        <f t="shared" si="0"/>
        <v>-12.286074695461188</v>
      </c>
      <c r="V12" s="93">
        <f>(U12+W12*I12)/B12</f>
        <v>-22.30260748627942</v>
      </c>
      <c r="W12" s="9">
        <f t="shared" si="1"/>
        <v>6</v>
      </c>
    </row>
    <row r="13" spans="1:23" x14ac:dyDescent="0.2">
      <c r="A13" s="99">
        <v>7</v>
      </c>
      <c r="B13" s="97">
        <f>C13*B4</f>
        <v>0.38607197676866628</v>
      </c>
      <c r="C13" s="97">
        <f>1/(1-D4*B4*C12)</f>
        <v>1.3852827612371601</v>
      </c>
      <c r="D13" s="144">
        <f>C13*D4*C12</f>
        <v>1.3824509403942002</v>
      </c>
      <c r="E13" s="1">
        <f>D13*D4*C11</f>
        <v>1.3751217735646091</v>
      </c>
      <c r="F13" s="1">
        <f>E13*D4*C10</f>
        <v>1.3561528170539845</v>
      </c>
      <c r="G13" s="1">
        <f>F13*D4*C9</f>
        <v>1.3070583811558656</v>
      </c>
      <c r="H13" s="1">
        <f>G13*D4*C8</f>
        <v>1.1799947951961129</v>
      </c>
      <c r="I13" s="1">
        <f>H13*D4</f>
        <v>0.85113563668666192</v>
      </c>
      <c r="J13" s="1">
        <f>I13*D4</f>
        <v>0.61392802323133133</v>
      </c>
      <c r="K13" s="1"/>
      <c r="L13" s="1"/>
      <c r="M13" s="262"/>
      <c r="N13" s="97">
        <f>B13+J13</f>
        <v>0.99999999999999756</v>
      </c>
      <c r="R13" s="190">
        <f>B13-J13</f>
        <v>-0.22785604646266505</v>
      </c>
      <c r="S13" s="93">
        <f>SUM(C13:I13)*$B$4*$F$4</f>
        <v>9.0540649482453759</v>
      </c>
      <c r="T13" s="262">
        <f>SUM(C13:I13)*$D$4*$H$4</f>
        <v>-23.612575697578855</v>
      </c>
      <c r="U13" s="266">
        <f t="shared" si="0"/>
        <v>-14.558510749333479</v>
      </c>
      <c r="V13" s="93">
        <f>(U13+W13*J13)/B13</f>
        <v>-26.577983392103445</v>
      </c>
      <c r="W13" s="9">
        <f t="shared" si="1"/>
        <v>7</v>
      </c>
    </row>
    <row r="14" spans="1:23" x14ac:dyDescent="0.2">
      <c r="A14" s="99">
        <v>8</v>
      </c>
      <c r="B14" s="97">
        <f>C14*B4</f>
        <v>0.38625912763261172</v>
      </c>
      <c r="C14" s="97">
        <f>1/(1-D4*B4*C13)</f>
        <v>1.3859542859298979</v>
      </c>
      <c r="D14" s="144">
        <f>C14*D4*C13</f>
        <v>1.3848604692814839</v>
      </c>
      <c r="E14" s="1">
        <f>D14*D4*C12</f>
        <v>1.3820295116956116</v>
      </c>
      <c r="F14" s="1">
        <f>E14*D4*C11</f>
        <v>1.3747025791017162</v>
      </c>
      <c r="G14" s="1">
        <f>F14*D4*C10</f>
        <v>1.3557394051200931</v>
      </c>
      <c r="H14" s="1">
        <f>G14*D4*C9</f>
        <v>1.3066599352534072</v>
      </c>
      <c r="I14" s="1">
        <f>H14*D4*C8</f>
        <v>1.1796350835735516</v>
      </c>
      <c r="J14" s="1">
        <f>I14*D4</f>
        <v>0.85087617504993374</v>
      </c>
      <c r="K14" s="1">
        <f>J14*D4</f>
        <v>0.61374087236738561</v>
      </c>
      <c r="L14" s="1"/>
      <c r="M14" s="262"/>
      <c r="N14" s="97">
        <f>B14+K14</f>
        <v>0.99999999999999734</v>
      </c>
      <c r="R14" s="190">
        <f>B14-K14</f>
        <v>-0.22748174473477389</v>
      </c>
      <c r="S14" s="93">
        <f>SUM(C14:J14)*$B$4*$F$4</f>
        <v>10.471270970348872</v>
      </c>
      <c r="T14" s="262">
        <f>SUM(C14:J14)*$D$4*$H$4</f>
        <v>-27.308582371627342</v>
      </c>
      <c r="U14" s="266">
        <f t="shared" si="0"/>
        <v>-16.83731140127847</v>
      </c>
      <c r="V14" s="93">
        <f>(U14+W14*K14)/B14</f>
        <v>-30.879229949703745</v>
      </c>
      <c r="W14" s="9">
        <f t="shared" si="1"/>
        <v>8</v>
      </c>
    </row>
    <row r="15" spans="1:23" x14ac:dyDescent="0.2">
      <c r="A15" s="99">
        <v>9</v>
      </c>
      <c r="B15" s="97">
        <f>C15*B4</f>
        <v>0.38633140784861675</v>
      </c>
      <c r="C15" s="97">
        <f>1/(1-D4*B4*C14)</f>
        <v>1.3862136379244361</v>
      </c>
      <c r="D15" s="144">
        <f>C15*D4*C14</f>
        <v>1.3857910621987255</v>
      </c>
      <c r="E15" s="1">
        <f>D15*D4*C13</f>
        <v>1.3846973743690154</v>
      </c>
      <c r="F15" s="1">
        <f>E15*D4*C12</f>
        <v>1.3818667501848034</v>
      </c>
      <c r="G15" s="1">
        <f>F15*D4*C11</f>
        <v>1.3745406804832041</v>
      </c>
      <c r="H15" s="1">
        <f>G15*D4*C10</f>
        <v>1.3555797397931431</v>
      </c>
      <c r="I15" s="1">
        <f>H15*D4*C9</f>
        <v>1.3065060500119021</v>
      </c>
      <c r="J15" s="1">
        <f>I15*D4*C8</f>
        <v>1.1794961580391978</v>
      </c>
      <c r="K15" s="1">
        <f>J15*D4</f>
        <v>0.85077596742731054</v>
      </c>
      <c r="L15" s="1">
        <f>K15*D4</f>
        <v>0.61366859215138003</v>
      </c>
      <c r="M15" s="262"/>
      <c r="N15" s="97">
        <f>B15+L15</f>
        <v>0.99999999999999678</v>
      </c>
      <c r="R15" s="190">
        <f>B15-L15</f>
        <v>-0.22733718430276328</v>
      </c>
      <c r="S15" s="93">
        <f>SUM(C15:K15)*$B$4*$F$4</f>
        <v>11.890269564820711</v>
      </c>
      <c r="T15" s="262">
        <f>SUM(C15:K15)*$D$4*$H$4</f>
        <v>-31.009263990132588</v>
      </c>
      <c r="U15" s="266">
        <f t="shared" si="0"/>
        <v>-19.118994425311875</v>
      </c>
      <c r="V15" s="93">
        <f>(U15+W15*L15)/B15</f>
        <v>-35.192523361385653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0.38635933069563611</v>
      </c>
      <c r="C16" s="145">
        <f>1/(1-D4*B4*C15)</f>
        <v>1.3863138291865533</v>
      </c>
      <c r="D16" s="153">
        <f>C16*D4*C15</f>
        <v>1.386150563111999</v>
      </c>
      <c r="E16" s="111">
        <f>D16*D4*C14</f>
        <v>1.3857280066141215</v>
      </c>
      <c r="F16" s="111">
        <f>E16*D4*C13</f>
        <v>1.384634368548858</v>
      </c>
      <c r="G16" s="111">
        <f>F16*D4*C12</f>
        <v>1.3818038731623181</v>
      </c>
      <c r="H16" s="111">
        <f>G16*D4*C11</f>
        <v>1.3744781368079459</v>
      </c>
      <c r="I16" s="111">
        <f>H16*D4*C10</f>
        <v>1.3555180588692999</v>
      </c>
      <c r="J16" s="111">
        <f>I16*D4*C9</f>
        <v>1.3064466020150003</v>
      </c>
      <c r="K16" s="111">
        <f>J16*D4*C8</f>
        <v>1.1794424891840494</v>
      </c>
      <c r="L16" s="111">
        <f>K16*D4</f>
        <v>0.85073725583690107</v>
      </c>
      <c r="M16" s="264">
        <f>L16*D4</f>
        <v>0.61364066930436034</v>
      </c>
      <c r="N16" s="145">
        <f>B16+M16</f>
        <v>0.99999999999999645</v>
      </c>
      <c r="R16" s="191">
        <f>B16-M16</f>
        <v>-0.22728133860872424</v>
      </c>
      <c r="S16" s="94">
        <f>SUM(C16:L16)*$B$4*$F$4</f>
        <v>13.310062984862201</v>
      </c>
      <c r="T16" s="264">
        <f>SUM(C16:L16)*$D$4*$H$4</f>
        <v>-34.712018476353826</v>
      </c>
      <c r="U16" s="267">
        <f t="shared" si="0"/>
        <v>-21.401955491491627</v>
      </c>
      <c r="V16" s="94">
        <f>(U16+W16*M16)/B16</f>
        <v>-39.511272501074465</v>
      </c>
      <c r="W16" s="10">
        <f t="shared" si="1"/>
        <v>10</v>
      </c>
    </row>
    <row r="18" spans="1:21" x14ac:dyDescent="0.2">
      <c r="A18" s="356" t="s">
        <v>200</v>
      </c>
      <c r="B18" s="356"/>
      <c r="C18" s="356"/>
      <c r="D18" s="356"/>
      <c r="E18" s="356"/>
      <c r="F18" s="356"/>
      <c r="O18" s="356" t="s">
        <v>201</v>
      </c>
      <c r="P18" s="356"/>
      <c r="Q18" s="356"/>
      <c r="R18" s="356"/>
      <c r="S18" s="356"/>
      <c r="T18" s="356"/>
    </row>
    <row r="19" spans="1:21" ht="17" thickBot="1" x14ac:dyDescent="0.25"/>
    <row r="20" spans="1:21" ht="17" thickBot="1" x14ac:dyDescent="0.25">
      <c r="A20" s="29" t="s">
        <v>135</v>
      </c>
      <c r="B20" s="19" t="s">
        <v>140</v>
      </c>
      <c r="C20" s="19" t="s">
        <v>139</v>
      </c>
      <c r="D20" s="19" t="s">
        <v>138</v>
      </c>
      <c r="E20" s="167" t="s">
        <v>151</v>
      </c>
      <c r="F20" s="168" t="s">
        <v>152</v>
      </c>
      <c r="G20" s="166" t="s">
        <v>47</v>
      </c>
      <c r="O20" s="29" t="s">
        <v>135</v>
      </c>
      <c r="P20" s="118" t="s">
        <v>140</v>
      </c>
      <c r="Q20" s="118" t="s">
        <v>139</v>
      </c>
      <c r="R20" s="118" t="s">
        <v>138</v>
      </c>
      <c r="S20" s="166" t="s">
        <v>151</v>
      </c>
      <c r="T20" s="168" t="s">
        <v>152</v>
      </c>
      <c r="U20" s="293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3</v>
      </c>
      <c r="D21" s="57">
        <f>SUM($C$21:C21)</f>
        <v>3</v>
      </c>
      <c r="E21" s="57">
        <f t="shared" ref="E21:E30" si="3">D21/R7</f>
        <v>-6.7779893093083237</v>
      </c>
      <c r="F21" s="8">
        <f t="shared" ref="F21:F30" si="4">U7/E21</f>
        <v>0.24305330466958255</v>
      </c>
      <c r="G21" s="286">
        <f>E21*U7</f>
        <v>11.166145672973547</v>
      </c>
      <c r="O21" s="101">
        <v>1</v>
      </c>
      <c r="P21" s="109">
        <v>1</v>
      </c>
      <c r="Q21" s="110">
        <f>P21*3+3</f>
        <v>6</v>
      </c>
      <c r="R21" s="57">
        <f>SUM($Q$21)</f>
        <v>6</v>
      </c>
      <c r="S21" s="281">
        <f>R21/R7</f>
        <v>-13.555978618616647</v>
      </c>
      <c r="T21" s="8">
        <f>U7/S21</f>
        <v>0.12152665233479128</v>
      </c>
      <c r="U21" s="286">
        <f>S21*U7</f>
        <v>22.332291345947095</v>
      </c>
    </row>
    <row r="22" spans="1:21" x14ac:dyDescent="0.2">
      <c r="A22" s="97">
        <v>2</v>
      </c>
      <c r="B22" s="93">
        <f>C21</f>
        <v>3</v>
      </c>
      <c r="C22" s="1">
        <f t="shared" si="2"/>
        <v>9</v>
      </c>
      <c r="D22" s="9">
        <f>SUM($C$21:C22)</f>
        <v>12</v>
      </c>
      <c r="E22" s="9">
        <f t="shared" si="3"/>
        <v>-39.686712864721422</v>
      </c>
      <c r="F22" s="9">
        <f t="shared" si="4"/>
        <v>8.9429628107892289E-2</v>
      </c>
      <c r="G22" s="287">
        <f t="shared" ref="G22:G30" si="5">E22*U8</f>
        <v>140.85481022600007</v>
      </c>
      <c r="O22" s="99">
        <v>2</v>
      </c>
      <c r="P22" s="93">
        <f>Q21</f>
        <v>6</v>
      </c>
      <c r="Q22" s="1">
        <f>P22*3+3</f>
        <v>21</v>
      </c>
      <c r="R22" s="9">
        <f>SUM($Q$21:Q22)</f>
        <v>27</v>
      </c>
      <c r="S22" s="282">
        <f t="shared" ref="S22:S30" si="6">R22/R8</f>
        <v>-89.295103945623197</v>
      </c>
      <c r="T22" s="9">
        <f>U8/S22</f>
        <v>3.9746501381285465E-2</v>
      </c>
      <c r="U22" s="287">
        <f t="shared" ref="U22:U30" si="7">S22*U8</f>
        <v>316.92332300850012</v>
      </c>
    </row>
    <row r="23" spans="1:21" x14ac:dyDescent="0.2">
      <c r="A23" s="97">
        <v>3</v>
      </c>
      <c r="B23" s="93">
        <f t="shared" ref="B23:B30" si="8">C22</f>
        <v>9</v>
      </c>
      <c r="C23" s="1">
        <f t="shared" si="2"/>
        <v>27</v>
      </c>
      <c r="D23" s="9">
        <f>SUM($C$21:C23)</f>
        <v>39</v>
      </c>
      <c r="E23" s="9">
        <f t="shared" si="3"/>
        <v>-152.80884015126699</v>
      </c>
      <c r="F23" s="9">
        <f t="shared" si="4"/>
        <v>3.6790654548918569E-2</v>
      </c>
      <c r="G23" s="287">
        <f t="shared" si="5"/>
        <v>859.08171057970435</v>
      </c>
      <c r="O23" s="99">
        <v>3</v>
      </c>
      <c r="P23" s="93">
        <f t="shared" ref="P23:P30" si="9">Q22</f>
        <v>21</v>
      </c>
      <c r="Q23" s="1">
        <f t="shared" ref="Q23:Q30" si="10">P23*3+3</f>
        <v>66</v>
      </c>
      <c r="R23" s="9">
        <f>SUM($Q$21:Q23)</f>
        <v>93</v>
      </c>
      <c r="S23" s="282">
        <f t="shared" si="6"/>
        <v>-364.39031112994439</v>
      </c>
      <c r="T23" s="9">
        <f t="shared" ref="T23:T30" si="11">U9/S23</f>
        <v>1.5428339004385207E-2</v>
      </c>
      <c r="U23" s="287">
        <f t="shared" si="7"/>
        <v>2048.5794636900646</v>
      </c>
    </row>
    <row r="24" spans="1:21" x14ac:dyDescent="0.2">
      <c r="A24" s="97">
        <v>4</v>
      </c>
      <c r="B24" s="93">
        <f t="shared" si="8"/>
        <v>27</v>
      </c>
      <c r="C24" s="1">
        <f t="shared" si="2"/>
        <v>81</v>
      </c>
      <c r="D24" s="9">
        <f>SUM($C$21:C24)</f>
        <v>120</v>
      </c>
      <c r="E24" s="9">
        <f t="shared" si="3"/>
        <v>-504.401238345884</v>
      </c>
      <c r="F24" s="9">
        <f t="shared" si="4"/>
        <v>1.5457566238321481E-2</v>
      </c>
      <c r="G24" s="287">
        <f t="shared" si="5"/>
        <v>3932.7234197965499</v>
      </c>
      <c r="O24" s="99">
        <v>4</v>
      </c>
      <c r="P24" s="93">
        <f t="shared" si="9"/>
        <v>66</v>
      </c>
      <c r="Q24" s="1">
        <f t="shared" si="10"/>
        <v>201</v>
      </c>
      <c r="R24" s="9">
        <f>SUM($Q$21:Q24)</f>
        <v>294</v>
      </c>
      <c r="S24" s="282">
        <f t="shared" si="6"/>
        <v>-1235.7830339474158</v>
      </c>
      <c r="T24" s="9">
        <f t="shared" si="11"/>
        <v>6.3092107095189722E-3</v>
      </c>
      <c r="U24" s="287">
        <f t="shared" si="7"/>
        <v>9635.1723785015474</v>
      </c>
    </row>
    <row r="25" spans="1:21" x14ac:dyDescent="0.2">
      <c r="A25" s="97">
        <v>5</v>
      </c>
      <c r="B25" s="93">
        <f t="shared" si="8"/>
        <v>81</v>
      </c>
      <c r="C25" s="1">
        <f t="shared" si="2"/>
        <v>243</v>
      </c>
      <c r="D25" s="9">
        <f>SUM($C$21:C25)</f>
        <v>363</v>
      </c>
      <c r="E25" s="9">
        <f t="shared" si="3"/>
        <v>-1569.0987708272085</v>
      </c>
      <c r="F25" s="9">
        <f t="shared" si="4"/>
        <v>6.3904878517660685E-3</v>
      </c>
      <c r="G25" s="287">
        <f t="shared" si="5"/>
        <v>15733.834512849624</v>
      </c>
      <c r="O25" s="99">
        <v>5</v>
      </c>
      <c r="P25" s="93">
        <f t="shared" si="9"/>
        <v>201</v>
      </c>
      <c r="Q25" s="1">
        <f t="shared" si="10"/>
        <v>606</v>
      </c>
      <c r="R25" s="9">
        <f>SUM($Q$21:Q25)</f>
        <v>900</v>
      </c>
      <c r="S25" s="282">
        <f t="shared" si="6"/>
        <v>-3890.32753097655</v>
      </c>
      <c r="T25" s="9">
        <f t="shared" si="11"/>
        <v>2.5774967668789808E-3</v>
      </c>
      <c r="U25" s="287">
        <f t="shared" si="7"/>
        <v>39009.507056651964</v>
      </c>
    </row>
    <row r="26" spans="1:21" x14ac:dyDescent="0.2">
      <c r="A26" s="97">
        <v>6</v>
      </c>
      <c r="B26" s="93">
        <f t="shared" si="8"/>
        <v>243</v>
      </c>
      <c r="C26" s="1">
        <f t="shared" si="2"/>
        <v>729</v>
      </c>
      <c r="D26" s="9">
        <f>SUM($C$21:C26)</f>
        <v>1092</v>
      </c>
      <c r="E26" s="9">
        <f t="shared" si="3"/>
        <v>-4772.1880047853801</v>
      </c>
      <c r="F26" s="9">
        <f t="shared" si="4"/>
        <v>2.574516067502192E-3</v>
      </c>
      <c r="G26" s="287">
        <f t="shared" si="5"/>
        <v>58631.458287577072</v>
      </c>
      <c r="O26" s="99">
        <v>6</v>
      </c>
      <c r="P26" s="93">
        <f t="shared" si="9"/>
        <v>606</v>
      </c>
      <c r="Q26" s="1">
        <f t="shared" si="10"/>
        <v>1821</v>
      </c>
      <c r="R26" s="9">
        <f>SUM($Q$21:Q26)</f>
        <v>2721</v>
      </c>
      <c r="S26" s="282">
        <f t="shared" si="6"/>
        <v>-11891.138792143789</v>
      </c>
      <c r="T26" s="9">
        <f t="shared" si="11"/>
        <v>1.0332126224595348E-3</v>
      </c>
      <c r="U26" s="287">
        <f t="shared" si="7"/>
        <v>146095.41941437472</v>
      </c>
    </row>
    <row r="27" spans="1:21" x14ac:dyDescent="0.2">
      <c r="A27" s="97">
        <v>7</v>
      </c>
      <c r="B27" s="93">
        <f t="shared" si="8"/>
        <v>729</v>
      </c>
      <c r="C27" s="1">
        <f t="shared" si="2"/>
        <v>2187</v>
      </c>
      <c r="D27" s="9">
        <f>SUM($C$21:C27)</f>
        <v>3279</v>
      </c>
      <c r="E27" s="9">
        <f t="shared" si="3"/>
        <v>-14390.664855748188</v>
      </c>
      <c r="F27" s="9">
        <f t="shared" si="4"/>
        <v>1.0116635259918687E-3</v>
      </c>
      <c r="G27" s="287">
        <f t="shared" si="5"/>
        <v>209506.64899246552</v>
      </c>
      <c r="O27" s="99">
        <v>7</v>
      </c>
      <c r="P27" s="93">
        <f t="shared" si="9"/>
        <v>1821</v>
      </c>
      <c r="Q27" s="1">
        <f t="shared" si="10"/>
        <v>5466</v>
      </c>
      <c r="R27" s="9">
        <f>SUM($Q$21:Q27)</f>
        <v>8187</v>
      </c>
      <c r="S27" s="282">
        <f t="shared" si="6"/>
        <v>-35930.580412933945</v>
      </c>
      <c r="T27" s="9">
        <f t="shared" si="11"/>
        <v>4.0518440231187712E-4</v>
      </c>
      <c r="U27" s="287">
        <f t="shared" si="7"/>
        <v>523095.74117148976</v>
      </c>
    </row>
    <row r="28" spans="1:21" x14ac:dyDescent="0.2">
      <c r="A28" s="97">
        <v>8</v>
      </c>
      <c r="B28" s="93">
        <f t="shared" si="8"/>
        <v>2187</v>
      </c>
      <c r="C28" s="1">
        <f t="shared" si="2"/>
        <v>6561</v>
      </c>
      <c r="D28" s="9">
        <f>SUM($C$21:C28)</f>
        <v>9840</v>
      </c>
      <c r="E28" s="9">
        <f t="shared" si="3"/>
        <v>-43256.218258184534</v>
      </c>
      <c r="F28" s="9">
        <f t="shared" si="4"/>
        <v>3.8924603396397632E-4</v>
      </c>
      <c r="G28" s="287">
        <f t="shared" si="5"/>
        <v>728318.41685472033</v>
      </c>
      <c r="O28" s="99">
        <v>8</v>
      </c>
      <c r="P28" s="93">
        <f t="shared" si="9"/>
        <v>5466</v>
      </c>
      <c r="Q28" s="1">
        <f t="shared" si="10"/>
        <v>16401</v>
      </c>
      <c r="R28" s="9">
        <f>SUM($Q$21:Q28)</f>
        <v>24588</v>
      </c>
      <c r="S28" s="282">
        <f t="shared" si="6"/>
        <v>-108087.79415978062</v>
      </c>
      <c r="T28" s="9">
        <f t="shared" si="11"/>
        <v>1.5577440109832143E-4</v>
      </c>
      <c r="U28" s="287">
        <f t="shared" si="7"/>
        <v>1819907.8489455145</v>
      </c>
    </row>
    <row r="29" spans="1:21" x14ac:dyDescent="0.2">
      <c r="A29" s="97">
        <v>9</v>
      </c>
      <c r="B29" s="93">
        <f t="shared" si="8"/>
        <v>6561</v>
      </c>
      <c r="C29" s="1">
        <f t="shared" si="2"/>
        <v>19683</v>
      </c>
      <c r="D29" s="9">
        <f>SUM($C$21:C29)</f>
        <v>29523</v>
      </c>
      <c r="E29" s="9">
        <f t="shared" si="3"/>
        <v>-129864.36904524091</v>
      </c>
      <c r="F29" s="9">
        <f t="shared" si="4"/>
        <v>1.4722278763508551E-4</v>
      </c>
      <c r="G29" s="287">
        <f t="shared" si="5"/>
        <v>2482876.147822605</v>
      </c>
      <c r="O29" s="99">
        <v>9</v>
      </c>
      <c r="P29" s="93">
        <f t="shared" si="9"/>
        <v>16401</v>
      </c>
      <c r="Q29" s="1">
        <f t="shared" si="10"/>
        <v>49206</v>
      </c>
      <c r="R29" s="9">
        <f>SUM($Q$21:Q29)</f>
        <v>73794</v>
      </c>
      <c r="S29" s="282">
        <f t="shared" si="6"/>
        <v>-324601.53945481515</v>
      </c>
      <c r="T29" s="9">
        <f t="shared" si="11"/>
        <v>5.8899888329005468E-5</v>
      </c>
      <c r="U29" s="287">
        <f t="shared" si="7"/>
        <v>6206055.0232842639</v>
      </c>
    </row>
    <row r="30" spans="1:21" ht="17" thickBot="1" x14ac:dyDescent="0.25">
      <c r="A30" s="145">
        <v>10</v>
      </c>
      <c r="B30" s="94">
        <f t="shared" si="8"/>
        <v>19683</v>
      </c>
      <c r="C30" s="111">
        <f t="shared" si="2"/>
        <v>59049</v>
      </c>
      <c r="D30" s="10">
        <f>SUM($C$21:C30)</f>
        <v>88572</v>
      </c>
      <c r="E30" s="10">
        <f t="shared" si="3"/>
        <v>-389702.0342373157</v>
      </c>
      <c r="F30" s="10">
        <f t="shared" si="4"/>
        <v>5.4918767702553334E-5</v>
      </c>
      <c r="G30" s="288">
        <f t="shared" si="5"/>
        <v>8340385.5916907769</v>
      </c>
      <c r="O30" s="100">
        <v>10</v>
      </c>
      <c r="P30" s="94">
        <f t="shared" si="9"/>
        <v>49206</v>
      </c>
      <c r="Q30" s="111">
        <f t="shared" si="10"/>
        <v>147621</v>
      </c>
      <c r="R30" s="10">
        <f>SUM($Q$21:Q30)</f>
        <v>221415</v>
      </c>
      <c r="S30" s="283">
        <f t="shared" si="6"/>
        <v>-974189.08809392655</v>
      </c>
      <c r="T30" s="10">
        <f t="shared" si="11"/>
        <v>2.1968995293681789E-5</v>
      </c>
      <c r="U30" s="288">
        <f t="shared" si="7"/>
        <v>20849551.503683031</v>
      </c>
    </row>
    <row r="31" spans="1:21" ht="17" thickBot="1" x14ac:dyDescent="0.25"/>
    <row r="32" spans="1:21" ht="17" thickBot="1" x14ac:dyDescent="0.25">
      <c r="A32" s="117" t="s">
        <v>135</v>
      </c>
      <c r="B32" s="118" t="s">
        <v>140</v>
      </c>
      <c r="C32" s="118" t="s">
        <v>139</v>
      </c>
      <c r="D32" s="170" t="s">
        <v>138</v>
      </c>
      <c r="E32" s="167" t="s">
        <v>151</v>
      </c>
      <c r="F32" s="168" t="s">
        <v>152</v>
      </c>
      <c r="G32" s="290" t="s">
        <v>47</v>
      </c>
      <c r="O32" s="29" t="s">
        <v>135</v>
      </c>
      <c r="P32" s="118" t="s">
        <v>140</v>
      </c>
      <c r="Q32" s="118" t="s">
        <v>139</v>
      </c>
      <c r="R32" s="118" t="s">
        <v>138</v>
      </c>
      <c r="S32" s="166" t="s">
        <v>151</v>
      </c>
      <c r="T32" s="168" t="s">
        <v>152</v>
      </c>
      <c r="U32" s="294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3</v>
      </c>
      <c r="D33" s="57">
        <f>SUM($C$33:C33)</f>
        <v>3</v>
      </c>
      <c r="E33" s="9">
        <f t="shared" ref="E33:E42" si="13">D33/R7</f>
        <v>-6.7779893093083237</v>
      </c>
      <c r="F33" s="8">
        <f t="shared" ref="F33:F42" si="14">U7/E33</f>
        <v>0.24305330466958255</v>
      </c>
      <c r="G33" s="289">
        <f>E33*U7</f>
        <v>11.166145672973547</v>
      </c>
      <c r="O33" s="101">
        <v>1</v>
      </c>
      <c r="P33" s="109">
        <v>1</v>
      </c>
      <c r="Q33" s="110">
        <f>P33*3+3</f>
        <v>6</v>
      </c>
      <c r="R33" s="57">
        <f>SUM($Q$21)</f>
        <v>6</v>
      </c>
      <c r="S33" s="281">
        <f>R33/R7</f>
        <v>-13.555978618616647</v>
      </c>
      <c r="T33" s="8">
        <f>U7/S33</f>
        <v>0.12152665233479128</v>
      </c>
      <c r="U33" s="289">
        <f>S33*U7</f>
        <v>22.332291345947095</v>
      </c>
    </row>
    <row r="34" spans="1:21" x14ac:dyDescent="0.2">
      <c r="A34" s="97">
        <v>2</v>
      </c>
      <c r="B34" s="93">
        <f t="shared" ref="B34:B42" si="15">B33*($O$2+1)</f>
        <v>4</v>
      </c>
      <c r="C34" s="1">
        <f t="shared" si="12"/>
        <v>12</v>
      </c>
      <c r="D34" s="9">
        <f>SUM($C$33:C34)</f>
        <v>15</v>
      </c>
      <c r="E34" s="9">
        <f t="shared" si="13"/>
        <v>-49.608391080901775</v>
      </c>
      <c r="F34" s="9">
        <f t="shared" si="14"/>
        <v>7.1543702486313837E-2</v>
      </c>
      <c r="G34" s="287">
        <f t="shared" ref="G34:G42" si="16">E34*U8</f>
        <v>176.06851278250008</v>
      </c>
      <c r="O34" s="99">
        <v>2</v>
      </c>
      <c r="P34" s="93">
        <f>Q33+1</f>
        <v>7</v>
      </c>
      <c r="Q34" s="1">
        <f t="shared" ref="Q34:Q42" si="17">P34*3+3</f>
        <v>24</v>
      </c>
      <c r="R34" s="9">
        <f>SUM($Q$33:Q34)</f>
        <v>30</v>
      </c>
      <c r="S34" s="282">
        <f>R34/R8</f>
        <v>-99.21678216180355</v>
      </c>
      <c r="T34" s="9">
        <f t="shared" ref="T34:T42" si="18">U8/S34</f>
        <v>3.5771851243156919E-2</v>
      </c>
      <c r="U34" s="287">
        <f t="shared" ref="U34:U42" si="19">S34*U8</f>
        <v>352.13702556500016</v>
      </c>
    </row>
    <row r="35" spans="1:21" x14ac:dyDescent="0.2">
      <c r="A35" s="97">
        <v>3</v>
      </c>
      <c r="B35" s="93">
        <f t="shared" si="15"/>
        <v>16</v>
      </c>
      <c r="C35" s="1">
        <f t="shared" si="12"/>
        <v>48</v>
      </c>
      <c r="D35" s="9">
        <f>SUM($C$33:C35)</f>
        <v>63</v>
      </c>
      <c r="E35" s="9">
        <f t="shared" si="13"/>
        <v>-246.8450494751236</v>
      </c>
      <c r="F35" s="9">
        <f t="shared" si="14"/>
        <v>2.2775167101711496E-2</v>
      </c>
      <c r="G35" s="287">
        <f t="shared" si="16"/>
        <v>1387.7473786287533</v>
      </c>
      <c r="O35" s="99">
        <v>3</v>
      </c>
      <c r="P35" s="93">
        <f t="shared" ref="P35:P42" si="20">Q34+1</f>
        <v>25</v>
      </c>
      <c r="Q35" s="1">
        <f t="shared" si="17"/>
        <v>78</v>
      </c>
      <c r="R35" s="9">
        <f>SUM($Q$33:Q35)</f>
        <v>108</v>
      </c>
      <c r="S35" s="282">
        <f t="shared" ref="S35:S42" si="21">R35/R9</f>
        <v>-423.16294195735475</v>
      </c>
      <c r="T35" s="9">
        <f t="shared" si="18"/>
        <v>1.328551414266504E-2</v>
      </c>
      <c r="U35" s="287">
        <f t="shared" si="19"/>
        <v>2378.9955062207196</v>
      </c>
    </row>
    <row r="36" spans="1:21" x14ac:dyDescent="0.2">
      <c r="A36" s="97">
        <v>4</v>
      </c>
      <c r="B36" s="93">
        <f t="shared" si="15"/>
        <v>64</v>
      </c>
      <c r="C36" s="1">
        <f t="shared" si="12"/>
        <v>192</v>
      </c>
      <c r="D36" s="9">
        <f>SUM($C$33:C36)</f>
        <v>255</v>
      </c>
      <c r="E36" s="9">
        <f t="shared" si="13"/>
        <v>-1071.8526314850035</v>
      </c>
      <c r="F36" s="9">
        <f t="shared" si="14"/>
        <v>7.2741488180336385E-3</v>
      </c>
      <c r="G36" s="287">
        <f t="shared" si="16"/>
        <v>8357.0372670676679</v>
      </c>
      <c r="O36" s="99">
        <v>4</v>
      </c>
      <c r="P36" s="93">
        <f t="shared" si="20"/>
        <v>79</v>
      </c>
      <c r="Q36" s="1">
        <f t="shared" si="17"/>
        <v>240</v>
      </c>
      <c r="R36" s="9">
        <f>SUM($Q$33:Q36)</f>
        <v>348</v>
      </c>
      <c r="S36" s="282">
        <f t="shared" si="21"/>
        <v>-1462.7635912030637</v>
      </c>
      <c r="T36" s="9">
        <f t="shared" si="18"/>
        <v>5.3301952545936138E-3</v>
      </c>
      <c r="U36" s="287">
        <f t="shared" si="19"/>
        <v>11404.897917409995</v>
      </c>
    </row>
    <row r="37" spans="1:21" x14ac:dyDescent="0.2">
      <c r="A37" s="97">
        <v>5</v>
      </c>
      <c r="B37" s="93">
        <f t="shared" si="15"/>
        <v>256</v>
      </c>
      <c r="C37" s="1">
        <f t="shared" si="12"/>
        <v>768</v>
      </c>
      <c r="D37" s="9">
        <f>SUM($C$33:C37)</f>
        <v>1023</v>
      </c>
      <c r="E37" s="9">
        <f t="shared" si="13"/>
        <v>-4422.0056268766784</v>
      </c>
      <c r="F37" s="9">
        <f t="shared" si="14"/>
        <v>2.2675924635298952E-3</v>
      </c>
      <c r="G37" s="287">
        <f t="shared" si="16"/>
        <v>44340.806354394394</v>
      </c>
      <c r="O37" s="99">
        <v>5</v>
      </c>
      <c r="P37" s="93">
        <f t="shared" si="20"/>
        <v>241</v>
      </c>
      <c r="Q37" s="1">
        <f t="shared" si="17"/>
        <v>726</v>
      </c>
      <c r="R37" s="9">
        <f>SUM($Q$33:Q37)</f>
        <v>1074</v>
      </c>
      <c r="S37" s="282">
        <f t="shared" si="21"/>
        <v>-4642.4575202986825</v>
      </c>
      <c r="T37" s="9">
        <f t="shared" si="18"/>
        <v>2.1599134917980288E-3</v>
      </c>
      <c r="U37" s="287">
        <f t="shared" si="19"/>
        <v>46551.34508760467</v>
      </c>
    </row>
    <row r="38" spans="1:21" x14ac:dyDescent="0.2">
      <c r="A38" s="97">
        <v>6</v>
      </c>
      <c r="B38" s="93">
        <f t="shared" si="15"/>
        <v>1024</v>
      </c>
      <c r="C38" s="1">
        <f t="shared" si="12"/>
        <v>3072</v>
      </c>
      <c r="D38" s="9">
        <f>SUM($C$33:C38)</f>
        <v>4095</v>
      </c>
      <c r="E38" s="9">
        <f t="shared" si="13"/>
        <v>-17895.705017945176</v>
      </c>
      <c r="F38" s="9">
        <f t="shared" si="14"/>
        <v>6.8653761800058449E-4</v>
      </c>
      <c r="G38" s="287">
        <f t="shared" si="16"/>
        <v>219867.96857841403</v>
      </c>
      <c r="O38" s="99">
        <v>6</v>
      </c>
      <c r="P38" s="93">
        <f t="shared" si="20"/>
        <v>727</v>
      </c>
      <c r="Q38" s="1">
        <f t="shared" si="17"/>
        <v>2184</v>
      </c>
      <c r="R38" s="9">
        <f>SUM($Q$33:Q38)</f>
        <v>3258</v>
      </c>
      <c r="S38" s="282">
        <f t="shared" si="21"/>
        <v>-14237.90157471682</v>
      </c>
      <c r="T38" s="9">
        <f t="shared" si="18"/>
        <v>8.6291330439299994E-4</v>
      </c>
      <c r="U38" s="287">
        <f t="shared" si="19"/>
        <v>174927.92225359532</v>
      </c>
    </row>
    <row r="39" spans="1:21" x14ac:dyDescent="0.2">
      <c r="A39" s="97">
        <v>7</v>
      </c>
      <c r="B39" s="93">
        <f t="shared" si="15"/>
        <v>4096</v>
      </c>
      <c r="C39" s="1">
        <f t="shared" si="12"/>
        <v>12288</v>
      </c>
      <c r="D39" s="9">
        <f>SUM($C$33:C39)</f>
        <v>16383</v>
      </c>
      <c r="E39" s="9">
        <f t="shared" si="13"/>
        <v>-71900.659448527775</v>
      </c>
      <c r="F39" s="9">
        <f t="shared" si="14"/>
        <v>2.024809071432178E-4</v>
      </c>
      <c r="G39" s="287">
        <f t="shared" si="16"/>
        <v>1046766.5234655574</v>
      </c>
      <c r="O39" s="99">
        <v>7</v>
      </c>
      <c r="P39" s="93">
        <f t="shared" si="20"/>
        <v>2185</v>
      </c>
      <c r="Q39" s="1">
        <f t="shared" si="17"/>
        <v>6558</v>
      </c>
      <c r="R39" s="9">
        <f>SUM($Q$33:Q39)</f>
        <v>9816</v>
      </c>
      <c r="S39" s="282">
        <f t="shared" si="21"/>
        <v>-43079.831114371518</v>
      </c>
      <c r="T39" s="9">
        <f t="shared" si="18"/>
        <v>3.3794261427540115E-4</v>
      </c>
      <c r="U39" s="287">
        <f t="shared" si="19"/>
        <v>627178.1843580486</v>
      </c>
    </row>
    <row r="40" spans="1:21" x14ac:dyDescent="0.2">
      <c r="A40" s="97">
        <v>8</v>
      </c>
      <c r="B40" s="93">
        <f t="shared" si="15"/>
        <v>16384</v>
      </c>
      <c r="C40" s="1">
        <f t="shared" si="12"/>
        <v>49152</v>
      </c>
      <c r="D40" s="9">
        <f>SUM($C$33:C40)</f>
        <v>65535</v>
      </c>
      <c r="E40" s="9">
        <f t="shared" si="13"/>
        <v>-288089.05117379304</v>
      </c>
      <c r="F40" s="9">
        <f t="shared" si="14"/>
        <v>5.8444815353712171E-5</v>
      </c>
      <c r="G40" s="287">
        <f t="shared" si="16"/>
        <v>4850645.0659120018</v>
      </c>
      <c r="O40" s="99">
        <v>8</v>
      </c>
      <c r="P40" s="93">
        <f t="shared" si="20"/>
        <v>6559</v>
      </c>
      <c r="Q40" s="1">
        <f t="shared" si="17"/>
        <v>19680</v>
      </c>
      <c r="R40" s="9">
        <f>SUM($Q$33:Q40)</f>
        <v>29496</v>
      </c>
      <c r="S40" s="282">
        <f t="shared" si="21"/>
        <v>-129663.15180319217</v>
      </c>
      <c r="T40" s="9">
        <f t="shared" si="18"/>
        <v>1.2985425054941441E-4</v>
      </c>
      <c r="U40" s="287">
        <f t="shared" si="19"/>
        <v>2183178.8641815884</v>
      </c>
    </row>
    <row r="41" spans="1:21" x14ac:dyDescent="0.2">
      <c r="A41" s="97">
        <v>9</v>
      </c>
      <c r="B41" s="93">
        <f t="shared" si="15"/>
        <v>65536</v>
      </c>
      <c r="C41" s="1">
        <f t="shared" si="12"/>
        <v>196608</v>
      </c>
      <c r="D41" s="9">
        <f>SUM($C$33:C41)</f>
        <v>262143</v>
      </c>
      <c r="E41" s="9">
        <f t="shared" si="13"/>
        <v>-1153102.1676193676</v>
      </c>
      <c r="F41" s="9">
        <f t="shared" si="14"/>
        <v>1.6580486068102635E-5</v>
      </c>
      <c r="G41" s="287">
        <f t="shared" si="16"/>
        <v>22046153.91452973</v>
      </c>
      <c r="O41" s="99">
        <v>9</v>
      </c>
      <c r="P41" s="93">
        <f t="shared" si="20"/>
        <v>19681</v>
      </c>
      <c r="Q41" s="1">
        <f t="shared" si="17"/>
        <v>59046</v>
      </c>
      <c r="R41" s="9">
        <f>SUM($Q$33:Q41)</f>
        <v>88542</v>
      </c>
      <c r="S41" s="282">
        <f t="shared" si="21"/>
        <v>-389474.34081914846</v>
      </c>
      <c r="T41" s="9">
        <f t="shared" si="18"/>
        <v>4.9089227252045697E-5</v>
      </c>
      <c r="U41" s="287">
        <f t="shared" si="19"/>
        <v>7446357.7509233169</v>
      </c>
    </row>
    <row r="42" spans="1:21" ht="17" thickBot="1" x14ac:dyDescent="0.25">
      <c r="A42" s="145">
        <v>10</v>
      </c>
      <c r="B42" s="94">
        <f t="shared" si="15"/>
        <v>262144</v>
      </c>
      <c r="C42" s="111">
        <f t="shared" si="12"/>
        <v>786432</v>
      </c>
      <c r="D42" s="10">
        <f>SUM($C$33:C42)</f>
        <v>1048575</v>
      </c>
      <c r="E42" s="9">
        <f t="shared" si="13"/>
        <v>-4613555.1929548085</v>
      </c>
      <c r="F42" s="10">
        <f t="shared" si="14"/>
        <v>4.638929111365953E-6</v>
      </c>
      <c r="G42" s="288">
        <f t="shared" si="16"/>
        <v>98739102.897158876</v>
      </c>
      <c r="O42" s="100">
        <v>10</v>
      </c>
      <c r="P42" s="94">
        <f t="shared" si="20"/>
        <v>59047</v>
      </c>
      <c r="Q42" s="111">
        <f t="shared" si="17"/>
        <v>177144</v>
      </c>
      <c r="R42" s="10">
        <f>SUM($Q$33:Q42)</f>
        <v>265686</v>
      </c>
      <c r="S42" s="283">
        <f t="shared" si="21"/>
        <v>-1168974.1077132216</v>
      </c>
      <c r="T42" s="10">
        <f t="shared" si="18"/>
        <v>1.8308322956236134E-5</v>
      </c>
      <c r="U42" s="288">
        <f t="shared" si="19"/>
        <v>25018331.823984507</v>
      </c>
    </row>
    <row r="43" spans="1:21" ht="17" thickBot="1" x14ac:dyDescent="0.25">
      <c r="U43" s="285"/>
    </row>
    <row r="44" spans="1:21" ht="17" thickBot="1" x14ac:dyDescent="0.25">
      <c r="A44" s="117" t="s">
        <v>135</v>
      </c>
      <c r="B44" s="118" t="s">
        <v>140</v>
      </c>
      <c r="C44" s="118" t="s">
        <v>139</v>
      </c>
      <c r="D44" s="170" t="s">
        <v>138</v>
      </c>
      <c r="E44" s="167" t="s">
        <v>151</v>
      </c>
      <c r="F44" s="168" t="s">
        <v>152</v>
      </c>
      <c r="G44" s="290" t="s">
        <v>47</v>
      </c>
      <c r="O44" s="29" t="s">
        <v>135</v>
      </c>
      <c r="P44" s="118" t="s">
        <v>140</v>
      </c>
      <c r="Q44" s="118" t="s">
        <v>139</v>
      </c>
      <c r="R44" s="118" t="s">
        <v>138</v>
      </c>
      <c r="S44" s="166" t="s">
        <v>151</v>
      </c>
      <c r="T44" s="168" t="s">
        <v>152</v>
      </c>
      <c r="U44" s="294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3</v>
      </c>
      <c r="D45" s="57">
        <f>SUM(C45:C45)</f>
        <v>3</v>
      </c>
      <c r="E45" s="57">
        <f t="shared" ref="E45:E54" si="23">D45/R7</f>
        <v>-6.7779893093083237</v>
      </c>
      <c r="F45" s="8">
        <f t="shared" ref="F45:F54" si="24">U7/E45</f>
        <v>0.24305330466958255</v>
      </c>
      <c r="G45" s="286">
        <f>E45*U7</f>
        <v>11.166145672973547</v>
      </c>
      <c r="O45" s="101">
        <v>1</v>
      </c>
      <c r="P45" s="109">
        <v>1</v>
      </c>
      <c r="Q45" s="110">
        <f>P45*3+3</f>
        <v>6</v>
      </c>
      <c r="R45" s="57">
        <f>SUM($Q$21)</f>
        <v>6</v>
      </c>
      <c r="S45" s="281">
        <f>R45/R7</f>
        <v>-13.555978618616647</v>
      </c>
      <c r="T45" s="8">
        <f>U7/S45</f>
        <v>0.12152665233479128</v>
      </c>
      <c r="U45" s="289">
        <f>S45*U7</f>
        <v>22.332291345947095</v>
      </c>
    </row>
    <row r="46" spans="1:21" x14ac:dyDescent="0.2">
      <c r="A46" s="97">
        <v>2</v>
      </c>
      <c r="B46" s="93">
        <f t="shared" ref="B46:B54" si="25">B45*$O$2*2</f>
        <v>6</v>
      </c>
      <c r="C46" s="1">
        <f t="shared" si="22"/>
        <v>18</v>
      </c>
      <c r="D46" s="9">
        <f>SUM($C$45:C46)</f>
        <v>21</v>
      </c>
      <c r="E46" s="9">
        <f t="shared" si="23"/>
        <v>-69.45174751326249</v>
      </c>
      <c r="F46" s="9">
        <f t="shared" si="24"/>
        <v>5.1102644633081312E-2</v>
      </c>
      <c r="G46" s="287">
        <f t="shared" ref="G46:G54" si="26">E46*U8</f>
        <v>246.49591789550013</v>
      </c>
      <c r="O46" s="99">
        <v>2</v>
      </c>
      <c r="P46" s="93">
        <f>Q45*2</f>
        <v>12</v>
      </c>
      <c r="Q46" s="1">
        <f t="shared" ref="Q46:Q54" si="27">P46*3+3</f>
        <v>39</v>
      </c>
      <c r="R46" s="9">
        <f>SUM($Q$45:Q46)</f>
        <v>45</v>
      </c>
      <c r="S46" s="282">
        <f t="shared" ref="S46:S54" si="28">R46/R8</f>
        <v>-148.82517324270532</v>
      </c>
      <c r="T46" s="9">
        <f t="shared" ref="T46:T54" si="29">U8/S46</f>
        <v>2.3847900828771279E-2</v>
      </c>
      <c r="U46" s="287">
        <f t="shared" ref="U46:U54" si="30">S46*U8</f>
        <v>528.20553834750024</v>
      </c>
    </row>
    <row r="47" spans="1:21" x14ac:dyDescent="0.2">
      <c r="A47" s="97">
        <v>3</v>
      </c>
      <c r="B47" s="93">
        <f t="shared" si="25"/>
        <v>36</v>
      </c>
      <c r="C47" s="1">
        <f t="shared" si="22"/>
        <v>108</v>
      </c>
      <c r="D47" s="9">
        <f>SUM($C$45:C47)</f>
        <v>129</v>
      </c>
      <c r="E47" s="9">
        <f t="shared" si="23"/>
        <v>-505.44462511572931</v>
      </c>
      <c r="F47" s="9">
        <f t="shared" si="24"/>
        <v>1.1122756026417243E-2</v>
      </c>
      <c r="G47" s="287">
        <f t="shared" si="26"/>
        <v>2841.5779657636376</v>
      </c>
      <c r="O47" s="99">
        <v>3</v>
      </c>
      <c r="P47" s="93">
        <f t="shared" ref="P47:P54" si="31">Q46*2</f>
        <v>78</v>
      </c>
      <c r="Q47" s="1">
        <f t="shared" si="27"/>
        <v>237</v>
      </c>
      <c r="R47" s="9">
        <f>SUM($Q$45:Q47)</f>
        <v>282</v>
      </c>
      <c r="S47" s="282">
        <f t="shared" si="28"/>
        <v>-1104.9254595553152</v>
      </c>
      <c r="T47" s="9">
        <f t="shared" si="29"/>
        <v>5.088069246127036E-3</v>
      </c>
      <c r="U47" s="287">
        <f t="shared" si="30"/>
        <v>6211.8215995763239</v>
      </c>
    </row>
    <row r="48" spans="1:21" x14ac:dyDescent="0.2">
      <c r="A48" s="97">
        <v>4</v>
      </c>
      <c r="B48" s="93">
        <f t="shared" si="25"/>
        <v>216</v>
      </c>
      <c r="C48" s="1">
        <f t="shared" si="22"/>
        <v>648</v>
      </c>
      <c r="D48" s="9">
        <f>SUM($C$45:C48)</f>
        <v>777</v>
      </c>
      <c r="E48" s="9">
        <f t="shared" si="23"/>
        <v>-3265.9980182895988</v>
      </c>
      <c r="F48" s="9">
        <f t="shared" si="24"/>
        <v>2.3872689171152866E-3</v>
      </c>
      <c r="G48" s="287">
        <f t="shared" si="26"/>
        <v>25464.384143182659</v>
      </c>
      <c r="O48" s="99">
        <v>4</v>
      </c>
      <c r="P48" s="93">
        <f t="shared" si="31"/>
        <v>474</v>
      </c>
      <c r="Q48" s="1">
        <f t="shared" si="27"/>
        <v>1425</v>
      </c>
      <c r="R48" s="9">
        <f>SUM($Q$45:Q48)</f>
        <v>1707</v>
      </c>
      <c r="S48" s="282">
        <f t="shared" si="28"/>
        <v>-7175.1076154701996</v>
      </c>
      <c r="T48" s="9">
        <f t="shared" si="29"/>
        <v>1.0866478902159214E-3</v>
      </c>
      <c r="U48" s="287">
        <f t="shared" si="30"/>
        <v>55942.990646605918</v>
      </c>
    </row>
    <row r="49" spans="1:21" x14ac:dyDescent="0.2">
      <c r="A49" s="97">
        <v>5</v>
      </c>
      <c r="B49" s="93">
        <f t="shared" si="25"/>
        <v>1296</v>
      </c>
      <c r="C49" s="1">
        <f t="shared" si="22"/>
        <v>3888</v>
      </c>
      <c r="D49" s="9">
        <f>SUM($C$45:C49)</f>
        <v>4665</v>
      </c>
      <c r="E49" s="9">
        <f t="shared" si="23"/>
        <v>-20164.864368895116</v>
      </c>
      <c r="F49" s="9">
        <f t="shared" si="24"/>
        <v>4.9726625727568763E-4</v>
      </c>
      <c r="G49" s="287">
        <f t="shared" si="26"/>
        <v>202199.278243646</v>
      </c>
      <c r="O49" s="99">
        <v>5</v>
      </c>
      <c r="P49" s="93">
        <f t="shared" si="31"/>
        <v>2850</v>
      </c>
      <c r="Q49" s="1">
        <f t="shared" si="27"/>
        <v>8553</v>
      </c>
      <c r="R49" s="9">
        <f>SUM($Q$45:Q49)</f>
        <v>10260</v>
      </c>
      <c r="S49" s="282">
        <f t="shared" si="28"/>
        <v>-44349.733853132668</v>
      </c>
      <c r="T49" s="9">
        <f t="shared" si="29"/>
        <v>2.2609620762096324E-4</v>
      </c>
      <c r="U49" s="287">
        <f t="shared" si="30"/>
        <v>444708.38044583233</v>
      </c>
    </row>
    <row r="50" spans="1:21" x14ac:dyDescent="0.2">
      <c r="A50" s="97">
        <v>6</v>
      </c>
      <c r="B50" s="93">
        <f t="shared" si="25"/>
        <v>7776</v>
      </c>
      <c r="C50" s="1">
        <f t="shared" si="22"/>
        <v>23328</v>
      </c>
      <c r="D50" s="9">
        <f>SUM($C$45:C50)</f>
        <v>27993</v>
      </c>
      <c r="E50" s="9">
        <f t="shared" si="23"/>
        <v>-122333.20404574829</v>
      </c>
      <c r="F50" s="9">
        <f t="shared" si="24"/>
        <v>1.0043123444119579E-4</v>
      </c>
      <c r="G50" s="287">
        <f t="shared" si="26"/>
        <v>1502994.8826411583</v>
      </c>
      <c r="O50" s="99">
        <v>6</v>
      </c>
      <c r="P50" s="93">
        <f t="shared" si="31"/>
        <v>17106</v>
      </c>
      <c r="Q50" s="1">
        <f t="shared" si="27"/>
        <v>51321</v>
      </c>
      <c r="R50" s="9">
        <f>SUM($Q$45:Q50)</f>
        <v>61581</v>
      </c>
      <c r="S50" s="282">
        <f t="shared" si="28"/>
        <v>-269117.31641271838</v>
      </c>
      <c r="T50" s="9">
        <f t="shared" si="29"/>
        <v>4.5653229822711451E-5</v>
      </c>
      <c r="U50" s="287">
        <f t="shared" si="30"/>
        <v>3306395.4512887215</v>
      </c>
    </row>
    <row r="51" spans="1:21" x14ac:dyDescent="0.2">
      <c r="A51" s="97">
        <v>7</v>
      </c>
      <c r="B51" s="93">
        <f t="shared" si="25"/>
        <v>46656</v>
      </c>
      <c r="C51" s="1">
        <f t="shared" si="22"/>
        <v>139968</v>
      </c>
      <c r="D51" s="9">
        <f>SUM($C$45:C51)</f>
        <v>167961</v>
      </c>
      <c r="E51" s="9">
        <f t="shared" si="23"/>
        <v>-737136.46228616079</v>
      </c>
      <c r="F51" s="9">
        <f t="shared" si="24"/>
        <v>1.9750089019042147E-5</v>
      </c>
      <c r="G51" s="287">
        <f t="shared" si="26"/>
        <v>10731609.109918725</v>
      </c>
      <c r="O51" s="99">
        <v>7</v>
      </c>
      <c r="P51" s="93">
        <f t="shared" si="31"/>
        <v>102642</v>
      </c>
      <c r="Q51" s="1">
        <f t="shared" si="27"/>
        <v>307929</v>
      </c>
      <c r="R51" s="9">
        <f>SUM($Q$45:Q51)</f>
        <v>369510</v>
      </c>
      <c r="S51" s="282">
        <f t="shared" si="28"/>
        <v>-1621681.7843389791</v>
      </c>
      <c r="T51" s="9">
        <f t="shared" si="29"/>
        <v>8.9774152302436679E-6</v>
      </c>
      <c r="U51" s="287">
        <f t="shared" si="30"/>
        <v>23609271.689297322</v>
      </c>
    </row>
    <row r="52" spans="1:21" x14ac:dyDescent="0.2">
      <c r="A52" s="97">
        <v>8</v>
      </c>
      <c r="B52" s="93">
        <f t="shared" si="25"/>
        <v>279936</v>
      </c>
      <c r="C52" s="1">
        <f t="shared" si="22"/>
        <v>839808</v>
      </c>
      <c r="D52" s="9">
        <f>SUM($C$45:C52)</f>
        <v>1007769</v>
      </c>
      <c r="E52" s="9">
        <f t="shared" si="23"/>
        <v>-4430109.3310805252</v>
      </c>
      <c r="F52" s="9">
        <f t="shared" si="24"/>
        <v>3.8006536956440683E-6</v>
      </c>
      <c r="G52" s="287">
        <f t="shared" si="26"/>
        <v>74591130.349112257</v>
      </c>
      <c r="O52" s="99">
        <v>8</v>
      </c>
      <c r="P52" s="93">
        <f t="shared" si="31"/>
        <v>615858</v>
      </c>
      <c r="Q52" s="1">
        <f t="shared" si="27"/>
        <v>1847577</v>
      </c>
      <c r="R52" s="9">
        <f>SUM($Q$45:Q52)</f>
        <v>2217087</v>
      </c>
      <c r="S52" s="282">
        <f t="shared" si="28"/>
        <v>-9746219.4277828839</v>
      </c>
      <c r="T52" s="9">
        <f t="shared" si="29"/>
        <v>1.7275736018503229E-6</v>
      </c>
      <c r="U52" s="287">
        <f t="shared" si="30"/>
        <v>164100131.49077046</v>
      </c>
    </row>
    <row r="53" spans="1:21" x14ac:dyDescent="0.2">
      <c r="A53" s="97">
        <v>9</v>
      </c>
      <c r="B53" s="93">
        <f t="shared" si="25"/>
        <v>1679616</v>
      </c>
      <c r="C53" s="1">
        <f t="shared" si="22"/>
        <v>5038848</v>
      </c>
      <c r="D53" s="9">
        <f>SUM($C$45:C53)</f>
        <v>6046617</v>
      </c>
      <c r="E53" s="9">
        <f t="shared" si="23"/>
        <v>-26597571.437971327</v>
      </c>
      <c r="F53" s="9">
        <f t="shared" si="24"/>
        <v>7.1882481714165613E-7</v>
      </c>
      <c r="G53" s="287">
        <f t="shared" si="26"/>
        <v>508518820.0494082</v>
      </c>
      <c r="O53" s="99">
        <v>9</v>
      </c>
      <c r="P53" s="93">
        <f t="shared" si="31"/>
        <v>3695154</v>
      </c>
      <c r="Q53" s="1">
        <f t="shared" si="27"/>
        <v>11085465</v>
      </c>
      <c r="R53" s="9">
        <f>SUM($Q$45:Q53)</f>
        <v>13302552</v>
      </c>
      <c r="S53" s="282">
        <f t="shared" si="28"/>
        <v>-58514633.410273604</v>
      </c>
      <c r="T53" s="9">
        <f t="shared" si="29"/>
        <v>3.267386858815233E-7</v>
      </c>
      <c r="U53" s="287">
        <f t="shared" si="30"/>
        <v>1118740949.9701891</v>
      </c>
    </row>
    <row r="54" spans="1:21" ht="17" thickBot="1" x14ac:dyDescent="0.25">
      <c r="A54" s="145">
        <v>10</v>
      </c>
      <c r="B54" s="94">
        <f t="shared" si="25"/>
        <v>10077696</v>
      </c>
      <c r="C54" s="111">
        <f t="shared" si="22"/>
        <v>30233088</v>
      </c>
      <c r="D54" s="10">
        <f>SUM($C$45:C54)</f>
        <v>36279705</v>
      </c>
      <c r="E54" s="10">
        <f t="shared" si="23"/>
        <v>-159624653.84127843</v>
      </c>
      <c r="F54" s="10">
        <f t="shared" si="24"/>
        <v>1.3407675428867335E-7</v>
      </c>
      <c r="G54" s="288">
        <f t="shared" si="26"/>
        <v>3416279736.8557992</v>
      </c>
      <c r="O54" s="100">
        <v>10</v>
      </c>
      <c r="P54" s="94">
        <f t="shared" si="31"/>
        <v>22170930</v>
      </c>
      <c r="Q54" s="111">
        <f t="shared" si="27"/>
        <v>66512793</v>
      </c>
      <c r="R54" s="10">
        <f>SUM($Q$45:Q54)</f>
        <v>79815345</v>
      </c>
      <c r="S54" s="283">
        <f t="shared" si="28"/>
        <v>-351174212.05181283</v>
      </c>
      <c r="T54" s="10">
        <f t="shared" si="29"/>
        <v>6.0943983803497357E-8</v>
      </c>
      <c r="U54" s="288">
        <f t="shared" si="30"/>
        <v>7515814856.0925407</v>
      </c>
    </row>
  </sheetData>
  <mergeCells count="2">
    <mergeCell ref="A18:F18"/>
    <mergeCell ref="O18:T18"/>
  </mergeCells>
  <conditionalFormatting sqref="F45:F54">
    <cfRule type="cellIs" dxfId="488" priority="51" operator="equal">
      <formula>MAX($F$45:$F$54)</formula>
    </cfRule>
  </conditionalFormatting>
  <conditionalFormatting sqref="F21:F30">
    <cfRule type="cellIs" dxfId="487" priority="49" operator="equal">
      <formula>MAX($F$21:$F$30)</formula>
    </cfRule>
  </conditionalFormatting>
  <conditionalFormatting sqref="F33:F42">
    <cfRule type="cellIs" dxfId="486" priority="26" operator="lessThanOrEqual">
      <formula>0</formula>
    </cfRule>
    <cfRule type="cellIs" dxfId="485" priority="47" operator="equal">
      <formula>MAX($F$33:$F$42)</formula>
    </cfRule>
  </conditionalFormatting>
  <conditionalFormatting sqref="E33:E42">
    <cfRule type="cellIs" dxfId="484" priority="45" stopIfTrue="1" operator="lessThan">
      <formula>0</formula>
    </cfRule>
    <cfRule type="cellIs" dxfId="483" priority="46" operator="equal">
      <formula>MIN($E$33:$E$42)</formula>
    </cfRule>
  </conditionalFormatting>
  <conditionalFormatting sqref="E21:E30">
    <cfRule type="cellIs" dxfId="482" priority="41" stopIfTrue="1" operator="lessThan">
      <formula>0</formula>
    </cfRule>
    <cfRule type="cellIs" dxfId="481" priority="42" operator="equal">
      <formula>MIN($E$21:$E$30)</formula>
    </cfRule>
  </conditionalFormatting>
  <conditionalFormatting sqref="E45:E54">
    <cfRule type="cellIs" dxfId="480" priority="37" stopIfTrue="1" operator="lessThan">
      <formula>0</formula>
    </cfRule>
    <cfRule type="cellIs" dxfId="479" priority="38" operator="equal">
      <formula>MIN($E$45:$E$54)</formula>
    </cfRule>
  </conditionalFormatting>
  <conditionalFormatting sqref="R7:R16">
    <cfRule type="cellIs" dxfId="478" priority="19" operator="lessThanOrEqual">
      <formula>0</formula>
    </cfRule>
    <cfRule type="cellIs" dxfId="477" priority="20" operator="greaterThan">
      <formula>0</formula>
    </cfRule>
  </conditionalFormatting>
  <conditionalFormatting sqref="S7:T16">
    <cfRule type="cellIs" dxfId="476" priority="13" operator="lessThanOrEqual">
      <formula>0</formula>
    </cfRule>
    <cfRule type="cellIs" dxfId="475" priority="14" operator="greaterThan">
      <formula>0</formula>
    </cfRule>
  </conditionalFormatting>
  <conditionalFormatting sqref="U7:U16">
    <cfRule type="cellIs" dxfId="474" priority="15" operator="lessThanOrEqual">
      <formula>0</formula>
    </cfRule>
    <cfRule type="cellIs" dxfId="473" priority="16" operator="greaterThan">
      <formula>0</formula>
    </cfRule>
  </conditionalFormatting>
  <conditionalFormatting sqref="T21:T30">
    <cfRule type="cellIs" dxfId="472" priority="9" operator="equal">
      <formula>MAX($T$21:$T$30)</formula>
    </cfRule>
  </conditionalFormatting>
  <conditionalFormatting sqref="S33:S42">
    <cfRule type="cellIs" dxfId="471" priority="7" stopIfTrue="1" operator="lessThan">
      <formula>0</formula>
    </cfRule>
    <cfRule type="cellIs" dxfId="470" priority="8" operator="equal">
      <formula>MIN($E$21:$E$30)</formula>
    </cfRule>
  </conditionalFormatting>
  <conditionalFormatting sqref="T33:T42">
    <cfRule type="cellIs" dxfId="469" priority="6" operator="equal">
      <formula>MAX($T$21:$T$30)</formula>
    </cfRule>
  </conditionalFormatting>
  <conditionalFormatting sqref="S45:S54">
    <cfRule type="cellIs" dxfId="468" priority="4" stopIfTrue="1" operator="lessThan">
      <formula>0</formula>
    </cfRule>
    <cfRule type="cellIs" dxfId="467" priority="5" operator="equal">
      <formula>MIN($E$21:$E$30)</formula>
    </cfRule>
  </conditionalFormatting>
  <conditionalFormatting sqref="T45:T54">
    <cfRule type="cellIs" dxfId="466" priority="3" operator="equal">
      <formula>MAX($T$21:$T$30)</formula>
    </cfRule>
  </conditionalFormatting>
  <conditionalFormatting sqref="S21:S30">
    <cfRule type="cellIs" dxfId="465" priority="1" stopIfTrue="1" operator="lessThan">
      <formula>0</formula>
    </cfRule>
    <cfRule type="cellIs" dxfId="464" priority="2" operator="equal">
      <formula>MIN($E$21:$E$30)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54"/>
  <sheetViews>
    <sheetView workbookViewId="0">
      <selection activeCell="K9" sqref="K9"/>
    </sheetView>
  </sheetViews>
  <sheetFormatPr baseColWidth="10" defaultColWidth="8.83203125" defaultRowHeight="16" x14ac:dyDescent="0.2"/>
  <sheetData>
    <row r="1" spans="1:11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>
        <v>2</v>
      </c>
      <c r="B2">
        <f>IF(Rules!$B$10=Rules!$F$10,Dealer!B14-SUM(Dealer!B15:B19),Dealer!B3-SUM(Dealer!B4:B8))</f>
        <v>-0.66695077468551034</v>
      </c>
      <c r="C2">
        <f>IF(Rules!$B$10=Rules!$F$10,Dealer!C14-SUM(Dealer!C15:C19),Dealer!C3-SUM(Dealer!C4:C8))</f>
        <v>-0.29278372720927726</v>
      </c>
      <c r="D2">
        <f>IF(Rules!$B$10=Rules!$F$10,Dealer!D14-SUM(Dealer!D15:D19),Dealer!D3-SUM(Dealer!D4:D8))</f>
        <v>-0.2522502292357135</v>
      </c>
      <c r="E2">
        <f>IF(Rules!$B$10=Rules!$F$10,Dealer!E14-SUM(Dealer!E15:E19),Dealer!E3-SUM(Dealer!E4:E8))</f>
        <v>-0.21106310899491437</v>
      </c>
      <c r="F2">
        <f>IF(Rules!$B$10=Rules!$F$10,Dealer!F14-SUM(Dealer!F15:F19),Dealer!F3-SUM(Dealer!F4:F8))</f>
        <v>-0.16719266083547524</v>
      </c>
      <c r="G2">
        <f>IF(Rules!$B$10=Rules!$F$10,Dealer!G14-SUM(Dealer!G15:G19),Dealer!G3-SUM(Dealer!G4:G8))</f>
        <v>-0.1536990158300045</v>
      </c>
      <c r="H2">
        <f>IF(Rules!$B$10=Rules!$F$10,Dealer!H14-SUM(Dealer!H15:H19),Dealer!H3-SUM(Dealer!H4:H8))</f>
        <v>-0.47537518327693323</v>
      </c>
      <c r="I2">
        <f>IF(Rules!$B$10=Rules!$F$10,Dealer!I14-SUM(Dealer!I15:I19),Dealer!I3-SUM(Dealer!I4:I8))</f>
        <v>-0.51051751549761715</v>
      </c>
      <c r="J2">
        <f>IF(Rules!$B$10=Rules!$F$10,Dealer!J14-SUM(Dealer!J15:J19),Dealer!J3-SUM(Dealer!J4:J8))</f>
        <v>-0.5431496811311094</v>
      </c>
      <c r="K2">
        <f>IF(Rules!$B$10=Rules!$F$10,Dealer!K14-SUM(Dealer!K15:K19),Dealer!K3-SUM(Dealer!K4:K8))</f>
        <v>-0.54043033399498497</v>
      </c>
    </row>
    <row r="3" spans="1:11" x14ac:dyDescent="0.2">
      <c r="A3">
        <v>3</v>
      </c>
      <c r="B3">
        <f>B2</f>
        <v>-0.66695077468551034</v>
      </c>
      <c r="C3">
        <f t="shared" ref="C3:K16" si="0">C2</f>
        <v>-0.29278372720927726</v>
      </c>
      <c r="D3">
        <f t="shared" si="0"/>
        <v>-0.2522502292357135</v>
      </c>
      <c r="E3">
        <f t="shared" si="0"/>
        <v>-0.21106310899491437</v>
      </c>
      <c r="F3">
        <f t="shared" si="0"/>
        <v>-0.16719266083547524</v>
      </c>
      <c r="G3">
        <f t="shared" si="0"/>
        <v>-0.1536990158300045</v>
      </c>
      <c r="H3">
        <f t="shared" si="0"/>
        <v>-0.47537518327693323</v>
      </c>
      <c r="I3">
        <f t="shared" si="0"/>
        <v>-0.51051751549761715</v>
      </c>
      <c r="J3">
        <f t="shared" si="0"/>
        <v>-0.5431496811311094</v>
      </c>
      <c r="K3">
        <f t="shared" si="0"/>
        <v>-0.54043033399498497</v>
      </c>
    </row>
    <row r="4" spans="1:11" x14ac:dyDescent="0.2">
      <c r="A4">
        <v>4</v>
      </c>
      <c r="B4">
        <f t="shared" ref="B4:B16" si="1">B3</f>
        <v>-0.66695077468551034</v>
      </c>
      <c r="C4">
        <f t="shared" si="0"/>
        <v>-0.29278372720927726</v>
      </c>
      <c r="D4">
        <f t="shared" si="0"/>
        <v>-0.2522502292357135</v>
      </c>
      <c r="E4">
        <f t="shared" si="0"/>
        <v>-0.21106310899491437</v>
      </c>
      <c r="F4">
        <f t="shared" si="0"/>
        <v>-0.16719266083547524</v>
      </c>
      <c r="G4">
        <f t="shared" si="0"/>
        <v>-0.1536990158300045</v>
      </c>
      <c r="H4">
        <f t="shared" si="0"/>
        <v>-0.47537518327693323</v>
      </c>
      <c r="I4">
        <f t="shared" si="0"/>
        <v>-0.51051751549761715</v>
      </c>
      <c r="J4">
        <f t="shared" si="0"/>
        <v>-0.5431496811311094</v>
      </c>
      <c r="K4">
        <f t="shared" si="0"/>
        <v>-0.54043033399498497</v>
      </c>
    </row>
    <row r="5" spans="1:11" x14ac:dyDescent="0.2">
      <c r="A5">
        <v>5</v>
      </c>
      <c r="B5">
        <f t="shared" si="1"/>
        <v>-0.66695077468551034</v>
      </c>
      <c r="C5">
        <f t="shared" si="0"/>
        <v>-0.29278372720927726</v>
      </c>
      <c r="D5">
        <f t="shared" si="0"/>
        <v>-0.2522502292357135</v>
      </c>
      <c r="E5">
        <f t="shared" si="0"/>
        <v>-0.21106310899491437</v>
      </c>
      <c r="F5">
        <f t="shared" si="0"/>
        <v>-0.16719266083547524</v>
      </c>
      <c r="G5">
        <f t="shared" si="0"/>
        <v>-0.1536990158300045</v>
      </c>
      <c r="H5">
        <f t="shared" si="0"/>
        <v>-0.47537518327693323</v>
      </c>
      <c r="I5">
        <f t="shared" si="0"/>
        <v>-0.51051751549761715</v>
      </c>
      <c r="J5">
        <f t="shared" si="0"/>
        <v>-0.5431496811311094</v>
      </c>
      <c r="K5">
        <f t="shared" si="0"/>
        <v>-0.54043033399498497</v>
      </c>
    </row>
    <row r="6" spans="1:11" x14ac:dyDescent="0.2">
      <c r="A6">
        <v>6</v>
      </c>
      <c r="B6">
        <f t="shared" si="1"/>
        <v>-0.66695077468551034</v>
      </c>
      <c r="C6">
        <f t="shared" si="0"/>
        <v>-0.29278372720927726</v>
      </c>
      <c r="D6">
        <f t="shared" si="0"/>
        <v>-0.2522502292357135</v>
      </c>
      <c r="E6">
        <f t="shared" si="0"/>
        <v>-0.21106310899491437</v>
      </c>
      <c r="F6">
        <f t="shared" si="0"/>
        <v>-0.16719266083547524</v>
      </c>
      <c r="G6">
        <f t="shared" si="0"/>
        <v>-0.1536990158300045</v>
      </c>
      <c r="H6">
        <f t="shared" si="0"/>
        <v>-0.47537518327693323</v>
      </c>
      <c r="I6">
        <f t="shared" si="0"/>
        <v>-0.51051751549761715</v>
      </c>
      <c r="J6">
        <f t="shared" si="0"/>
        <v>-0.5431496811311094</v>
      </c>
      <c r="K6">
        <f t="shared" si="0"/>
        <v>-0.54043033399498497</v>
      </c>
    </row>
    <row r="7" spans="1:11" x14ac:dyDescent="0.2">
      <c r="A7">
        <v>7</v>
      </c>
      <c r="B7">
        <f t="shared" si="1"/>
        <v>-0.66695077468551034</v>
      </c>
      <c r="C7">
        <f t="shared" si="0"/>
        <v>-0.29278372720927726</v>
      </c>
      <c r="D7">
        <f t="shared" si="0"/>
        <v>-0.2522502292357135</v>
      </c>
      <c r="E7">
        <f t="shared" si="0"/>
        <v>-0.21106310899491437</v>
      </c>
      <c r="F7">
        <f t="shared" si="0"/>
        <v>-0.16719266083547524</v>
      </c>
      <c r="G7">
        <f t="shared" si="0"/>
        <v>-0.1536990158300045</v>
      </c>
      <c r="H7">
        <f t="shared" si="0"/>
        <v>-0.47537518327693323</v>
      </c>
      <c r="I7">
        <f t="shared" si="0"/>
        <v>-0.51051751549761715</v>
      </c>
      <c r="J7">
        <f t="shared" si="0"/>
        <v>-0.5431496811311094</v>
      </c>
      <c r="K7">
        <f t="shared" si="0"/>
        <v>-0.54043033399498497</v>
      </c>
    </row>
    <row r="8" spans="1:11" x14ac:dyDescent="0.2">
      <c r="A8">
        <v>8</v>
      </c>
      <c r="B8">
        <f t="shared" si="1"/>
        <v>-0.66695077468551034</v>
      </c>
      <c r="C8">
        <f t="shared" si="0"/>
        <v>-0.29278372720927726</v>
      </c>
      <c r="D8">
        <f t="shared" si="0"/>
        <v>-0.2522502292357135</v>
      </c>
      <c r="E8">
        <f t="shared" si="0"/>
        <v>-0.21106310899491437</v>
      </c>
      <c r="F8">
        <f t="shared" si="0"/>
        <v>-0.16719266083547524</v>
      </c>
      <c r="G8">
        <f t="shared" si="0"/>
        <v>-0.1536990158300045</v>
      </c>
      <c r="H8">
        <f t="shared" si="0"/>
        <v>-0.47537518327693323</v>
      </c>
      <c r="I8">
        <f t="shared" si="0"/>
        <v>-0.51051751549761715</v>
      </c>
      <c r="J8">
        <f t="shared" si="0"/>
        <v>-0.5431496811311094</v>
      </c>
      <c r="K8">
        <f t="shared" si="0"/>
        <v>-0.54043033399498497</v>
      </c>
    </row>
    <row r="9" spans="1:11" x14ac:dyDescent="0.2">
      <c r="A9">
        <v>9</v>
      </c>
      <c r="B9">
        <f t="shared" si="1"/>
        <v>-0.66695077468551034</v>
      </c>
      <c r="C9">
        <f t="shared" si="0"/>
        <v>-0.29278372720927726</v>
      </c>
      <c r="D9">
        <f t="shared" si="0"/>
        <v>-0.2522502292357135</v>
      </c>
      <c r="E9">
        <f t="shared" si="0"/>
        <v>-0.21106310899491437</v>
      </c>
      <c r="F9">
        <f t="shared" si="0"/>
        <v>-0.16719266083547524</v>
      </c>
      <c r="G9">
        <f t="shared" si="0"/>
        <v>-0.1536990158300045</v>
      </c>
      <c r="H9">
        <f t="shared" si="0"/>
        <v>-0.47537518327693323</v>
      </c>
      <c r="I9">
        <f t="shared" si="0"/>
        <v>-0.51051751549761715</v>
      </c>
      <c r="J9">
        <f t="shared" si="0"/>
        <v>-0.5431496811311094</v>
      </c>
      <c r="K9">
        <f t="shared" si="0"/>
        <v>-0.54043033399498497</v>
      </c>
    </row>
    <row r="10" spans="1:11" x14ac:dyDescent="0.2">
      <c r="A10">
        <v>10</v>
      </c>
      <c r="B10">
        <f t="shared" si="1"/>
        <v>-0.66695077468551034</v>
      </c>
      <c r="C10">
        <f t="shared" si="0"/>
        <v>-0.29278372720927726</v>
      </c>
      <c r="D10">
        <f t="shared" si="0"/>
        <v>-0.2522502292357135</v>
      </c>
      <c r="E10">
        <f t="shared" si="0"/>
        <v>-0.21106310899491437</v>
      </c>
      <c r="F10">
        <f t="shared" si="0"/>
        <v>-0.16719266083547524</v>
      </c>
      <c r="G10">
        <f t="shared" si="0"/>
        <v>-0.1536990158300045</v>
      </c>
      <c r="H10">
        <f t="shared" si="0"/>
        <v>-0.47537518327693323</v>
      </c>
      <c r="I10">
        <f t="shared" si="0"/>
        <v>-0.51051751549761715</v>
      </c>
      <c r="J10">
        <f t="shared" si="0"/>
        <v>-0.5431496811311094</v>
      </c>
      <c r="K10">
        <f t="shared" si="0"/>
        <v>-0.54043033399498497</v>
      </c>
    </row>
    <row r="11" spans="1:11" x14ac:dyDescent="0.2">
      <c r="A11">
        <v>11</v>
      </c>
      <c r="B11">
        <f t="shared" si="1"/>
        <v>-0.66695077468551034</v>
      </c>
      <c r="C11">
        <f t="shared" si="0"/>
        <v>-0.29278372720927726</v>
      </c>
      <c r="D11">
        <f t="shared" si="0"/>
        <v>-0.2522502292357135</v>
      </c>
      <c r="E11">
        <f t="shared" si="0"/>
        <v>-0.21106310899491437</v>
      </c>
      <c r="F11">
        <f t="shared" si="0"/>
        <v>-0.16719266083547524</v>
      </c>
      <c r="G11">
        <f t="shared" si="0"/>
        <v>-0.1536990158300045</v>
      </c>
      <c r="H11">
        <f t="shared" si="0"/>
        <v>-0.47537518327693323</v>
      </c>
      <c r="I11">
        <f t="shared" si="0"/>
        <v>-0.51051751549761715</v>
      </c>
      <c r="J11">
        <f t="shared" si="0"/>
        <v>-0.5431496811311094</v>
      </c>
      <c r="K11">
        <f t="shared" si="0"/>
        <v>-0.54043033399498497</v>
      </c>
    </row>
    <row r="12" spans="1:11" x14ac:dyDescent="0.2">
      <c r="A12">
        <v>12</v>
      </c>
      <c r="B12">
        <f t="shared" si="1"/>
        <v>-0.66695077468551034</v>
      </c>
      <c r="C12">
        <f t="shared" si="0"/>
        <v>-0.29278372720927726</v>
      </c>
      <c r="D12">
        <f t="shared" si="0"/>
        <v>-0.2522502292357135</v>
      </c>
      <c r="E12">
        <f t="shared" si="0"/>
        <v>-0.21106310899491437</v>
      </c>
      <c r="F12">
        <f t="shared" si="0"/>
        <v>-0.16719266083547524</v>
      </c>
      <c r="G12">
        <f t="shared" si="0"/>
        <v>-0.1536990158300045</v>
      </c>
      <c r="H12">
        <f t="shared" si="0"/>
        <v>-0.47537518327693323</v>
      </c>
      <c r="I12">
        <f t="shared" si="0"/>
        <v>-0.51051751549761715</v>
      </c>
      <c r="J12">
        <f t="shared" si="0"/>
        <v>-0.5431496811311094</v>
      </c>
      <c r="K12">
        <f t="shared" si="0"/>
        <v>-0.54043033399498497</v>
      </c>
    </row>
    <row r="13" spans="1:11" x14ac:dyDescent="0.2">
      <c r="A13">
        <v>13</v>
      </c>
      <c r="B13">
        <f t="shared" si="1"/>
        <v>-0.66695077468551034</v>
      </c>
      <c r="C13">
        <f t="shared" si="0"/>
        <v>-0.29278372720927726</v>
      </c>
      <c r="D13">
        <f t="shared" si="0"/>
        <v>-0.2522502292357135</v>
      </c>
      <c r="E13">
        <f t="shared" si="0"/>
        <v>-0.21106310899491437</v>
      </c>
      <c r="F13">
        <f t="shared" si="0"/>
        <v>-0.16719266083547524</v>
      </c>
      <c r="G13">
        <f t="shared" si="0"/>
        <v>-0.1536990158300045</v>
      </c>
      <c r="H13">
        <f t="shared" si="0"/>
        <v>-0.47537518327693323</v>
      </c>
      <c r="I13">
        <f t="shared" si="0"/>
        <v>-0.51051751549761715</v>
      </c>
      <c r="J13">
        <f t="shared" si="0"/>
        <v>-0.5431496811311094</v>
      </c>
      <c r="K13">
        <f t="shared" si="0"/>
        <v>-0.54043033399498497</v>
      </c>
    </row>
    <row r="14" spans="1:11" x14ac:dyDescent="0.2">
      <c r="A14">
        <v>14</v>
      </c>
      <c r="B14">
        <f t="shared" si="1"/>
        <v>-0.66695077468551034</v>
      </c>
      <c r="C14">
        <f t="shared" si="0"/>
        <v>-0.29278372720927726</v>
      </c>
      <c r="D14">
        <f t="shared" si="0"/>
        <v>-0.2522502292357135</v>
      </c>
      <c r="E14">
        <f t="shared" si="0"/>
        <v>-0.21106310899491437</v>
      </c>
      <c r="F14">
        <f t="shared" si="0"/>
        <v>-0.16719266083547524</v>
      </c>
      <c r="G14">
        <f t="shared" si="0"/>
        <v>-0.1536990158300045</v>
      </c>
      <c r="H14">
        <f t="shared" si="0"/>
        <v>-0.47537518327693323</v>
      </c>
      <c r="I14">
        <f t="shared" si="0"/>
        <v>-0.51051751549761715</v>
      </c>
      <c r="J14">
        <f t="shared" si="0"/>
        <v>-0.5431496811311094</v>
      </c>
      <c r="K14">
        <f t="shared" si="0"/>
        <v>-0.54043033399498497</v>
      </c>
    </row>
    <row r="15" spans="1:11" x14ac:dyDescent="0.2">
      <c r="A15">
        <v>15</v>
      </c>
      <c r="B15">
        <f t="shared" si="1"/>
        <v>-0.66695077468551034</v>
      </c>
      <c r="C15">
        <f t="shared" si="0"/>
        <v>-0.29278372720927726</v>
      </c>
      <c r="D15">
        <f t="shared" si="0"/>
        <v>-0.2522502292357135</v>
      </c>
      <c r="E15">
        <f t="shared" si="0"/>
        <v>-0.21106310899491437</v>
      </c>
      <c r="F15">
        <f t="shared" si="0"/>
        <v>-0.16719266083547524</v>
      </c>
      <c r="G15">
        <f t="shared" si="0"/>
        <v>-0.1536990158300045</v>
      </c>
      <c r="H15">
        <f t="shared" si="0"/>
        <v>-0.47537518327693323</v>
      </c>
      <c r="I15">
        <f t="shared" si="0"/>
        <v>-0.51051751549761715</v>
      </c>
      <c r="J15">
        <f t="shared" si="0"/>
        <v>-0.5431496811311094</v>
      </c>
      <c r="K15">
        <f t="shared" si="0"/>
        <v>-0.54043033399498497</v>
      </c>
    </row>
    <row r="16" spans="1:11" x14ac:dyDescent="0.2">
      <c r="A16">
        <v>16</v>
      </c>
      <c r="B16">
        <f t="shared" si="1"/>
        <v>-0.66695077468551034</v>
      </c>
      <c r="C16">
        <f t="shared" si="0"/>
        <v>-0.29278372720927726</v>
      </c>
      <c r="D16">
        <f t="shared" si="0"/>
        <v>-0.2522502292357135</v>
      </c>
      <c r="E16">
        <f t="shared" si="0"/>
        <v>-0.21106310899491437</v>
      </c>
      <c r="F16">
        <f t="shared" si="0"/>
        <v>-0.16719266083547524</v>
      </c>
      <c r="G16">
        <f t="shared" si="0"/>
        <v>-0.1536990158300045</v>
      </c>
      <c r="H16">
        <f t="shared" si="0"/>
        <v>-0.47537518327693323</v>
      </c>
      <c r="I16">
        <f t="shared" si="0"/>
        <v>-0.51051751549761715</v>
      </c>
      <c r="J16">
        <f t="shared" si="0"/>
        <v>-0.5431496811311094</v>
      </c>
      <c r="K16">
        <f t="shared" si="0"/>
        <v>-0.54043033399498497</v>
      </c>
    </row>
    <row r="17" spans="1:11" x14ac:dyDescent="0.2">
      <c r="A17">
        <v>17</v>
      </c>
      <c r="B17">
        <f>IF(Rules!$B$10=Rules!$F$10,Dealer!B14-SUM(Dealer!B16:B19),Dealer!B3-SUM(Dealer!B5:B8))</f>
        <v>-0.47803347499473703</v>
      </c>
      <c r="C17">
        <f>IF(Rules!$B$10=Rules!$F$10,Dealer!C14-SUM(Dealer!C16:C19),Dealer!C3-SUM(Dealer!C5:C8))</f>
        <v>-0.15297458768154204</v>
      </c>
      <c r="D17">
        <f>IF(Rules!$B$10=Rules!$F$10,Dealer!D14-SUM(Dealer!D16:D19),Dealer!D3-SUM(Dealer!D5:D8))</f>
        <v>-0.11721624142457365</v>
      </c>
      <c r="E17">
        <f>IF(Rules!$B$10=Rules!$F$10,Dealer!E14-SUM(Dealer!E16:E19),Dealer!E3-SUM(Dealer!E5:E8))</f>
        <v>-8.0573373145316152E-2</v>
      </c>
      <c r="F17">
        <f>IF(Rules!$B$10=Rules!$F$10,Dealer!F14-SUM(Dealer!F16:F19),Dealer!F3-SUM(Dealer!F5:F8))</f>
        <v>-4.4941375564924446E-2</v>
      </c>
      <c r="G17">
        <f>IF(Rules!$B$10=Rules!$F$10,Dealer!G14-SUM(Dealer!G16:G19),Dealer!G3-SUM(Dealer!G5:G8))</f>
        <v>1.1739160673341853E-2</v>
      </c>
      <c r="H17">
        <f>IF(Rules!$B$10=Rules!$F$10,Dealer!H14-SUM(Dealer!H16:H19),Dealer!H3-SUM(Dealer!H5:H8))</f>
        <v>-0.10680898948269468</v>
      </c>
      <c r="I17">
        <f>IF(Rules!$B$10=Rules!$F$10,Dealer!I14-SUM(Dealer!I16:I19),Dealer!I3-SUM(Dealer!I5:I8))</f>
        <v>-0.38195097104844711</v>
      </c>
      <c r="J17">
        <f>IF(Rules!$B$10=Rules!$F$10,Dealer!J14-SUM(Dealer!J16:J19),Dealer!J3-SUM(Dealer!J5:J8))</f>
        <v>-0.42315423964521737</v>
      </c>
      <c r="K17">
        <f>IF(Rules!$B$10=Rules!$F$10,Dealer!K14-SUM(Dealer!K16:K19),Dealer!K3-SUM(Dealer!K5:K8))</f>
        <v>-0.41972063392881986</v>
      </c>
    </row>
    <row r="18" spans="1:11" x14ac:dyDescent="0.2">
      <c r="A18">
        <v>18</v>
      </c>
      <c r="B18">
        <f>IF(Rules!$B$10=Rules!$F$10,Dealer!B14+Dealer!B15-SUM(Dealer!B17:B19),SUM(Dealer!B3:B4)-SUM(Dealer!B6:B8))</f>
        <v>-0.10019887561319057</v>
      </c>
      <c r="C18">
        <f>IF(Rules!$B$10=Rules!$F$10,Dealer!C14+Dealer!C15-SUM(Dealer!C17:C19),SUM(Dealer!C3:C4)-SUM(Dealer!C6:C8))</f>
        <v>0.12174190222088771</v>
      </c>
      <c r="D18">
        <f>IF(Rules!$B$10=Rules!$F$10,Dealer!D14+Dealer!D15-SUM(Dealer!D17:D19),SUM(Dealer!D3:D4)-SUM(Dealer!D6:D8))</f>
        <v>0.14830007284131119</v>
      </c>
      <c r="E18">
        <f>IF(Rules!$B$10=Rules!$F$10,Dealer!E14+Dealer!E15-SUM(Dealer!E17:E19),SUM(Dealer!E3:E4)-SUM(Dealer!E6:E8))</f>
        <v>0.17585443719748528</v>
      </c>
      <c r="F18">
        <f>IF(Rules!$B$10=Rules!$F$10,Dealer!F14+Dealer!F15-SUM(Dealer!F17:F19),SUM(Dealer!F3:F4)-SUM(Dealer!F6:F8))</f>
        <v>0.19956119497617719</v>
      </c>
      <c r="G18">
        <f>IF(Rules!$B$10=Rules!$F$10,Dealer!G14+Dealer!G15-SUM(Dealer!G17:G19),SUM(Dealer!G3:G4)-SUM(Dealer!G6:G8))</f>
        <v>0.28344391604689856</v>
      </c>
      <c r="H18">
        <f>IF(Rules!$B$10=Rules!$F$10,Dealer!H14+Dealer!H15-SUM(Dealer!H17:H19),SUM(Dealer!H3:H4)-SUM(Dealer!H6:H8))</f>
        <v>0.3995541673365518</v>
      </c>
      <c r="I18">
        <f>IF(Rules!$B$10=Rules!$F$10,Dealer!I14+Dealer!I15-SUM(Dealer!I17:I19),SUM(Dealer!I3:I4)-SUM(Dealer!I6:I8))</f>
        <v>0.10595134861912359</v>
      </c>
      <c r="J18">
        <f>IF(Rules!$B$10=Rules!$F$10,Dealer!J14+Dealer!J15-SUM(Dealer!J17:J19),SUM(Dealer!J3:J4)-SUM(Dealer!J6:J8))</f>
        <v>-0.18316335667343331</v>
      </c>
      <c r="K18">
        <f>IF(Rules!$B$10=Rules!$F$10,Dealer!K14+Dealer!K15-SUM(Dealer!K17:K19),SUM(Dealer!K3:K4)-SUM(Dealer!K6:K8))</f>
        <v>-0.17830123379648949</v>
      </c>
    </row>
    <row r="19" spans="1:11" x14ac:dyDescent="0.2">
      <c r="A19">
        <v>19</v>
      </c>
      <c r="B19">
        <f>IF(Rules!$B$10=Rules!$F$10,SUM(Dealer!B14:B16)-Dealer!B18-Dealer!B19,SUM(Dealer!B3:B5)-SUM(Dealer!B7:B8))</f>
        <v>0.27763572376835594</v>
      </c>
      <c r="C19">
        <f>IF(Rules!$B$10=Rules!$F$10,SUM(Dealer!C14:C16)-Dealer!C18-Dealer!C19,SUM(Dealer!C3:C5)-SUM(Dealer!C7:C8))</f>
        <v>0.38630468602058993</v>
      </c>
      <c r="D19">
        <f>IF(Rules!$B$10=Rules!$F$10,SUM(Dealer!D14:D16)-Dealer!D18-Dealer!D19,SUM(Dealer!D3:D5)-SUM(Dealer!D7:D8))</f>
        <v>0.4043629365977599</v>
      </c>
      <c r="E19">
        <f>IF(Rules!$B$10=Rules!$F$10,SUM(Dealer!E14:E16)-Dealer!E18-Dealer!E19,SUM(Dealer!E3:E5)-SUM(Dealer!E7:E8))</f>
        <v>0.42317892482749653</v>
      </c>
      <c r="F19">
        <f>IF(Rules!$B$10=Rules!$F$10,SUM(Dealer!F14:F16)-Dealer!F18-Dealer!F19,SUM(Dealer!F3:F5)-SUM(Dealer!F7:F8))</f>
        <v>0.43951210416088371</v>
      </c>
      <c r="G19">
        <f>IF(Rules!$B$10=Rules!$F$10,SUM(Dealer!G14:G16)-Dealer!G18-Dealer!G19,SUM(Dealer!G3:G5)-SUM(Dealer!G7:G8))</f>
        <v>0.49597707378731914</v>
      </c>
      <c r="H19">
        <f>IF(Rules!$B$10=Rules!$F$10,SUM(Dealer!H14:H16)-Dealer!H18-Dealer!H19,SUM(Dealer!H3:H5)-SUM(Dealer!H7:H8))</f>
        <v>0.6159764957534315</v>
      </c>
      <c r="I19">
        <f>IF(Rules!$B$10=Rules!$F$10,SUM(Dealer!I14:I16)-Dealer!I18-Dealer!I19,SUM(Dealer!I3:I5)-SUM(Dealer!I7:I8))</f>
        <v>0.59385366828669439</v>
      </c>
      <c r="J19">
        <f>IF(Rules!$B$10=Rules!$F$10,SUM(Dealer!J14:J16)-Dealer!J18-Dealer!J19,SUM(Dealer!J3:J5)-SUM(Dealer!J7:J8))</f>
        <v>0.28759675706758148</v>
      </c>
      <c r="K19">
        <f>IF(Rules!$B$10=Rules!$F$10,SUM(Dealer!K14:K16)-Dealer!K18-Dealer!K19,SUM(Dealer!K3:K5)-SUM(Dealer!K7:K8))</f>
        <v>6.3118166335840831E-2</v>
      </c>
    </row>
    <row r="20" spans="1:11" x14ac:dyDescent="0.2">
      <c r="A20">
        <v>20</v>
      </c>
      <c r="B20">
        <f>IF(Rules!$B$10=Rules!$F$10,SUM(Dealer!B14:B17)-Dealer!B19,SUM(Dealer!B3:B6)-Dealer!B8)</f>
        <v>0.65547032314990239</v>
      </c>
      <c r="C20">
        <f>IF(Rules!$B$10=Rules!$F$10,SUM(Dealer!C14:C17)-Dealer!C19,SUM(Dealer!C3:C6)-Dealer!C8)</f>
        <v>0.63998657521683877</v>
      </c>
      <c r="D20">
        <f>IF(Rules!$B$10=Rules!$F$10,SUM(Dealer!D14:D17)-Dealer!D19,SUM(Dealer!D3:D6)-Dealer!D8)</f>
        <v>0.65027209425148136</v>
      </c>
      <c r="E20">
        <f>IF(Rules!$B$10=Rules!$F$10,SUM(Dealer!E14:E17)-Dealer!E19,SUM(Dealer!E3:E6)-Dealer!E8)</f>
        <v>0.66104996194807186</v>
      </c>
      <c r="F20">
        <f>IF(Rules!$B$10=Rules!$F$10,SUM(Dealer!F14:F17)-Dealer!F19,SUM(Dealer!F3:F6)-Dealer!F8)</f>
        <v>0.67035969063279999</v>
      </c>
      <c r="G20">
        <f>IF(Rules!$B$10=Rules!$F$10,SUM(Dealer!G14:G17)-Dealer!G19,SUM(Dealer!G3:G6)-Dealer!G8)</f>
        <v>0.70395857017134467</v>
      </c>
      <c r="H20">
        <f>IF(Rules!$B$10=Rules!$F$10,SUM(Dealer!H14:H17)-Dealer!H19,SUM(Dealer!H3:H6)-Dealer!H8)</f>
        <v>0.77322722653717491</v>
      </c>
      <c r="I20">
        <f>IF(Rules!$B$10=Rules!$F$10,SUM(Dealer!I14:I17)-Dealer!I19,SUM(Dealer!I3:I6)-Dealer!I8)</f>
        <v>0.79181515955189841</v>
      </c>
      <c r="J20">
        <f>IF(Rules!$B$10=Rules!$F$10,SUM(Dealer!J14:J17)-Dealer!J19,SUM(Dealer!J3:J6)-Dealer!J8)</f>
        <v>0.75835687080859626</v>
      </c>
      <c r="K20">
        <f>IF(Rules!$B$10=Rules!$F$10,SUM(Dealer!K14:K17)-Dealer!K19,SUM(Dealer!K3:K6)-Dealer!K8)</f>
        <v>0.55453756646817121</v>
      </c>
    </row>
    <row r="21" spans="1:11" x14ac:dyDescent="0.2">
      <c r="A21">
        <v>21</v>
      </c>
      <c r="B21">
        <f>IF(Rules!$B$13=Rules!$E$13,1,IF(Rules!$B$10=Rules!$F$10,SUM(Dealer!B14:B18),SUM(Dealer!B3:B7)))</f>
        <v>0.92219381142033785</v>
      </c>
      <c r="C21">
        <f>IF(Rules!$B$13=Rules!$E$13,1,IF(Rules!$B$10=Rules!$F$10,SUM(Dealer!C14:C18),SUM(Dealer!C3:C7)))</f>
        <v>0.88200651549403997</v>
      </c>
      <c r="D21">
        <f>IF(Rules!$B$13=Rules!$E$13,1,IF(Rules!$B$10=Rules!$F$10,SUM(Dealer!D14:D18),SUM(Dealer!D3:D7)))</f>
        <v>0.88530035730174927</v>
      </c>
      <c r="E21">
        <f>IF(Rules!$B$13=Rules!$E$13,1,IF(Rules!$B$10=Rules!$F$10,SUM(Dealer!E14:E18),SUM(Dealer!E3:E7)))</f>
        <v>0.88876729296591961</v>
      </c>
      <c r="F21">
        <f>IF(Rules!$B$13=Rules!$E$13,1,IF(Rules!$B$10=Rules!$F$10,SUM(Dealer!F14:F18),SUM(Dealer!F3:F7)))</f>
        <v>0.89175382659528035</v>
      </c>
      <c r="G21">
        <f>IF(Rules!$B$13=Rules!$E$13,1,IF(Rules!$B$10=Rules!$F$10,SUM(Dealer!G14:G18),SUM(Dealer!G3:G7)))</f>
        <v>0.90283674384257995</v>
      </c>
      <c r="H21">
        <f>IF(Rules!$B$13=Rules!$E$13,1,IF(Rules!$B$10=Rules!$F$10,SUM(Dealer!H14:H18),SUM(Dealer!H3:H7)))</f>
        <v>0.92592629596452325</v>
      </c>
      <c r="I21">
        <f>IF(Rules!$B$13=Rules!$E$13,1,IF(Rules!$B$10=Rules!$F$10,SUM(Dealer!I14:I18),SUM(Dealer!I3:I7)))</f>
        <v>0.93060505318396614</v>
      </c>
      <c r="J21">
        <f>IF(Rules!$B$13=Rules!$E$13,1,IF(Rules!$B$10=Rules!$F$10,SUM(Dealer!J14:J18),SUM(Dealer!J3:J7)))</f>
        <v>0.93917615614724415</v>
      </c>
      <c r="K21">
        <f>IF(Rules!$B$13=Rules!$E$13,1,IF(Rules!$B$10=Rules!$F$10,SUM(Dealer!K14:K18),SUM(Dealer!K3:K7)))</f>
        <v>0.96262363326716827</v>
      </c>
    </row>
    <row r="22" spans="1:11" x14ac:dyDescent="0.2">
      <c r="A22">
        <v>22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2">
      <c r="A23">
        <v>23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2">
      <c r="A24">
        <v>24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2">
      <c r="A25">
        <v>25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2">
      <c r="A26">
        <v>26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2">
      <c r="A27">
        <v>27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2">
      <c r="A28">
        <v>28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2">
      <c r="A29">
        <v>29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0" spans="1:11" x14ac:dyDescent="0.2">
      <c r="A30">
        <v>30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</row>
    <row r="31" spans="1:11" x14ac:dyDescent="0.2">
      <c r="A31">
        <v>31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</row>
    <row r="33" spans="1:11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</row>
    <row r="34" spans="1:11" x14ac:dyDescent="0.2">
      <c r="A34">
        <v>11</v>
      </c>
      <c r="B34">
        <f>B11</f>
        <v>-0.66695077468551034</v>
      </c>
      <c r="C34">
        <f t="shared" ref="C34:K34" si="2">C11</f>
        <v>-0.29278372720927726</v>
      </c>
      <c r="D34">
        <f t="shared" si="2"/>
        <v>-0.2522502292357135</v>
      </c>
      <c r="E34">
        <f t="shared" si="2"/>
        <v>-0.21106310899491437</v>
      </c>
      <c r="F34">
        <f t="shared" si="2"/>
        <v>-0.16719266083547524</v>
      </c>
      <c r="G34">
        <f t="shared" si="2"/>
        <v>-0.1536990158300045</v>
      </c>
      <c r="H34">
        <f t="shared" si="2"/>
        <v>-0.47537518327693323</v>
      </c>
      <c r="I34">
        <f t="shared" si="2"/>
        <v>-0.51051751549761715</v>
      </c>
      <c r="J34">
        <f t="shared" si="2"/>
        <v>-0.5431496811311094</v>
      </c>
      <c r="K34">
        <f t="shared" si="2"/>
        <v>-0.54043033399498497</v>
      </c>
    </row>
    <row r="35" spans="1:11" x14ac:dyDescent="0.2">
      <c r="A35">
        <v>12</v>
      </c>
      <c r="B35">
        <f t="shared" ref="B35:K35" si="3">B12</f>
        <v>-0.66695077468551034</v>
      </c>
      <c r="C35">
        <f t="shared" si="3"/>
        <v>-0.29278372720927726</v>
      </c>
      <c r="D35">
        <f t="shared" si="3"/>
        <v>-0.2522502292357135</v>
      </c>
      <c r="E35">
        <f t="shared" si="3"/>
        <v>-0.21106310899491437</v>
      </c>
      <c r="F35">
        <f t="shared" si="3"/>
        <v>-0.16719266083547524</v>
      </c>
      <c r="G35">
        <f t="shared" si="3"/>
        <v>-0.1536990158300045</v>
      </c>
      <c r="H35">
        <f t="shared" si="3"/>
        <v>-0.47537518327693323</v>
      </c>
      <c r="I35">
        <f t="shared" si="3"/>
        <v>-0.51051751549761715</v>
      </c>
      <c r="J35">
        <f t="shared" si="3"/>
        <v>-0.5431496811311094</v>
      </c>
      <c r="K35">
        <f t="shared" si="3"/>
        <v>-0.54043033399498497</v>
      </c>
    </row>
    <row r="36" spans="1:11" x14ac:dyDescent="0.2">
      <c r="A36">
        <v>13</v>
      </c>
      <c r="B36">
        <f t="shared" ref="B36:K36" si="4">B13</f>
        <v>-0.66695077468551034</v>
      </c>
      <c r="C36">
        <f t="shared" si="4"/>
        <v>-0.29278372720927726</v>
      </c>
      <c r="D36">
        <f t="shared" si="4"/>
        <v>-0.2522502292357135</v>
      </c>
      <c r="E36">
        <f t="shared" si="4"/>
        <v>-0.21106310899491437</v>
      </c>
      <c r="F36">
        <f t="shared" si="4"/>
        <v>-0.16719266083547524</v>
      </c>
      <c r="G36">
        <f t="shared" si="4"/>
        <v>-0.1536990158300045</v>
      </c>
      <c r="H36">
        <f t="shared" si="4"/>
        <v>-0.47537518327693323</v>
      </c>
      <c r="I36">
        <f t="shared" si="4"/>
        <v>-0.51051751549761715</v>
      </c>
      <c r="J36">
        <f t="shared" si="4"/>
        <v>-0.5431496811311094</v>
      </c>
      <c r="K36">
        <f t="shared" si="4"/>
        <v>-0.54043033399498497</v>
      </c>
    </row>
    <row r="37" spans="1:11" x14ac:dyDescent="0.2">
      <c r="A37">
        <v>14</v>
      </c>
      <c r="B37">
        <f t="shared" ref="B37:K37" si="5">B14</f>
        <v>-0.66695077468551034</v>
      </c>
      <c r="C37">
        <f t="shared" si="5"/>
        <v>-0.29278372720927726</v>
      </c>
      <c r="D37">
        <f t="shared" si="5"/>
        <v>-0.2522502292357135</v>
      </c>
      <c r="E37">
        <f t="shared" si="5"/>
        <v>-0.21106310899491437</v>
      </c>
      <c r="F37">
        <f t="shared" si="5"/>
        <v>-0.16719266083547524</v>
      </c>
      <c r="G37">
        <f t="shared" si="5"/>
        <v>-0.1536990158300045</v>
      </c>
      <c r="H37">
        <f t="shared" si="5"/>
        <v>-0.47537518327693323</v>
      </c>
      <c r="I37">
        <f t="shared" si="5"/>
        <v>-0.51051751549761715</v>
      </c>
      <c r="J37">
        <f t="shared" si="5"/>
        <v>-0.5431496811311094</v>
      </c>
      <c r="K37">
        <f t="shared" si="5"/>
        <v>-0.54043033399498497</v>
      </c>
    </row>
    <row r="38" spans="1:11" x14ac:dyDescent="0.2">
      <c r="A38">
        <v>15</v>
      </c>
      <c r="B38">
        <f t="shared" ref="B38:K38" si="6">B15</f>
        <v>-0.66695077468551034</v>
      </c>
      <c r="C38">
        <f t="shared" si="6"/>
        <v>-0.29278372720927726</v>
      </c>
      <c r="D38">
        <f t="shared" si="6"/>
        <v>-0.2522502292357135</v>
      </c>
      <c r="E38">
        <f t="shared" si="6"/>
        <v>-0.21106310899491437</v>
      </c>
      <c r="F38">
        <f t="shared" si="6"/>
        <v>-0.16719266083547524</v>
      </c>
      <c r="G38">
        <f t="shared" si="6"/>
        <v>-0.1536990158300045</v>
      </c>
      <c r="H38">
        <f t="shared" si="6"/>
        <v>-0.47537518327693323</v>
      </c>
      <c r="I38">
        <f t="shared" si="6"/>
        <v>-0.51051751549761715</v>
      </c>
      <c r="J38">
        <f t="shared" si="6"/>
        <v>-0.5431496811311094</v>
      </c>
      <c r="K38">
        <f t="shared" si="6"/>
        <v>-0.54043033399498497</v>
      </c>
    </row>
    <row r="39" spans="1:11" x14ac:dyDescent="0.2">
      <c r="A39">
        <v>16</v>
      </c>
      <c r="B39">
        <f t="shared" ref="B39:K39" si="7">B16</f>
        <v>-0.66695077468551034</v>
      </c>
      <c r="C39">
        <f t="shared" si="7"/>
        <v>-0.29278372720927726</v>
      </c>
      <c r="D39">
        <f t="shared" si="7"/>
        <v>-0.2522502292357135</v>
      </c>
      <c r="E39">
        <f t="shared" si="7"/>
        <v>-0.21106310899491437</v>
      </c>
      <c r="F39">
        <f t="shared" si="7"/>
        <v>-0.16719266083547524</v>
      </c>
      <c r="G39">
        <f t="shared" si="7"/>
        <v>-0.1536990158300045</v>
      </c>
      <c r="H39">
        <f t="shared" si="7"/>
        <v>-0.47537518327693323</v>
      </c>
      <c r="I39">
        <f t="shared" si="7"/>
        <v>-0.51051751549761715</v>
      </c>
      <c r="J39">
        <f t="shared" si="7"/>
        <v>-0.5431496811311094</v>
      </c>
      <c r="K39">
        <f t="shared" si="7"/>
        <v>-0.54043033399498497</v>
      </c>
    </row>
    <row r="40" spans="1:11" x14ac:dyDescent="0.2">
      <c r="A40">
        <v>17</v>
      </c>
      <c r="B40">
        <f t="shared" ref="B40:K40" si="8">B17</f>
        <v>-0.47803347499473703</v>
      </c>
      <c r="C40">
        <f t="shared" si="8"/>
        <v>-0.15297458768154204</v>
      </c>
      <c r="D40">
        <f t="shared" si="8"/>
        <v>-0.11721624142457365</v>
      </c>
      <c r="E40">
        <f t="shared" si="8"/>
        <v>-8.0573373145316152E-2</v>
      </c>
      <c r="F40">
        <f t="shared" si="8"/>
        <v>-4.4941375564924446E-2</v>
      </c>
      <c r="G40">
        <f t="shared" si="8"/>
        <v>1.1739160673341853E-2</v>
      </c>
      <c r="H40">
        <f t="shared" si="8"/>
        <v>-0.10680898948269468</v>
      </c>
      <c r="I40">
        <f t="shared" si="8"/>
        <v>-0.38195097104844711</v>
      </c>
      <c r="J40">
        <f t="shared" si="8"/>
        <v>-0.42315423964521737</v>
      </c>
      <c r="K40">
        <f t="shared" si="8"/>
        <v>-0.41972063392881986</v>
      </c>
    </row>
    <row r="41" spans="1:11" x14ac:dyDescent="0.2">
      <c r="A41">
        <v>18</v>
      </c>
      <c r="B41">
        <f t="shared" ref="B41:K41" si="9">B18</f>
        <v>-0.10019887561319057</v>
      </c>
      <c r="C41">
        <f t="shared" si="9"/>
        <v>0.12174190222088771</v>
      </c>
      <c r="D41">
        <f t="shared" si="9"/>
        <v>0.14830007284131119</v>
      </c>
      <c r="E41">
        <f t="shared" si="9"/>
        <v>0.17585443719748528</v>
      </c>
      <c r="F41">
        <f t="shared" si="9"/>
        <v>0.19956119497617719</v>
      </c>
      <c r="G41">
        <f t="shared" si="9"/>
        <v>0.28344391604689856</v>
      </c>
      <c r="H41">
        <f t="shared" si="9"/>
        <v>0.3995541673365518</v>
      </c>
      <c r="I41">
        <f t="shared" si="9"/>
        <v>0.10595134861912359</v>
      </c>
      <c r="J41">
        <f t="shared" si="9"/>
        <v>-0.18316335667343331</v>
      </c>
      <c r="K41">
        <f t="shared" si="9"/>
        <v>-0.17830123379648949</v>
      </c>
    </row>
    <row r="42" spans="1:11" x14ac:dyDescent="0.2">
      <c r="A42">
        <v>19</v>
      </c>
      <c r="B42">
        <f t="shared" ref="B42:K42" si="10">B19</f>
        <v>0.27763572376835594</v>
      </c>
      <c r="C42">
        <f t="shared" si="10"/>
        <v>0.38630468602058993</v>
      </c>
      <c r="D42">
        <f t="shared" si="10"/>
        <v>0.4043629365977599</v>
      </c>
      <c r="E42">
        <f t="shared" si="10"/>
        <v>0.42317892482749653</v>
      </c>
      <c r="F42">
        <f t="shared" si="10"/>
        <v>0.43951210416088371</v>
      </c>
      <c r="G42">
        <f t="shared" si="10"/>
        <v>0.49597707378731914</v>
      </c>
      <c r="H42">
        <f t="shared" si="10"/>
        <v>0.6159764957534315</v>
      </c>
      <c r="I42">
        <f t="shared" si="10"/>
        <v>0.59385366828669439</v>
      </c>
      <c r="J42">
        <f t="shared" si="10"/>
        <v>0.28759675706758148</v>
      </c>
      <c r="K42">
        <f t="shared" si="10"/>
        <v>6.3118166335840831E-2</v>
      </c>
    </row>
    <row r="43" spans="1:11" x14ac:dyDescent="0.2">
      <c r="A43">
        <v>20</v>
      </c>
      <c r="B43">
        <f t="shared" ref="B43:K43" si="11">B20</f>
        <v>0.65547032314990239</v>
      </c>
      <c r="C43">
        <f t="shared" si="11"/>
        <v>0.63998657521683877</v>
      </c>
      <c r="D43">
        <f t="shared" si="11"/>
        <v>0.65027209425148136</v>
      </c>
      <c r="E43">
        <f t="shared" si="11"/>
        <v>0.66104996194807186</v>
      </c>
      <c r="F43">
        <f t="shared" si="11"/>
        <v>0.67035969063279999</v>
      </c>
      <c r="G43">
        <f t="shared" si="11"/>
        <v>0.70395857017134467</v>
      </c>
      <c r="H43">
        <f t="shared" si="11"/>
        <v>0.77322722653717491</v>
      </c>
      <c r="I43">
        <f t="shared" si="11"/>
        <v>0.79181515955189841</v>
      </c>
      <c r="J43">
        <f t="shared" si="11"/>
        <v>0.75835687080859626</v>
      </c>
      <c r="K43">
        <f t="shared" si="11"/>
        <v>0.55453756646817121</v>
      </c>
    </row>
    <row r="44" spans="1:11" x14ac:dyDescent="0.2">
      <c r="A44">
        <v>21</v>
      </c>
      <c r="B44">
        <f t="shared" ref="B44:K44" si="12">B21</f>
        <v>0.92219381142033785</v>
      </c>
      <c r="C44">
        <f t="shared" si="12"/>
        <v>0.88200651549403997</v>
      </c>
      <c r="D44">
        <f t="shared" si="12"/>
        <v>0.88530035730174927</v>
      </c>
      <c r="E44">
        <f t="shared" si="12"/>
        <v>0.88876729296591961</v>
      </c>
      <c r="F44">
        <f t="shared" si="12"/>
        <v>0.89175382659528035</v>
      </c>
      <c r="G44">
        <f t="shared" si="12"/>
        <v>0.90283674384257995</v>
      </c>
      <c r="H44">
        <f t="shared" si="12"/>
        <v>0.92592629596452325</v>
      </c>
      <c r="I44">
        <f t="shared" si="12"/>
        <v>0.93060505318396614</v>
      </c>
      <c r="J44">
        <f t="shared" si="12"/>
        <v>0.93917615614724415</v>
      </c>
      <c r="K44">
        <f t="shared" si="12"/>
        <v>0.96262363326716827</v>
      </c>
    </row>
    <row r="45" spans="1:11" x14ac:dyDescent="0.2">
      <c r="A45">
        <v>22</v>
      </c>
      <c r="B45">
        <f>B12</f>
        <v>-0.66695077468551034</v>
      </c>
      <c r="C45">
        <f t="shared" ref="C45:K45" si="13">C12</f>
        <v>-0.29278372720927726</v>
      </c>
      <c r="D45">
        <f t="shared" si="13"/>
        <v>-0.2522502292357135</v>
      </c>
      <c r="E45">
        <f t="shared" si="13"/>
        <v>-0.21106310899491437</v>
      </c>
      <c r="F45">
        <f t="shared" si="13"/>
        <v>-0.16719266083547524</v>
      </c>
      <c r="G45">
        <f t="shared" si="13"/>
        <v>-0.1536990158300045</v>
      </c>
      <c r="H45">
        <f t="shared" si="13"/>
        <v>-0.47537518327693323</v>
      </c>
      <c r="I45">
        <f t="shared" si="13"/>
        <v>-0.51051751549761715</v>
      </c>
      <c r="J45">
        <f t="shared" si="13"/>
        <v>-0.5431496811311094</v>
      </c>
      <c r="K45">
        <f t="shared" si="13"/>
        <v>-0.54043033399498497</v>
      </c>
    </row>
    <row r="46" spans="1:11" x14ac:dyDescent="0.2">
      <c r="A46">
        <v>23</v>
      </c>
      <c r="B46">
        <f t="shared" ref="B46:K46" si="14">B13</f>
        <v>-0.66695077468551034</v>
      </c>
      <c r="C46">
        <f t="shared" si="14"/>
        <v>-0.29278372720927726</v>
      </c>
      <c r="D46">
        <f t="shared" si="14"/>
        <v>-0.2522502292357135</v>
      </c>
      <c r="E46">
        <f t="shared" si="14"/>
        <v>-0.21106310899491437</v>
      </c>
      <c r="F46">
        <f t="shared" si="14"/>
        <v>-0.16719266083547524</v>
      </c>
      <c r="G46">
        <f t="shared" si="14"/>
        <v>-0.1536990158300045</v>
      </c>
      <c r="H46">
        <f t="shared" si="14"/>
        <v>-0.47537518327693323</v>
      </c>
      <c r="I46">
        <f t="shared" si="14"/>
        <v>-0.51051751549761715</v>
      </c>
      <c r="J46">
        <f t="shared" si="14"/>
        <v>-0.5431496811311094</v>
      </c>
      <c r="K46">
        <f t="shared" si="14"/>
        <v>-0.54043033399498497</v>
      </c>
    </row>
    <row r="47" spans="1:11" x14ac:dyDescent="0.2">
      <c r="A47">
        <v>24</v>
      </c>
      <c r="B47">
        <f t="shared" ref="B47:K47" si="15">B14</f>
        <v>-0.66695077468551034</v>
      </c>
      <c r="C47">
        <f t="shared" si="15"/>
        <v>-0.29278372720927726</v>
      </c>
      <c r="D47">
        <f t="shared" si="15"/>
        <v>-0.2522502292357135</v>
      </c>
      <c r="E47">
        <f t="shared" si="15"/>
        <v>-0.21106310899491437</v>
      </c>
      <c r="F47">
        <f t="shared" si="15"/>
        <v>-0.16719266083547524</v>
      </c>
      <c r="G47">
        <f t="shared" si="15"/>
        <v>-0.1536990158300045</v>
      </c>
      <c r="H47">
        <f t="shared" si="15"/>
        <v>-0.47537518327693323</v>
      </c>
      <c r="I47">
        <f t="shared" si="15"/>
        <v>-0.51051751549761715</v>
      </c>
      <c r="J47">
        <f t="shared" si="15"/>
        <v>-0.5431496811311094</v>
      </c>
      <c r="K47">
        <f t="shared" si="15"/>
        <v>-0.54043033399498497</v>
      </c>
    </row>
    <row r="48" spans="1:11" x14ac:dyDescent="0.2">
      <c r="A48">
        <v>25</v>
      </c>
      <c r="B48">
        <f t="shared" ref="B48:K48" si="16">B15</f>
        <v>-0.66695077468551034</v>
      </c>
      <c r="C48">
        <f t="shared" si="16"/>
        <v>-0.29278372720927726</v>
      </c>
      <c r="D48">
        <f t="shared" si="16"/>
        <v>-0.2522502292357135</v>
      </c>
      <c r="E48">
        <f t="shared" si="16"/>
        <v>-0.21106310899491437</v>
      </c>
      <c r="F48">
        <f t="shared" si="16"/>
        <v>-0.16719266083547524</v>
      </c>
      <c r="G48">
        <f t="shared" si="16"/>
        <v>-0.1536990158300045</v>
      </c>
      <c r="H48">
        <f t="shared" si="16"/>
        <v>-0.47537518327693323</v>
      </c>
      <c r="I48">
        <f t="shared" si="16"/>
        <v>-0.51051751549761715</v>
      </c>
      <c r="J48">
        <f t="shared" si="16"/>
        <v>-0.5431496811311094</v>
      </c>
      <c r="K48">
        <f t="shared" si="16"/>
        <v>-0.54043033399498497</v>
      </c>
    </row>
    <row r="49" spans="1:11" x14ac:dyDescent="0.2">
      <c r="A49">
        <v>26</v>
      </c>
      <c r="B49">
        <f t="shared" ref="B49:K49" si="17">B16</f>
        <v>-0.66695077468551034</v>
      </c>
      <c r="C49">
        <f t="shared" si="17"/>
        <v>-0.29278372720927726</v>
      </c>
      <c r="D49">
        <f t="shared" si="17"/>
        <v>-0.2522502292357135</v>
      </c>
      <c r="E49">
        <f t="shared" si="17"/>
        <v>-0.21106310899491437</v>
      </c>
      <c r="F49">
        <f t="shared" si="17"/>
        <v>-0.16719266083547524</v>
      </c>
      <c r="G49">
        <f t="shared" si="17"/>
        <v>-0.1536990158300045</v>
      </c>
      <c r="H49">
        <f t="shared" si="17"/>
        <v>-0.47537518327693323</v>
      </c>
      <c r="I49">
        <f t="shared" si="17"/>
        <v>-0.51051751549761715</v>
      </c>
      <c r="J49">
        <f t="shared" si="17"/>
        <v>-0.5431496811311094</v>
      </c>
      <c r="K49">
        <f t="shared" si="17"/>
        <v>-0.54043033399498497</v>
      </c>
    </row>
    <row r="50" spans="1:11" x14ac:dyDescent="0.2">
      <c r="A50">
        <v>27</v>
      </c>
      <c r="B50">
        <f t="shared" ref="B50:K50" si="18">B17</f>
        <v>-0.47803347499473703</v>
      </c>
      <c r="C50">
        <f t="shared" si="18"/>
        <v>-0.15297458768154204</v>
      </c>
      <c r="D50">
        <f t="shared" si="18"/>
        <v>-0.11721624142457365</v>
      </c>
      <c r="E50">
        <f t="shared" si="18"/>
        <v>-8.0573373145316152E-2</v>
      </c>
      <c r="F50">
        <f t="shared" si="18"/>
        <v>-4.4941375564924446E-2</v>
      </c>
      <c r="G50">
        <f t="shared" si="18"/>
        <v>1.1739160673341853E-2</v>
      </c>
      <c r="H50">
        <f t="shared" si="18"/>
        <v>-0.10680898948269468</v>
      </c>
      <c r="I50">
        <f t="shared" si="18"/>
        <v>-0.38195097104844711</v>
      </c>
      <c r="J50">
        <f t="shared" si="18"/>
        <v>-0.42315423964521737</v>
      </c>
      <c r="K50">
        <f t="shared" si="18"/>
        <v>-0.41972063392881986</v>
      </c>
    </row>
    <row r="51" spans="1:11" x14ac:dyDescent="0.2">
      <c r="A51">
        <v>28</v>
      </c>
      <c r="B51">
        <f t="shared" ref="B51:K51" si="19">B18</f>
        <v>-0.10019887561319057</v>
      </c>
      <c r="C51">
        <f t="shared" si="19"/>
        <v>0.12174190222088771</v>
      </c>
      <c r="D51">
        <f t="shared" si="19"/>
        <v>0.14830007284131119</v>
      </c>
      <c r="E51">
        <f t="shared" si="19"/>
        <v>0.17585443719748528</v>
      </c>
      <c r="F51">
        <f t="shared" si="19"/>
        <v>0.19956119497617719</v>
      </c>
      <c r="G51">
        <f t="shared" si="19"/>
        <v>0.28344391604689856</v>
      </c>
      <c r="H51">
        <f t="shared" si="19"/>
        <v>0.3995541673365518</v>
      </c>
      <c r="I51">
        <f t="shared" si="19"/>
        <v>0.10595134861912359</v>
      </c>
      <c r="J51">
        <f t="shared" si="19"/>
        <v>-0.18316335667343331</v>
      </c>
      <c r="K51">
        <f t="shared" si="19"/>
        <v>-0.17830123379648949</v>
      </c>
    </row>
    <row r="52" spans="1:11" x14ac:dyDescent="0.2">
      <c r="A52">
        <v>29</v>
      </c>
      <c r="B52">
        <f t="shared" ref="B52:K52" si="20">B19</f>
        <v>0.27763572376835594</v>
      </c>
      <c r="C52">
        <f t="shared" si="20"/>
        <v>0.38630468602058993</v>
      </c>
      <c r="D52">
        <f t="shared" si="20"/>
        <v>0.4043629365977599</v>
      </c>
      <c r="E52">
        <f t="shared" si="20"/>
        <v>0.42317892482749653</v>
      </c>
      <c r="F52">
        <f t="shared" si="20"/>
        <v>0.43951210416088371</v>
      </c>
      <c r="G52">
        <f t="shared" si="20"/>
        <v>0.49597707378731914</v>
      </c>
      <c r="H52">
        <f t="shared" si="20"/>
        <v>0.6159764957534315</v>
      </c>
      <c r="I52">
        <f t="shared" si="20"/>
        <v>0.59385366828669439</v>
      </c>
      <c r="J52">
        <f t="shared" si="20"/>
        <v>0.28759675706758148</v>
      </c>
      <c r="K52">
        <f t="shared" si="20"/>
        <v>6.3118166335840831E-2</v>
      </c>
    </row>
    <row r="53" spans="1:11" x14ac:dyDescent="0.2">
      <c r="A53">
        <v>30</v>
      </c>
      <c r="B53">
        <f t="shared" ref="B53:K53" si="21">B20</f>
        <v>0.65547032314990239</v>
      </c>
      <c r="C53">
        <f t="shared" si="21"/>
        <v>0.63998657521683877</v>
      </c>
      <c r="D53">
        <f t="shared" si="21"/>
        <v>0.65027209425148136</v>
      </c>
      <c r="E53">
        <f t="shared" si="21"/>
        <v>0.66104996194807186</v>
      </c>
      <c r="F53">
        <f t="shared" si="21"/>
        <v>0.67035969063279999</v>
      </c>
      <c r="G53">
        <f t="shared" si="21"/>
        <v>0.70395857017134467</v>
      </c>
      <c r="H53">
        <f t="shared" si="21"/>
        <v>0.77322722653717491</v>
      </c>
      <c r="I53">
        <f t="shared" si="21"/>
        <v>0.79181515955189841</v>
      </c>
      <c r="J53">
        <f t="shared" si="21"/>
        <v>0.75835687080859626</v>
      </c>
      <c r="K53">
        <f t="shared" si="21"/>
        <v>0.55453756646817121</v>
      </c>
    </row>
    <row r="54" spans="1:11" x14ac:dyDescent="0.2">
      <c r="A54">
        <v>31</v>
      </c>
      <c r="B54">
        <f t="shared" ref="B54:K54" si="22">B21</f>
        <v>0.92219381142033785</v>
      </c>
      <c r="C54">
        <f t="shared" si="22"/>
        <v>0.88200651549403997</v>
      </c>
      <c r="D54">
        <f t="shared" si="22"/>
        <v>0.88530035730174927</v>
      </c>
      <c r="E54">
        <f t="shared" si="22"/>
        <v>0.88876729296591961</v>
      </c>
      <c r="F54">
        <f t="shared" si="22"/>
        <v>0.89175382659528035</v>
      </c>
      <c r="G54">
        <f t="shared" si="22"/>
        <v>0.90283674384257995</v>
      </c>
      <c r="H54">
        <f t="shared" si="22"/>
        <v>0.92592629596452325</v>
      </c>
      <c r="I54">
        <f t="shared" si="22"/>
        <v>0.93060505318396614</v>
      </c>
      <c r="J54">
        <f t="shared" si="22"/>
        <v>0.93917615614724415</v>
      </c>
      <c r="K54">
        <f t="shared" si="22"/>
        <v>0.96262363326716827</v>
      </c>
    </row>
  </sheetData>
  <sheetProtection sheet="1" objects="1" scenarios="1"/>
  <phoneticPr fontId="16" type="noConversion"/>
  <pageMargins left="0.7" right="0.7" top="0.75" bottom="0.75" header="0.3" footer="0.3"/>
  <pageSetup paperSize="9" orientation="landscape" horizontalDpi="0" verticalDpi="0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>
    <pageSetUpPr fitToPage="1"/>
  </sheetPr>
  <dimension ref="A1:W54"/>
  <sheetViews>
    <sheetView workbookViewId="0">
      <selection activeCell="C7" sqref="C7:C16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0.99999999999999978</v>
      </c>
    </row>
    <row r="2" spans="1:23" x14ac:dyDescent="0.2">
      <c r="A2" t="s">
        <v>40</v>
      </c>
      <c r="B2" s="149" t="s">
        <v>125</v>
      </c>
      <c r="C2" s="155">
        <f>Analysis!B27</f>
        <v>0.29753817874725591</v>
      </c>
      <c r="D2" s="149" t="s">
        <v>126</v>
      </c>
      <c r="E2" s="155">
        <f>Analysis!H27</f>
        <v>0.70246182125274392</v>
      </c>
      <c r="F2" s="149" t="s">
        <v>47</v>
      </c>
      <c r="G2" s="155">
        <f>Analysis!S27</f>
        <v>5.06805271316908</v>
      </c>
      <c r="H2" t="s">
        <v>156</v>
      </c>
      <c r="I2" s="169">
        <f>Analysis!T27</f>
        <v>-5.1068376034815426</v>
      </c>
      <c r="J2" t="s">
        <v>48</v>
      </c>
      <c r="K2" s="169">
        <f>C2*G2+E2*I2</f>
        <v>-2.0794192697122256</v>
      </c>
      <c r="L2" t="s">
        <v>47</v>
      </c>
      <c r="M2" s="176">
        <v>2</v>
      </c>
      <c r="N2" t="s">
        <v>156</v>
      </c>
      <c r="O2" s="176">
        <v>4</v>
      </c>
    </row>
    <row r="4" spans="1:23" x14ac:dyDescent="0.2">
      <c r="A4" t="s">
        <v>123</v>
      </c>
      <c r="B4">
        <f>$C$2</f>
        <v>0.29753817874725591</v>
      </c>
      <c r="C4" t="s">
        <v>124</v>
      </c>
      <c r="D4">
        <f>$E$2</f>
        <v>0.70246182125274392</v>
      </c>
      <c r="E4" t="s">
        <v>47</v>
      </c>
      <c r="F4">
        <f>G2</f>
        <v>5.06805271316908</v>
      </c>
      <c r="G4" t="s">
        <v>156</v>
      </c>
      <c r="H4">
        <f>I2</f>
        <v>-5.1068376034815426</v>
      </c>
      <c r="I4" t="s">
        <v>48</v>
      </c>
      <c r="J4">
        <f>K2</f>
        <v>-2.0794192697122256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60">
        <v>-10</v>
      </c>
      <c r="N6" s="104" t="s">
        <v>136</v>
      </c>
      <c r="R6" s="188" t="s">
        <v>49</v>
      </c>
      <c r="S6" s="164" t="s">
        <v>130</v>
      </c>
      <c r="T6" s="165" t="s">
        <v>137</v>
      </c>
      <c r="U6" s="268" t="s">
        <v>48</v>
      </c>
      <c r="V6" s="175" t="s">
        <v>47</v>
      </c>
      <c r="W6" s="168" t="s">
        <v>156</v>
      </c>
    </row>
    <row r="7" spans="1:23" x14ac:dyDescent="0.2">
      <c r="A7" s="101">
        <v>1</v>
      </c>
      <c r="B7" s="95">
        <f>C7*B4</f>
        <v>0.29753817874725591</v>
      </c>
      <c r="C7" s="95">
        <v>1</v>
      </c>
      <c r="D7" s="22">
        <f>C7*D4</f>
        <v>0.70246182125274392</v>
      </c>
      <c r="E7" s="2"/>
      <c r="F7" s="2"/>
      <c r="G7" s="2"/>
      <c r="H7" s="2"/>
      <c r="I7" s="2"/>
      <c r="J7" s="2"/>
      <c r="K7" s="2"/>
      <c r="L7" s="2"/>
      <c r="M7" s="261"/>
      <c r="N7" s="96">
        <f>B7+D7</f>
        <v>0.99999999999999978</v>
      </c>
      <c r="R7" s="189">
        <f>B7-D7</f>
        <v>-0.40492364250548801</v>
      </c>
      <c r="S7" s="109">
        <f>SUM(C7)*$B$4*$F$4</f>
        <v>1.507939174071417</v>
      </c>
      <c r="T7" s="263">
        <f>SUM(C7)*$D$4*$H$4</f>
        <v>-3.5873584437836423</v>
      </c>
      <c r="U7" s="265">
        <f>S7+T7</f>
        <v>-2.0794192697122256</v>
      </c>
      <c r="V7" s="109">
        <f>(U7+W7*D7)/B7</f>
        <v>-4.6278344992799711</v>
      </c>
      <c r="W7" s="57">
        <f>COUNT(D7:M7)</f>
        <v>1</v>
      </c>
    </row>
    <row r="8" spans="1:23" x14ac:dyDescent="0.2">
      <c r="A8" s="99">
        <v>2</v>
      </c>
      <c r="B8" s="97">
        <f>C8*B4</f>
        <v>0.3761588413677644</v>
      </c>
      <c r="C8" s="97">
        <f>1/(1-B4*D4*C7)</f>
        <v>1.2642372247875218</v>
      </c>
      <c r="D8" s="144">
        <f>C8*D4</f>
        <v>0.8880783834197572</v>
      </c>
      <c r="E8" s="1">
        <f>D8*D4</f>
        <v>0.62384115863223522</v>
      </c>
      <c r="F8" s="1"/>
      <c r="G8" s="1"/>
      <c r="H8" s="1"/>
      <c r="I8" s="1"/>
      <c r="J8" s="1"/>
      <c r="K8" s="1"/>
      <c r="L8" s="1"/>
      <c r="M8" s="262"/>
      <c r="N8" s="97">
        <f>B8+E8</f>
        <v>0.99999999999999956</v>
      </c>
      <c r="R8" s="190">
        <f>B8-E8</f>
        <v>-0.24768231726447082</v>
      </c>
      <c r="S8" s="93">
        <f>SUM(C8:D8)*$B$4*$F$4</f>
        <v>3.2455610205811039</v>
      </c>
      <c r="T8" s="262">
        <f>SUM(C8:D8)*$D$4*$H$4</f>
        <v>-7.721127570789708</v>
      </c>
      <c r="U8" s="266">
        <f>S8+T8</f>
        <v>-4.4755665502086046</v>
      </c>
      <c r="V8" s="93">
        <f>(U8+W8*E8)/B8</f>
        <v>-8.5811733713532057</v>
      </c>
      <c r="W8" s="9">
        <f>COUNT(D8:M8)</f>
        <v>2</v>
      </c>
    </row>
    <row r="9" spans="1:23" x14ac:dyDescent="0.2">
      <c r="A9" s="99">
        <v>3</v>
      </c>
      <c r="B9" s="97">
        <f>C9*B4</f>
        <v>0.4043941726480127</v>
      </c>
      <c r="C9" s="97">
        <f>1/(1-D4*B4*C8)</f>
        <v>1.3591337231096172</v>
      </c>
      <c r="D9" s="144">
        <f>C9*D4*C8</f>
        <v>1.2070172796704648</v>
      </c>
      <c r="E9" s="1">
        <f>D9*(D4)</f>
        <v>0.84788355656084724</v>
      </c>
      <c r="F9" s="1">
        <f>E9*D4</f>
        <v>0.59560582735198664</v>
      </c>
      <c r="G9" s="1"/>
      <c r="H9" s="1"/>
      <c r="I9" s="1"/>
      <c r="J9" s="1"/>
      <c r="K9" s="1"/>
      <c r="L9" s="1"/>
      <c r="M9" s="262"/>
      <c r="N9" s="97">
        <f>B9+F9</f>
        <v>0.99999999999999933</v>
      </c>
      <c r="R9" s="190">
        <f>B9-F9</f>
        <v>-0.19121165470397394</v>
      </c>
      <c r="S9" s="93">
        <f>SUM(C9:E9)*$B$4*$F$4</f>
        <v>5.1481564536638347</v>
      </c>
      <c r="T9" s="262">
        <f>SUM(C9:E9)*$D$4*$H$4</f>
        <v>-12.247365703820851</v>
      </c>
      <c r="U9" s="266">
        <f t="shared" ref="U9:U16" si="0">S9+T9</f>
        <v>-7.0992092501570161</v>
      </c>
      <c r="V9" s="93">
        <f>(U9+W9*F9)/B9</f>
        <v>-13.136667458175754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0.41559759814256747</v>
      </c>
      <c r="C10" s="97">
        <f>1/(1-D4*B4*C9)</f>
        <v>1.3967874640235574</v>
      </c>
      <c r="D10" s="144">
        <f>C10*D4*C9</f>
        <v>1.3335682354922556</v>
      </c>
      <c r="E10" s="1">
        <f>D10*D4*C8</f>
        <v>1.1843131227559003</v>
      </c>
      <c r="F10" s="1">
        <f>E10*D4</f>
        <v>0.83193475314463416</v>
      </c>
      <c r="G10" s="1">
        <f>F10*D4</f>
        <v>0.58440240185743164</v>
      </c>
      <c r="H10" s="1"/>
      <c r="I10" s="1"/>
      <c r="J10" s="1"/>
      <c r="K10" s="1"/>
      <c r="L10" s="1"/>
      <c r="M10" s="262"/>
      <c r="N10" s="97">
        <f>B10+G10</f>
        <v>0.99999999999999911</v>
      </c>
      <c r="R10" s="190">
        <f>B10-G10</f>
        <v>-0.16880480371486417</v>
      </c>
      <c r="S10" s="93">
        <f>SUM(C10:F10)*$B$4*$F$4</f>
        <v>7.1575894751577609</v>
      </c>
      <c r="T10" s="262">
        <f>SUM(C10:F10)*$D$4*$H$4</f>
        <v>-17.027768415563461</v>
      </c>
      <c r="U10" s="266">
        <f t="shared" si="0"/>
        <v>-9.870178940405701</v>
      </c>
      <c r="V10" s="93">
        <f>(U10+W10*G10)/B10</f>
        <v>-18.124670033323884</v>
      </c>
      <c r="W10" s="9">
        <f t="shared" si="1"/>
        <v>4</v>
      </c>
    </row>
    <row r="11" spans="1:23" x14ac:dyDescent="0.2">
      <c r="A11" s="99">
        <v>5</v>
      </c>
      <c r="B11" s="97">
        <f>C11*B4</f>
        <v>0.42021691135586253</v>
      </c>
      <c r="C11" s="97">
        <f>1/(1-D4*B4*C10)</f>
        <v>1.4123125748941825</v>
      </c>
      <c r="D11" s="144">
        <f>C11*D4*C10</f>
        <v>1.3857467859424579</v>
      </c>
      <c r="E11" s="1">
        <f>D11*D4*C9</f>
        <v>1.3230272634643154</v>
      </c>
      <c r="F11" s="1">
        <f>E11*D4*C8</f>
        <v>1.1749519133576543</v>
      </c>
      <c r="G11" s="1">
        <f>F11*D4</f>
        <v>0.82535886094161404</v>
      </c>
      <c r="H11" s="1">
        <f>G11*D4</f>
        <v>0.57978308864413641</v>
      </c>
      <c r="I11" s="1"/>
      <c r="J11" s="1"/>
      <c r="K11" s="1"/>
      <c r="L11" s="1"/>
      <c r="M11" s="262"/>
      <c r="N11" s="97">
        <f>B11+H11</f>
        <v>0.99999999999999889</v>
      </c>
      <c r="R11" s="190">
        <f>B11-H11</f>
        <v>-0.15956617728827388</v>
      </c>
      <c r="S11" s="93">
        <f>SUM(C11:G11)*$B$4*$F$4</f>
        <v>9.2306949374081437</v>
      </c>
      <c r="T11" s="262">
        <f>SUM(C11:G11)*$D$4*$H$4</f>
        <v>-21.959646645623739</v>
      </c>
      <c r="U11" s="266">
        <f t="shared" si="0"/>
        <v>-12.728951708215595</v>
      </c>
      <c r="V11" s="93">
        <f>(U11+W11*H11)/B11</f>
        <v>-23.392766924295209</v>
      </c>
      <c r="W11" s="9">
        <f t="shared" si="1"/>
        <v>5</v>
      </c>
    </row>
    <row r="12" spans="1:23" x14ac:dyDescent="0.2">
      <c r="A12" s="99">
        <v>6</v>
      </c>
      <c r="B12" s="97">
        <f>C12*B4</f>
        <v>0.42215154772520735</v>
      </c>
      <c r="C12" s="97">
        <f>1/(1-D4*B4*C11)</f>
        <v>1.4188147198541683</v>
      </c>
      <c r="D12" s="144">
        <f>C12*D4*C11</f>
        <v>1.4075999309316563</v>
      </c>
      <c r="E12" s="1">
        <f>D12*D4*C10</f>
        <v>1.3811227874449221</v>
      </c>
      <c r="F12" s="1">
        <f>E12*D4*C9</f>
        <v>1.3186125492174428</v>
      </c>
      <c r="G12" s="1">
        <f>F12*D4*C8</f>
        <v>1.1710313010660316</v>
      </c>
      <c r="H12" s="1">
        <f>G12*D4</f>
        <v>0.82260478049081487</v>
      </c>
      <c r="I12" s="1">
        <f>H12*D4</f>
        <v>0.57784845227479142</v>
      </c>
      <c r="J12" s="1"/>
      <c r="K12" s="1"/>
      <c r="L12" s="1"/>
      <c r="M12" s="262"/>
      <c r="N12" s="97">
        <f>B12+I12</f>
        <v>0.99999999999999878</v>
      </c>
      <c r="R12" s="190">
        <f>B12-I12</f>
        <v>-0.15569690454958407</v>
      </c>
      <c r="S12" s="93">
        <f>SUM(C12:H12)*$B$4*$F$4</f>
        <v>11.339379994089203</v>
      </c>
      <c r="T12" s="262">
        <f>SUM(C12:H12)*$D$4*$H$4</f>
        <v>-26.976168050091822</v>
      </c>
      <c r="U12" s="266">
        <f t="shared" si="0"/>
        <v>-15.636788056002619</v>
      </c>
      <c r="V12" s="93">
        <f>(U12+W12*I12)/B12</f>
        <v>-28.827792786574211</v>
      </c>
      <c r="W12" s="9">
        <f t="shared" si="1"/>
        <v>6</v>
      </c>
    </row>
    <row r="13" spans="1:23" x14ac:dyDescent="0.2">
      <c r="A13" s="99">
        <v>7</v>
      </c>
      <c r="B13" s="97">
        <f>C13*B4</f>
        <v>0.42296710478447663</v>
      </c>
      <c r="C13" s="97">
        <f>1/(1-D4*B4*C12)</f>
        <v>1.421555736360699</v>
      </c>
      <c r="D13" s="144">
        <f>C13*D4*C12</f>
        <v>1.4168122495593749</v>
      </c>
      <c r="E13" s="1">
        <f>D13*D4*C11</f>
        <v>1.4056132888358275</v>
      </c>
      <c r="F13" s="1">
        <f>E13*D4*C10</f>
        <v>1.3791735143533623</v>
      </c>
      <c r="G13" s="1">
        <f>F13*D4*C9</f>
        <v>1.3167515011022801</v>
      </c>
      <c r="H13" s="1">
        <f>G13*D4*C8</f>
        <v>1.1693785444644516</v>
      </c>
      <c r="I13" s="1">
        <f>H13*D4</f>
        <v>0.82144378207838142</v>
      </c>
      <c r="J13" s="1">
        <f>I13*D4</f>
        <v>0.57703289521552192</v>
      </c>
      <c r="K13" s="1"/>
      <c r="L13" s="1"/>
      <c r="M13" s="262"/>
      <c r="N13" s="97">
        <f>B13+J13</f>
        <v>0.99999999999999856</v>
      </c>
      <c r="R13" s="190">
        <f>B13-J13</f>
        <v>-0.15406579043104529</v>
      </c>
      <c r="S13" s="93">
        <f>SUM(C13:I13)*$B$4*$F$4</f>
        <v>13.466995534204564</v>
      </c>
      <c r="T13" s="262">
        <f>SUM(C13:I13)*$D$4*$H$4</f>
        <v>-32.037724712454022</v>
      </c>
      <c r="U13" s="266">
        <f t="shared" si="0"/>
        <v>-18.570729178249458</v>
      </c>
      <c r="V13" s="93">
        <f>(U13+W13*J13)/B13</f>
        <v>-34.356097075552356</v>
      </c>
      <c r="W13" s="9">
        <f t="shared" si="1"/>
        <v>7</v>
      </c>
    </row>
    <row r="14" spans="1:23" x14ac:dyDescent="0.2">
      <c r="A14" s="99">
        <v>8</v>
      </c>
      <c r="B14" s="97">
        <f>C14*B4</f>
        <v>0.42331185250032083</v>
      </c>
      <c r="C14" s="97">
        <f>1/(1-D4*B4*C13)</f>
        <v>1.422714403518291</v>
      </c>
      <c r="D14" s="144">
        <f>C14*D4*C13</f>
        <v>1.4207064293331113</v>
      </c>
      <c r="E14" s="1">
        <f>D14*D4*C12</f>
        <v>1.4159657765231477</v>
      </c>
      <c r="F14" s="1">
        <f>E14*D4*C11</f>
        <v>1.4047735066072844</v>
      </c>
      <c r="G14" s="1">
        <f>F14*D4*C10</f>
        <v>1.3783495285411689</v>
      </c>
      <c r="H14" s="1">
        <f>G14*D4*C9</f>
        <v>1.3159648092583598</v>
      </c>
      <c r="I14" s="1">
        <f>H14*D4*C8</f>
        <v>1.1686799004434532</v>
      </c>
      <c r="J14" s="1">
        <f>I14*D4</f>
        <v>0.82095301132698351</v>
      </c>
      <c r="K14" s="1">
        <f>J14*D4</f>
        <v>0.57668814749967734</v>
      </c>
      <c r="L14" s="1"/>
      <c r="M14" s="262"/>
      <c r="N14" s="97">
        <f>B14+K14</f>
        <v>0.99999999999999822</v>
      </c>
      <c r="R14" s="190">
        <f>B14-K14</f>
        <v>-0.15337629499935651</v>
      </c>
      <c r="S14" s="93">
        <f>SUM(C14:J14)*$B$4*$F$4</f>
        <v>15.604316474012528</v>
      </c>
      <c r="T14" s="262">
        <f>SUM(C14:J14)*$D$4*$H$4</f>
        <v>-37.122370334991949</v>
      </c>
      <c r="U14" s="266">
        <f t="shared" si="0"/>
        <v>-21.518053860979421</v>
      </c>
      <c r="V14" s="93">
        <f>(U14+W14*K14)/B14</f>
        <v>-39.934031095831863</v>
      </c>
      <c r="W14" s="9">
        <f t="shared" si="1"/>
        <v>8</v>
      </c>
    </row>
    <row r="15" spans="1:23" x14ac:dyDescent="0.2">
      <c r="A15" s="99">
        <v>9</v>
      </c>
      <c r="B15" s="97">
        <f>C15*B4</f>
        <v>0.42345775137362096</v>
      </c>
      <c r="C15" s="97">
        <f>1/(1-D4*B4*C14)</f>
        <v>1.4232047569711299</v>
      </c>
      <c r="D15" s="144">
        <f>C15*D4*C14</f>
        <v>1.4223544647378572</v>
      </c>
      <c r="E15" s="1">
        <f>D15*D4*C13</f>
        <v>1.4203469985589068</v>
      </c>
      <c r="F15" s="1">
        <f>E15*D4*C12</f>
        <v>1.4156075451075685</v>
      </c>
      <c r="G15" s="1">
        <f>F15*D4*C11</f>
        <v>1.404418106773345</v>
      </c>
      <c r="H15" s="1">
        <f>G15*D4*C10</f>
        <v>1.3780008138257718</v>
      </c>
      <c r="I15" s="1">
        <f>H15*D4*C9</f>
        <v>1.3156318775277422</v>
      </c>
      <c r="J15" s="1">
        <f>I15*D4*C8</f>
        <v>1.1683842309703372</v>
      </c>
      <c r="K15" s="1">
        <f>J15*D4</f>
        <v>0.82074531481040969</v>
      </c>
      <c r="L15" s="1">
        <f>K15*D4</f>
        <v>0.57654224862637704</v>
      </c>
      <c r="M15" s="262"/>
      <c r="N15" s="97">
        <f>B15+L15</f>
        <v>0.999999999999998</v>
      </c>
      <c r="R15" s="190">
        <f>B15-L15</f>
        <v>-0.15308449725275608</v>
      </c>
      <c r="S15" s="93">
        <f>SUM(C15:K15)*$B$4*$F$4</f>
        <v>17.746474875051462</v>
      </c>
      <c r="T15" s="262">
        <f>SUM(C15:K15)*$D$4*$H$4</f>
        <v>-42.218524185243425</v>
      </c>
      <c r="U15" s="266">
        <f t="shared" si="0"/>
        <v>-24.472049310191963</v>
      </c>
      <c r="V15" s="93">
        <f>(U15+W15*L15)/B15</f>
        <v>-45.537409599903249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0.42351952676261367</v>
      </c>
      <c r="C16" s="145">
        <f>1/(1-D4*B4*C15)</f>
        <v>1.4234123786929971</v>
      </c>
      <c r="D16" s="153">
        <f>C16*D4*C15</f>
        <v>1.423052263328751</v>
      </c>
      <c r="E16" s="111">
        <f>D16*D4*C14</f>
        <v>1.4222020622026497</v>
      </c>
      <c r="F16" s="111">
        <f>E16*D4*C13</f>
        <v>1.420194811119825</v>
      </c>
      <c r="G16" s="111">
        <f>F16*D4*C12</f>
        <v>1.415455865491775</v>
      </c>
      <c r="H16" s="111">
        <f>G16*D4*C11</f>
        <v>1.4042676260842692</v>
      </c>
      <c r="I16" s="111">
        <f>H16*D4*C10</f>
        <v>1.3778531636986397</v>
      </c>
      <c r="J16" s="111">
        <f>I16*D4*C9</f>
        <v>1.3154909101117387</v>
      </c>
      <c r="K16" s="111">
        <f>J16*D4*C8</f>
        <v>1.1682590408554179</v>
      </c>
      <c r="L16" s="111">
        <f>K16*D4</f>
        <v>0.82065737353428059</v>
      </c>
      <c r="M16" s="264">
        <f>L16*D4</f>
        <v>0.57648047323738416</v>
      </c>
      <c r="N16" s="145">
        <f>B16+M16</f>
        <v>0.99999999999999778</v>
      </c>
      <c r="R16" s="191">
        <f>B16-M16</f>
        <v>-0.15296094647477049</v>
      </c>
      <c r="S16" s="94">
        <f>SUM(C16:L16)*$B$4*$F$4</f>
        <v>19.890992661215446</v>
      </c>
      <c r="T16" s="264">
        <f>SUM(C16:L16)*$D$4*$H$4</f>
        <v>-47.320290967565398</v>
      </c>
      <c r="U16" s="267">
        <f t="shared" si="0"/>
        <v>-27.429298306349953</v>
      </c>
      <c r="V16" s="94">
        <f>(U16+W16*M16)/B16</f>
        <v>-51.153470395048025</v>
      </c>
      <c r="W16" s="10">
        <f t="shared" si="1"/>
        <v>10</v>
      </c>
    </row>
    <row r="18" spans="1:21" x14ac:dyDescent="0.2">
      <c r="A18" s="356" t="s">
        <v>200</v>
      </c>
      <c r="B18" s="356"/>
      <c r="C18" s="356"/>
      <c r="D18" s="356"/>
      <c r="E18" s="356"/>
      <c r="F18" s="356"/>
      <c r="O18" s="356" t="s">
        <v>201</v>
      </c>
      <c r="P18" s="356"/>
      <c r="Q18" s="356"/>
      <c r="R18" s="356"/>
      <c r="S18" s="356"/>
      <c r="T18" s="356"/>
    </row>
    <row r="19" spans="1:21" ht="17" thickBot="1" x14ac:dyDescent="0.25"/>
    <row r="20" spans="1:21" ht="17" thickBot="1" x14ac:dyDescent="0.25">
      <c r="A20" s="29" t="s">
        <v>135</v>
      </c>
      <c r="B20" s="19" t="s">
        <v>140</v>
      </c>
      <c r="C20" s="19" t="s">
        <v>139</v>
      </c>
      <c r="D20" s="19" t="s">
        <v>138</v>
      </c>
      <c r="E20" s="167" t="s">
        <v>151</v>
      </c>
      <c r="F20" s="168" t="s">
        <v>152</v>
      </c>
      <c r="G20" s="166" t="s">
        <v>47</v>
      </c>
      <c r="O20" s="29" t="s">
        <v>135</v>
      </c>
      <c r="P20" s="118" t="s">
        <v>140</v>
      </c>
      <c r="Q20" s="118" t="s">
        <v>139</v>
      </c>
      <c r="R20" s="118" t="s">
        <v>138</v>
      </c>
      <c r="S20" s="166" t="s">
        <v>151</v>
      </c>
      <c r="T20" s="168" t="s">
        <v>152</v>
      </c>
      <c r="U20" s="293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4</v>
      </c>
      <c r="D21" s="57">
        <f>SUM($C$21:C21)</f>
        <v>4</v>
      </c>
      <c r="E21" s="57">
        <f t="shared" ref="E21:E30" si="3">D21/R7</f>
        <v>-9.878405655075543</v>
      </c>
      <c r="F21" s="8">
        <f t="shared" ref="F21:F30" si="4">U7/E21</f>
        <v>0.21050150624699404</v>
      </c>
      <c r="G21" s="286">
        <f>E21*U7</f>
        <v>20.541347073198306</v>
      </c>
      <c r="O21" s="101">
        <v>1</v>
      </c>
      <c r="P21" s="109">
        <v>1</v>
      </c>
      <c r="Q21" s="110">
        <f>P21*4+6</f>
        <v>10</v>
      </c>
      <c r="R21" s="57">
        <f>SUM($Q$21)</f>
        <v>10</v>
      </c>
      <c r="S21" s="281">
        <f>R21/R7</f>
        <v>-24.696014137688856</v>
      </c>
      <c r="T21" s="8">
        <f>U7/S21</f>
        <v>8.4200602498797614E-2</v>
      </c>
      <c r="U21" s="286">
        <f>S21*U7</f>
        <v>51.35336768299576</v>
      </c>
    </row>
    <row r="22" spans="1:21" x14ac:dyDescent="0.2">
      <c r="A22" s="97">
        <v>2</v>
      </c>
      <c r="B22" s="93">
        <f>C21</f>
        <v>4</v>
      </c>
      <c r="C22" s="1">
        <f t="shared" si="2"/>
        <v>16</v>
      </c>
      <c r="D22" s="9">
        <f>SUM($C$21:C22)</f>
        <v>20</v>
      </c>
      <c r="E22" s="9">
        <f t="shared" si="3"/>
        <v>-80.748598530933279</v>
      </c>
      <c r="F22" s="9">
        <f t="shared" si="4"/>
        <v>5.5425934711351044E-2</v>
      </c>
      <c r="G22" s="287">
        <f t="shared" ref="G22:G30" si="5">E22*U8</f>
        <v>361.39572656126865</v>
      </c>
      <c r="O22" s="99">
        <v>2</v>
      </c>
      <c r="P22" s="93">
        <f>Q21</f>
        <v>10</v>
      </c>
      <c r="Q22" s="1">
        <f t="shared" ref="Q22:Q30" si="6">P22*4+6</f>
        <v>46</v>
      </c>
      <c r="R22" s="9">
        <f>SUM($Q$21:Q22)</f>
        <v>56</v>
      </c>
      <c r="S22" s="282">
        <f t="shared" ref="S22:S30" si="7">R22/R8</f>
        <v>-226.09607588661319</v>
      </c>
      <c r="T22" s="9">
        <f>U8/S22</f>
        <v>1.9794976682625372E-2</v>
      </c>
      <c r="U22" s="287">
        <f t="shared" ref="U22:U30" si="8">S22*U8</f>
        <v>1011.9080343715523</v>
      </c>
    </row>
    <row r="23" spans="1:21" x14ac:dyDescent="0.2">
      <c r="A23" s="97">
        <v>3</v>
      </c>
      <c r="B23" s="93">
        <f t="shared" ref="B23:B30" si="9">C22</f>
        <v>16</v>
      </c>
      <c r="C23" s="1">
        <f t="shared" si="2"/>
        <v>64</v>
      </c>
      <c r="D23" s="9">
        <f>SUM($C$21:C23)</f>
        <v>84</v>
      </c>
      <c r="E23" s="9">
        <f t="shared" si="3"/>
        <v>-439.30376592392008</v>
      </c>
      <c r="F23" s="9">
        <f t="shared" si="4"/>
        <v>1.6160137473955727E-2</v>
      </c>
      <c r="G23" s="287">
        <f t="shared" si="5"/>
        <v>3118.7093586759061</v>
      </c>
      <c r="O23" s="99">
        <v>3</v>
      </c>
      <c r="P23" s="93">
        <f t="shared" ref="P23:P30" si="10">Q22</f>
        <v>46</v>
      </c>
      <c r="Q23" s="1">
        <f t="shared" si="6"/>
        <v>190</v>
      </c>
      <c r="R23" s="9">
        <f>SUM($Q$21:Q23)</f>
        <v>246</v>
      </c>
      <c r="S23" s="282">
        <f t="shared" si="7"/>
        <v>-1286.532457348623</v>
      </c>
      <c r="T23" s="9">
        <f t="shared" ref="T23:T30" si="11">U9/S23</f>
        <v>5.5180957228141512E-3</v>
      </c>
      <c r="U23" s="287">
        <f t="shared" si="8"/>
        <v>9133.3631218365808</v>
      </c>
    </row>
    <row r="24" spans="1:21" x14ac:dyDescent="0.2">
      <c r="A24" s="97">
        <v>4</v>
      </c>
      <c r="B24" s="93">
        <f t="shared" si="9"/>
        <v>64</v>
      </c>
      <c r="C24" s="1">
        <f t="shared" si="2"/>
        <v>256</v>
      </c>
      <c r="D24" s="9">
        <f>SUM($C$21:C24)</f>
        <v>340</v>
      </c>
      <c r="E24" s="9">
        <f t="shared" si="3"/>
        <v>-2014.1606904404769</v>
      </c>
      <c r="F24" s="9">
        <f t="shared" si="4"/>
        <v>4.9003929960757956E-3</v>
      </c>
      <c r="G24" s="287">
        <f t="shared" si="5"/>
        <v>19880.126429378601</v>
      </c>
      <c r="O24" s="99">
        <v>4</v>
      </c>
      <c r="P24" s="93">
        <f t="shared" si="10"/>
        <v>190</v>
      </c>
      <c r="Q24" s="1">
        <f t="shared" si="6"/>
        <v>766</v>
      </c>
      <c r="R24" s="9">
        <f>SUM($Q$21:Q24)</f>
        <v>1012</v>
      </c>
      <c r="S24" s="282">
        <f t="shared" si="7"/>
        <v>-5995.0900550757724</v>
      </c>
      <c r="T24" s="9">
        <f t="shared" si="11"/>
        <v>1.6463770935432514E-3</v>
      </c>
      <c r="U24" s="287">
        <f t="shared" si="8"/>
        <v>59172.611607444545</v>
      </c>
    </row>
    <row r="25" spans="1:21" x14ac:dyDescent="0.2">
      <c r="A25" s="97">
        <v>5</v>
      </c>
      <c r="B25" s="93">
        <f t="shared" si="9"/>
        <v>256</v>
      </c>
      <c r="C25" s="1">
        <f t="shared" si="2"/>
        <v>1024</v>
      </c>
      <c r="D25" s="9">
        <f>SUM($C$21:C25)</f>
        <v>1364</v>
      </c>
      <c r="E25" s="9">
        <f t="shared" si="3"/>
        <v>-8548.1774595363258</v>
      </c>
      <c r="F25" s="9">
        <f t="shared" si="4"/>
        <v>1.4890836986561631E-3</v>
      </c>
      <c r="G25" s="287">
        <f t="shared" si="5"/>
        <v>108809.33807569496</v>
      </c>
      <c r="O25" s="99">
        <v>5</v>
      </c>
      <c r="P25" s="93">
        <f t="shared" si="10"/>
        <v>766</v>
      </c>
      <c r="Q25" s="1">
        <f t="shared" si="6"/>
        <v>3070</v>
      </c>
      <c r="R25" s="9">
        <f>SUM($Q$21:Q25)</f>
        <v>4082</v>
      </c>
      <c r="S25" s="282">
        <f t="shared" si="7"/>
        <v>-25581.862455885104</v>
      </c>
      <c r="T25" s="9">
        <f t="shared" si="11"/>
        <v>4.9757720846815444E-4</v>
      </c>
      <c r="U25" s="287">
        <f t="shared" si="8"/>
        <v>325630.29180717509</v>
      </c>
    </row>
    <row r="26" spans="1:21" x14ac:dyDescent="0.2">
      <c r="A26" s="97">
        <v>6</v>
      </c>
      <c r="B26" s="93">
        <f t="shared" si="9"/>
        <v>1024</v>
      </c>
      <c r="C26" s="1">
        <f t="shared" si="2"/>
        <v>4096</v>
      </c>
      <c r="D26" s="9">
        <f>SUM($C$21:C26)</f>
        <v>5460</v>
      </c>
      <c r="E26" s="9">
        <f t="shared" si="3"/>
        <v>-35068.134564365595</v>
      </c>
      <c r="F26" s="9">
        <f t="shared" si="4"/>
        <v>4.4589734384936191E-4</v>
      </c>
      <c r="G26" s="287">
        <f t="shared" si="5"/>
        <v>548352.98770236457</v>
      </c>
      <c r="O26" s="99">
        <v>6</v>
      </c>
      <c r="P26" s="93">
        <f t="shared" si="10"/>
        <v>3070</v>
      </c>
      <c r="Q26" s="1">
        <f t="shared" si="6"/>
        <v>12286</v>
      </c>
      <c r="R26" s="9">
        <f>SUM($Q$21:Q26)</f>
        <v>16368</v>
      </c>
      <c r="S26" s="282">
        <f t="shared" si="7"/>
        <v>-105127.33086987839</v>
      </c>
      <c r="T26" s="9">
        <f t="shared" si="11"/>
        <v>1.4874141602013173E-4</v>
      </c>
      <c r="U26" s="287">
        <f t="shared" si="8"/>
        <v>1643853.7917055499</v>
      </c>
    </row>
    <row r="27" spans="1:21" x14ac:dyDescent="0.2">
      <c r="A27" s="97">
        <v>7</v>
      </c>
      <c r="B27" s="93">
        <f t="shared" si="9"/>
        <v>4096</v>
      </c>
      <c r="C27" s="1">
        <f t="shared" si="2"/>
        <v>16384</v>
      </c>
      <c r="D27" s="9">
        <f>SUM($C$21:C27)</f>
        <v>21844</v>
      </c>
      <c r="E27" s="9">
        <f t="shared" si="3"/>
        <v>-141783.58439524344</v>
      </c>
      <c r="F27" s="9">
        <f t="shared" si="4"/>
        <v>1.3097940256948722E-4</v>
      </c>
      <c r="G27" s="287">
        <f t="shared" si="5"/>
        <v>2633024.547725542</v>
      </c>
      <c r="O27" s="99">
        <v>7</v>
      </c>
      <c r="P27" s="93">
        <f t="shared" si="10"/>
        <v>12286</v>
      </c>
      <c r="Q27" s="1">
        <f t="shared" si="6"/>
        <v>49150</v>
      </c>
      <c r="R27" s="9">
        <f>SUM($Q$21:Q27)</f>
        <v>65518</v>
      </c>
      <c r="S27" s="282">
        <f t="shared" si="7"/>
        <v>-425259.88291556307</v>
      </c>
      <c r="T27" s="9">
        <f t="shared" si="11"/>
        <v>4.3669130158549999E-5</v>
      </c>
      <c r="U27" s="287">
        <f t="shared" si="8"/>
        <v>7897386.1159989955</v>
      </c>
    </row>
    <row r="28" spans="1:21" x14ac:dyDescent="0.2">
      <c r="A28" s="97">
        <v>8</v>
      </c>
      <c r="B28" s="93">
        <f t="shared" si="9"/>
        <v>16384</v>
      </c>
      <c r="C28" s="1">
        <f t="shared" si="2"/>
        <v>65536</v>
      </c>
      <c r="D28" s="9">
        <f>SUM($C$21:C28)</f>
        <v>87380</v>
      </c>
      <c r="E28" s="9">
        <f t="shared" si="3"/>
        <v>-569709.94116376725</v>
      </c>
      <c r="F28" s="9">
        <f t="shared" si="4"/>
        <v>3.7770191998095922E-5</v>
      </c>
      <c r="G28" s="287">
        <f t="shared" si="5"/>
        <v>12259049.199097361</v>
      </c>
      <c r="O28" s="99">
        <v>8</v>
      </c>
      <c r="P28" s="93">
        <f t="shared" si="10"/>
        <v>49150</v>
      </c>
      <c r="Q28" s="1">
        <f t="shared" si="6"/>
        <v>196606</v>
      </c>
      <c r="R28" s="9">
        <f>SUM($Q$21:Q28)</f>
        <v>262124</v>
      </c>
      <c r="S28" s="282">
        <f t="shared" si="7"/>
        <v>-1709025.5048936978</v>
      </c>
      <c r="T28" s="9">
        <f t="shared" si="11"/>
        <v>1.2590832494520234E-5</v>
      </c>
      <c r="U28" s="287">
        <f t="shared" si="8"/>
        <v>36774902.864090137</v>
      </c>
    </row>
    <row r="29" spans="1:21" x14ac:dyDescent="0.2">
      <c r="A29" s="97">
        <v>9</v>
      </c>
      <c r="B29" s="93">
        <f t="shared" si="9"/>
        <v>65536</v>
      </c>
      <c r="C29" s="1">
        <f t="shared" si="2"/>
        <v>262144</v>
      </c>
      <c r="D29" s="9">
        <f>SUM($C$21:C29)</f>
        <v>349524</v>
      </c>
      <c r="E29" s="9">
        <f t="shared" si="3"/>
        <v>-2283209.6409011614</v>
      </c>
      <c r="F29" s="9">
        <f t="shared" si="4"/>
        <v>1.0718266457798012E-5</v>
      </c>
      <c r="G29" s="287">
        <f t="shared" si="5"/>
        <v>55874818.917638905</v>
      </c>
      <c r="O29" s="99">
        <v>9</v>
      </c>
      <c r="P29" s="93">
        <f t="shared" si="10"/>
        <v>196606</v>
      </c>
      <c r="Q29" s="1">
        <f t="shared" si="6"/>
        <v>786430</v>
      </c>
      <c r="R29" s="9">
        <f>SUM($Q$21:Q29)</f>
        <v>1048554</v>
      </c>
      <c r="S29" s="282">
        <f t="shared" si="7"/>
        <v>-6849511.3405816946</v>
      </c>
      <c r="T29" s="9">
        <f t="shared" si="11"/>
        <v>3.5728168176320846E-6</v>
      </c>
      <c r="U29" s="287">
        <f t="shared" si="8"/>
        <v>167621579.27743429</v>
      </c>
    </row>
    <row r="30" spans="1:21" ht="17" thickBot="1" x14ac:dyDescent="0.25">
      <c r="A30" s="145">
        <v>10</v>
      </c>
      <c r="B30" s="94">
        <f t="shared" si="9"/>
        <v>262144</v>
      </c>
      <c r="C30" s="111">
        <f t="shared" si="2"/>
        <v>1048576</v>
      </c>
      <c r="D30" s="10">
        <f>SUM($C$21:C30)</f>
        <v>1398100</v>
      </c>
      <c r="E30" s="10">
        <f t="shared" si="3"/>
        <v>-9140241.5598324239</v>
      </c>
      <c r="F30" s="10">
        <f t="shared" si="4"/>
        <v>3.0009380087819954E-6</v>
      </c>
      <c r="G30" s="288">
        <f t="shared" si="5"/>
        <v>250710412.33674094</v>
      </c>
      <c r="O30" s="100">
        <v>10</v>
      </c>
      <c r="P30" s="94">
        <f t="shared" si="10"/>
        <v>786430</v>
      </c>
      <c r="Q30" s="111">
        <f t="shared" si="6"/>
        <v>3145726</v>
      </c>
      <c r="R30" s="10">
        <f>SUM($Q$21:Q30)</f>
        <v>4194280</v>
      </c>
      <c r="S30" s="283">
        <f t="shared" si="7"/>
        <v>-27420593.927168254</v>
      </c>
      <c r="T30" s="10">
        <f t="shared" si="11"/>
        <v>1.0003174394837988E-6</v>
      </c>
      <c r="U30" s="288">
        <f t="shared" si="8"/>
        <v>752127650.56558597</v>
      </c>
    </row>
    <row r="31" spans="1:21" ht="17" thickBot="1" x14ac:dyDescent="0.25"/>
    <row r="32" spans="1:21" ht="17" thickBot="1" x14ac:dyDescent="0.25">
      <c r="A32" s="117" t="s">
        <v>135</v>
      </c>
      <c r="B32" s="118" t="s">
        <v>140</v>
      </c>
      <c r="C32" s="118" t="s">
        <v>139</v>
      </c>
      <c r="D32" s="170" t="s">
        <v>138</v>
      </c>
      <c r="E32" s="167" t="s">
        <v>151</v>
      </c>
      <c r="F32" s="168" t="s">
        <v>152</v>
      </c>
      <c r="G32" s="290" t="s">
        <v>47</v>
      </c>
      <c r="O32" s="29" t="s">
        <v>135</v>
      </c>
      <c r="P32" s="118" t="s">
        <v>140</v>
      </c>
      <c r="Q32" s="118" t="s">
        <v>139</v>
      </c>
      <c r="R32" s="118" t="s">
        <v>138</v>
      </c>
      <c r="S32" s="166" t="s">
        <v>151</v>
      </c>
      <c r="T32" s="168" t="s">
        <v>152</v>
      </c>
      <c r="U32" s="294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4</v>
      </c>
      <c r="D33" s="57">
        <f>SUM($C$33:C33)</f>
        <v>4</v>
      </c>
      <c r="E33" s="9">
        <f t="shared" ref="E33:E42" si="13">D33/R7</f>
        <v>-9.878405655075543</v>
      </c>
      <c r="F33" s="8">
        <f t="shared" ref="F33:F42" si="14">U7/E33</f>
        <v>0.21050150624699404</v>
      </c>
      <c r="G33" s="289">
        <f>E33*U7</f>
        <v>20.541347073198306</v>
      </c>
      <c r="O33" s="101">
        <v>1</v>
      </c>
      <c r="P33" s="109">
        <v>1</v>
      </c>
      <c r="Q33" s="110">
        <f>P33*4+6</f>
        <v>10</v>
      </c>
      <c r="R33" s="57">
        <f>SUM($Q$21)</f>
        <v>10</v>
      </c>
      <c r="S33" s="281">
        <f>R33/R7</f>
        <v>-24.696014137688856</v>
      </c>
      <c r="T33" s="8">
        <f>U7/S33</f>
        <v>8.4200602498797614E-2</v>
      </c>
      <c r="U33" s="289">
        <f>S33*U7</f>
        <v>51.35336768299576</v>
      </c>
    </row>
    <row r="34" spans="1:21" x14ac:dyDescent="0.2">
      <c r="A34" s="97">
        <v>2</v>
      </c>
      <c r="B34" s="93">
        <f t="shared" ref="B34:B42" si="15">B33*($O$2+1)</f>
        <v>5</v>
      </c>
      <c r="C34" s="1">
        <f t="shared" si="12"/>
        <v>20</v>
      </c>
      <c r="D34" s="9">
        <f>SUM($C$33:C34)</f>
        <v>24</v>
      </c>
      <c r="E34" s="9">
        <f t="shared" si="13"/>
        <v>-96.898318237119938</v>
      </c>
      <c r="F34" s="9">
        <f t="shared" si="14"/>
        <v>4.618827892612587E-2</v>
      </c>
      <c r="G34" s="287">
        <f t="shared" ref="G34:G42" si="16">E34*U8</f>
        <v>433.67487187352242</v>
      </c>
      <c r="O34" s="99">
        <v>2</v>
      </c>
      <c r="P34" s="93">
        <f>Q33+1</f>
        <v>11</v>
      </c>
      <c r="Q34" s="1">
        <f t="shared" ref="Q34:Q42" si="17">P34*4+6</f>
        <v>50</v>
      </c>
      <c r="R34" s="9">
        <f>SUM($Q$33:Q34)</f>
        <v>60</v>
      </c>
      <c r="S34" s="282">
        <f>R34/R8</f>
        <v>-242.24579559279985</v>
      </c>
      <c r="T34" s="9">
        <f t="shared" ref="T34:T42" si="18">U8/S34</f>
        <v>1.8475311570450348E-2</v>
      </c>
      <c r="U34" s="287">
        <f t="shared" ref="U34:U42" si="19">S34*U8</f>
        <v>1084.1871796838061</v>
      </c>
    </row>
    <row r="35" spans="1:21" x14ac:dyDescent="0.2">
      <c r="A35" s="97">
        <v>3</v>
      </c>
      <c r="B35" s="93">
        <f t="shared" si="15"/>
        <v>25</v>
      </c>
      <c r="C35" s="1">
        <f t="shared" si="12"/>
        <v>100</v>
      </c>
      <c r="D35" s="9">
        <f>SUM($C$33:C35)</f>
        <v>124</v>
      </c>
      <c r="E35" s="9">
        <f t="shared" si="13"/>
        <v>-648.49603541150111</v>
      </c>
      <c r="F35" s="9">
        <f t="shared" si="14"/>
        <v>1.0947189901711944E-2</v>
      </c>
      <c r="G35" s="287">
        <f t="shared" si="16"/>
        <v>4603.8090532834804</v>
      </c>
      <c r="O35" s="99">
        <v>3</v>
      </c>
      <c r="P35" s="93">
        <f t="shared" ref="P35:P42" si="20">Q34+1</f>
        <v>51</v>
      </c>
      <c r="Q35" s="1">
        <f t="shared" si="17"/>
        <v>210</v>
      </c>
      <c r="R35" s="9">
        <f>SUM($Q$33:Q35)</f>
        <v>270</v>
      </c>
      <c r="S35" s="282">
        <f t="shared" ref="S35:S42" si="21">R35/R9</f>
        <v>-1412.0478190411716</v>
      </c>
      <c r="T35" s="9">
        <f t="shared" si="18"/>
        <v>5.0275983252306708E-3</v>
      </c>
      <c r="U35" s="287">
        <f t="shared" si="19"/>
        <v>10024.422938601125</v>
      </c>
    </row>
    <row r="36" spans="1:21" x14ac:dyDescent="0.2">
      <c r="A36" s="97">
        <v>4</v>
      </c>
      <c r="B36" s="93">
        <f t="shared" si="15"/>
        <v>125</v>
      </c>
      <c r="C36" s="1">
        <f t="shared" si="12"/>
        <v>500</v>
      </c>
      <c r="D36" s="9">
        <f>SUM($C$33:C36)</f>
        <v>624</v>
      </c>
      <c r="E36" s="9">
        <f t="shared" si="13"/>
        <v>-3696.5772671613458</v>
      </c>
      <c r="F36" s="9">
        <f t="shared" si="14"/>
        <v>2.670085927348991E-3</v>
      </c>
      <c r="G36" s="287">
        <f t="shared" si="16"/>
        <v>36485.879093918375</v>
      </c>
      <c r="O36" s="99">
        <v>4</v>
      </c>
      <c r="P36" s="93">
        <f t="shared" si="20"/>
        <v>211</v>
      </c>
      <c r="Q36" s="1">
        <f t="shared" si="17"/>
        <v>850</v>
      </c>
      <c r="R36" s="9">
        <f>SUM($Q$33:Q36)</f>
        <v>1120</v>
      </c>
      <c r="S36" s="282">
        <f t="shared" si="21"/>
        <v>-6634.8822743921592</v>
      </c>
      <c r="T36" s="9">
        <f t="shared" si="18"/>
        <v>1.4876193023801521E-3</v>
      </c>
      <c r="U36" s="287">
        <f t="shared" si="19"/>
        <v>65487.475296776567</v>
      </c>
    </row>
    <row r="37" spans="1:21" x14ac:dyDescent="0.2">
      <c r="A37" s="97">
        <v>5</v>
      </c>
      <c r="B37" s="93">
        <f t="shared" si="15"/>
        <v>625</v>
      </c>
      <c r="C37" s="1">
        <f t="shared" si="12"/>
        <v>2500</v>
      </c>
      <c r="D37" s="9">
        <f>SUM($C$33:C37)</f>
        <v>3124</v>
      </c>
      <c r="E37" s="9">
        <f t="shared" si="13"/>
        <v>-19578.083858938036</v>
      </c>
      <c r="F37" s="9">
        <f t="shared" si="14"/>
        <v>6.501633050470571E-4</v>
      </c>
      <c r="G37" s="287">
        <f t="shared" si="16"/>
        <v>249208.48397981748</v>
      </c>
      <c r="O37" s="99">
        <v>5</v>
      </c>
      <c r="P37" s="93">
        <f t="shared" si="20"/>
        <v>851</v>
      </c>
      <c r="Q37" s="1">
        <f t="shared" si="17"/>
        <v>3410</v>
      </c>
      <c r="R37" s="9">
        <f>SUM($Q$33:Q37)</f>
        <v>4530</v>
      </c>
      <c r="S37" s="282">
        <f t="shared" si="21"/>
        <v>-28389.474993914631</v>
      </c>
      <c r="T37" s="9">
        <f t="shared" si="18"/>
        <v>4.4836868983819122E-4</v>
      </c>
      <c r="U37" s="287">
        <f t="shared" si="19"/>
        <v>361368.25621913356</v>
      </c>
    </row>
    <row r="38" spans="1:21" x14ac:dyDescent="0.2">
      <c r="A38" s="97">
        <v>6</v>
      </c>
      <c r="B38" s="93">
        <f t="shared" si="15"/>
        <v>3125</v>
      </c>
      <c r="C38" s="1">
        <f t="shared" si="12"/>
        <v>12500</v>
      </c>
      <c r="D38" s="9">
        <f>SUM($C$33:C38)</f>
        <v>15624</v>
      </c>
      <c r="E38" s="9">
        <f t="shared" si="13"/>
        <v>-100348.81583033847</v>
      </c>
      <c r="F38" s="9">
        <f t="shared" si="14"/>
        <v>1.5582434059251894E-4</v>
      </c>
      <c r="G38" s="287">
        <f t="shared" si="16"/>
        <v>1569133.1648098431</v>
      </c>
      <c r="O38" s="99">
        <v>6</v>
      </c>
      <c r="P38" s="93">
        <f t="shared" si="20"/>
        <v>3411</v>
      </c>
      <c r="Q38" s="1">
        <f t="shared" si="17"/>
        <v>13650</v>
      </c>
      <c r="R38" s="9">
        <f>SUM($Q$33:Q38)</f>
        <v>18180</v>
      </c>
      <c r="S38" s="282">
        <f t="shared" si="21"/>
        <v>-116765.32717585468</v>
      </c>
      <c r="T38" s="9">
        <f t="shared" si="18"/>
        <v>1.3391636399436282E-4</v>
      </c>
      <c r="U38" s="287">
        <f t="shared" si="19"/>
        <v>1825834.6733386423</v>
      </c>
    </row>
    <row r="39" spans="1:21" x14ac:dyDescent="0.2">
      <c r="A39" s="97">
        <v>7</v>
      </c>
      <c r="B39" s="93">
        <f t="shared" si="15"/>
        <v>15625</v>
      </c>
      <c r="C39" s="1">
        <f t="shared" si="12"/>
        <v>62500</v>
      </c>
      <c r="D39" s="9">
        <f>SUM($C$33:C39)</f>
        <v>78124</v>
      </c>
      <c r="E39" s="9">
        <f t="shared" si="13"/>
        <v>-507082.07046758832</v>
      </c>
      <c r="F39" s="9">
        <f t="shared" si="14"/>
        <v>3.6622728863446299E-5</v>
      </c>
      <c r="G39" s="287">
        <f t="shared" si="16"/>
        <v>9416883.8017995898</v>
      </c>
      <c r="O39" s="99">
        <v>7</v>
      </c>
      <c r="P39" s="93">
        <f t="shared" si="20"/>
        <v>13651</v>
      </c>
      <c r="Q39" s="1">
        <f t="shared" si="17"/>
        <v>54610</v>
      </c>
      <c r="R39" s="9">
        <f>SUM($Q$33:Q39)</f>
        <v>72790</v>
      </c>
      <c r="S39" s="282">
        <f t="shared" si="21"/>
        <v>-472460.49753386609</v>
      </c>
      <c r="T39" s="9">
        <f t="shared" si="18"/>
        <v>3.9306416674376683E-5</v>
      </c>
      <c r="U39" s="287">
        <f t="shared" si="19"/>
        <v>8773935.947122423</v>
      </c>
    </row>
    <row r="40" spans="1:21" x14ac:dyDescent="0.2">
      <c r="A40" s="97">
        <v>8</v>
      </c>
      <c r="B40" s="93">
        <f t="shared" si="15"/>
        <v>78125</v>
      </c>
      <c r="C40" s="1">
        <f t="shared" si="12"/>
        <v>312500</v>
      </c>
      <c r="D40" s="9">
        <f>SUM($C$33:C40)</f>
        <v>390624</v>
      </c>
      <c r="E40" s="9">
        <f t="shared" si="13"/>
        <v>-2546834.241899238</v>
      </c>
      <c r="F40" s="9">
        <f t="shared" si="14"/>
        <v>8.4489416338822545E-6</v>
      </c>
      <c r="G40" s="287">
        <f t="shared" si="16"/>
        <v>54802916.392174497</v>
      </c>
      <c r="O40" s="99">
        <v>8</v>
      </c>
      <c r="P40" s="93">
        <f t="shared" si="20"/>
        <v>54611</v>
      </c>
      <c r="Q40" s="1">
        <f t="shared" si="17"/>
        <v>218450</v>
      </c>
      <c r="R40" s="9">
        <f>SUM($Q$33:Q40)</f>
        <v>291240</v>
      </c>
      <c r="S40" s="282">
        <f t="shared" si="21"/>
        <v>-1898859.2728832178</v>
      </c>
      <c r="T40" s="9">
        <f t="shared" si="18"/>
        <v>1.1332095099552334E-5</v>
      </c>
      <c r="U40" s="287">
        <f t="shared" si="19"/>
        <v>40859756.108321302</v>
      </c>
    </row>
    <row r="41" spans="1:21" x14ac:dyDescent="0.2">
      <c r="A41" s="97">
        <v>9</v>
      </c>
      <c r="B41" s="93">
        <f t="shared" si="15"/>
        <v>390625</v>
      </c>
      <c r="C41" s="1">
        <f t="shared" si="12"/>
        <v>1562500</v>
      </c>
      <c r="D41" s="9">
        <f>SUM($C$33:C41)</f>
        <v>1953124</v>
      </c>
      <c r="E41" s="9">
        <f t="shared" si="13"/>
        <v>-12758470.224292006</v>
      </c>
      <c r="F41" s="9">
        <f t="shared" si="14"/>
        <v>1.9181021611507477E-6</v>
      </c>
      <c r="G41" s="287">
        <f t="shared" si="16"/>
        <v>312225912.45148987</v>
      </c>
      <c r="O41" s="99">
        <v>9</v>
      </c>
      <c r="P41" s="93">
        <f t="shared" si="20"/>
        <v>218451</v>
      </c>
      <c r="Q41" s="1">
        <f t="shared" si="17"/>
        <v>873810</v>
      </c>
      <c r="R41" s="9">
        <f>SUM($Q$33:Q41)</f>
        <v>1165050</v>
      </c>
      <c r="S41" s="282">
        <f t="shared" si="21"/>
        <v>-7610502.8328008885</v>
      </c>
      <c r="T41" s="9">
        <f t="shared" si="18"/>
        <v>3.2155627358442926E-6</v>
      </c>
      <c r="U41" s="287">
        <f t="shared" si="19"/>
        <v>186244600.59965897</v>
      </c>
    </row>
    <row r="42" spans="1:21" ht="17" thickBot="1" x14ac:dyDescent="0.25">
      <c r="A42" s="145">
        <v>10</v>
      </c>
      <c r="B42" s="94">
        <f t="shared" si="15"/>
        <v>1953125</v>
      </c>
      <c r="C42" s="111">
        <f t="shared" si="12"/>
        <v>7812500</v>
      </c>
      <c r="D42" s="10">
        <f>SUM($C$33:C42)</f>
        <v>9765624</v>
      </c>
      <c r="E42" s="9">
        <f t="shared" si="13"/>
        <v>-63843904.114510372</v>
      </c>
      <c r="F42" s="10">
        <f t="shared" si="14"/>
        <v>4.2963065443417724E-7</v>
      </c>
      <c r="G42" s="288">
        <f t="shared" si="16"/>
        <v>1751193490.998908</v>
      </c>
      <c r="O42" s="100">
        <v>10</v>
      </c>
      <c r="P42" s="94">
        <f t="shared" si="20"/>
        <v>873811</v>
      </c>
      <c r="Q42" s="111">
        <f t="shared" si="17"/>
        <v>3495250</v>
      </c>
      <c r="R42" s="10">
        <f>SUM($Q$33:Q42)</f>
        <v>4660300</v>
      </c>
      <c r="S42" s="283">
        <f t="shared" si="21"/>
        <v>-30467253.945559718</v>
      </c>
      <c r="T42" s="10">
        <f t="shared" si="18"/>
        <v>9.0028784200118185E-7</v>
      </c>
      <c r="U42" s="288">
        <f t="shared" si="19"/>
        <v>835695397.04807508</v>
      </c>
    </row>
    <row r="43" spans="1:21" ht="17" thickBot="1" x14ac:dyDescent="0.25">
      <c r="U43" s="285"/>
    </row>
    <row r="44" spans="1:21" ht="17" thickBot="1" x14ac:dyDescent="0.25">
      <c r="A44" s="117" t="s">
        <v>135</v>
      </c>
      <c r="B44" s="118" t="s">
        <v>140</v>
      </c>
      <c r="C44" s="118" t="s">
        <v>139</v>
      </c>
      <c r="D44" s="170" t="s">
        <v>138</v>
      </c>
      <c r="E44" s="167" t="s">
        <v>151</v>
      </c>
      <c r="F44" s="168" t="s">
        <v>152</v>
      </c>
      <c r="G44" s="290" t="s">
        <v>47</v>
      </c>
      <c r="O44" s="29" t="s">
        <v>135</v>
      </c>
      <c r="P44" s="118" t="s">
        <v>140</v>
      </c>
      <c r="Q44" s="118" t="s">
        <v>139</v>
      </c>
      <c r="R44" s="118" t="s">
        <v>138</v>
      </c>
      <c r="S44" s="166" t="s">
        <v>151</v>
      </c>
      <c r="T44" s="168" t="s">
        <v>152</v>
      </c>
      <c r="U44" s="294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4</v>
      </c>
      <c r="D45" s="57">
        <f>SUM(C45:C45)</f>
        <v>4</v>
      </c>
      <c r="E45" s="57">
        <f t="shared" ref="E45:E54" si="23">D45/R7</f>
        <v>-9.878405655075543</v>
      </c>
      <c r="F45" s="8">
        <f t="shared" ref="F45:F54" si="24">U7/E45</f>
        <v>0.21050150624699404</v>
      </c>
      <c r="G45" s="286">
        <f>E45*U7</f>
        <v>20.541347073198306</v>
      </c>
      <c r="O45" s="101">
        <v>1</v>
      </c>
      <c r="P45" s="109">
        <v>1</v>
      </c>
      <c r="Q45" s="110">
        <f>P45*4+6</f>
        <v>10</v>
      </c>
      <c r="R45" s="57">
        <f>SUM($Q$21)</f>
        <v>10</v>
      </c>
      <c r="S45" s="281">
        <f>R45/R7</f>
        <v>-24.696014137688856</v>
      </c>
      <c r="T45" s="8">
        <f>U7/S45</f>
        <v>8.4200602498797614E-2</v>
      </c>
      <c r="U45" s="289">
        <f>S45*U7</f>
        <v>51.35336768299576</v>
      </c>
    </row>
    <row r="46" spans="1:21" x14ac:dyDescent="0.2">
      <c r="A46" s="97">
        <v>2</v>
      </c>
      <c r="B46" s="93">
        <f t="shared" ref="B46:B54" si="25">B45*$O$2*2</f>
        <v>8</v>
      </c>
      <c r="C46" s="1">
        <f t="shared" si="22"/>
        <v>32</v>
      </c>
      <c r="D46" s="9">
        <f>SUM($C$45:C46)</f>
        <v>36</v>
      </c>
      <c r="E46" s="9">
        <f t="shared" si="23"/>
        <v>-145.3474773556799</v>
      </c>
      <c r="F46" s="9">
        <f t="shared" si="24"/>
        <v>3.0792185950750579E-2</v>
      </c>
      <c r="G46" s="287">
        <f t="shared" ref="G46:G54" si="26">E46*U8</f>
        <v>650.51230781028357</v>
      </c>
      <c r="O46" s="99">
        <v>2</v>
      </c>
      <c r="P46" s="93">
        <f>Q45*2</f>
        <v>20</v>
      </c>
      <c r="Q46" s="1">
        <f t="shared" ref="Q46:Q54" si="27">P46*4+6</f>
        <v>86</v>
      </c>
      <c r="R46" s="9">
        <f>SUM($Q$45:Q46)</f>
        <v>96</v>
      </c>
      <c r="S46" s="282">
        <f t="shared" ref="S46:S54" si="28">R46/R8</f>
        <v>-387.59327294847975</v>
      </c>
      <c r="T46" s="9">
        <f t="shared" ref="T46:T54" si="29">U8/S46</f>
        <v>1.1547069731531467E-2</v>
      </c>
      <c r="U46" s="287">
        <f t="shared" ref="U46:U54" si="30">S46*U8</f>
        <v>1734.6994874940897</v>
      </c>
    </row>
    <row r="47" spans="1:21" x14ac:dyDescent="0.2">
      <c r="A47" s="97">
        <v>3</v>
      </c>
      <c r="B47" s="93">
        <f t="shared" si="25"/>
        <v>64</v>
      </c>
      <c r="C47" s="1">
        <f t="shared" si="22"/>
        <v>256</v>
      </c>
      <c r="D47" s="9">
        <f>SUM($C$45:C47)</f>
        <v>292</v>
      </c>
      <c r="E47" s="9">
        <f t="shared" si="23"/>
        <v>-1527.1035672593412</v>
      </c>
      <c r="F47" s="9">
        <f t="shared" si="24"/>
        <v>4.6488066705900038E-3</v>
      </c>
      <c r="G47" s="287">
        <f t="shared" si="26"/>
        <v>10841.227770635292</v>
      </c>
      <c r="O47" s="99">
        <v>3</v>
      </c>
      <c r="P47" s="93">
        <f t="shared" ref="P47:P54" si="31">Q46*2</f>
        <v>172</v>
      </c>
      <c r="Q47" s="1">
        <f t="shared" si="27"/>
        <v>694</v>
      </c>
      <c r="R47" s="9">
        <f>SUM($Q$45:Q47)</f>
        <v>790</v>
      </c>
      <c r="S47" s="282">
        <f t="shared" si="28"/>
        <v>-4131.5473223797244</v>
      </c>
      <c r="T47" s="9">
        <f t="shared" si="29"/>
        <v>1.7182930984965584E-3</v>
      </c>
      <c r="U47" s="287">
        <f t="shared" si="30"/>
        <v>29330.71896849959</v>
      </c>
    </row>
    <row r="48" spans="1:21" x14ac:dyDescent="0.2">
      <c r="A48" s="97">
        <v>4</v>
      </c>
      <c r="B48" s="93">
        <f t="shared" si="25"/>
        <v>512</v>
      </c>
      <c r="C48" s="1">
        <f t="shared" si="22"/>
        <v>2048</v>
      </c>
      <c r="D48" s="9">
        <f>SUM($C$45:C48)</f>
        <v>2340</v>
      </c>
      <c r="E48" s="9">
        <f t="shared" si="23"/>
        <v>-13862.164751855047</v>
      </c>
      <c r="F48" s="9">
        <f t="shared" si="24"/>
        <v>7.120229139597309E-4</v>
      </c>
      <c r="G48" s="287">
        <f t="shared" si="26"/>
        <v>136822.04660219391</v>
      </c>
      <c r="O48" s="99">
        <v>4</v>
      </c>
      <c r="P48" s="93">
        <f t="shared" si="31"/>
        <v>1388</v>
      </c>
      <c r="Q48" s="1">
        <f t="shared" si="27"/>
        <v>5558</v>
      </c>
      <c r="R48" s="9">
        <f>SUM($Q$45:Q48)</f>
        <v>6348</v>
      </c>
      <c r="S48" s="282">
        <f t="shared" si="28"/>
        <v>-37605.564890929847</v>
      </c>
      <c r="T48" s="9">
        <f t="shared" si="29"/>
        <v>2.6246591346341686E-4</v>
      </c>
      <c r="U48" s="287">
        <f t="shared" si="30"/>
        <v>371173.65462851577</v>
      </c>
    </row>
    <row r="49" spans="1:21" x14ac:dyDescent="0.2">
      <c r="A49" s="97">
        <v>5</v>
      </c>
      <c r="B49" s="93">
        <f t="shared" si="25"/>
        <v>4096</v>
      </c>
      <c r="C49" s="1">
        <f t="shared" si="22"/>
        <v>16384</v>
      </c>
      <c r="D49" s="9">
        <f>SUM($C$45:C49)</f>
        <v>18724</v>
      </c>
      <c r="E49" s="9">
        <f t="shared" si="23"/>
        <v>-117343.16330818048</v>
      </c>
      <c r="F49" s="9">
        <f t="shared" si="24"/>
        <v>1.0847629592859465E-4</v>
      </c>
      <c r="G49" s="287">
        <f t="shared" si="26"/>
        <v>1493655.4590390853</v>
      </c>
      <c r="O49" s="99">
        <v>5</v>
      </c>
      <c r="P49" s="93">
        <f t="shared" si="31"/>
        <v>11116</v>
      </c>
      <c r="Q49" s="1">
        <f t="shared" si="27"/>
        <v>44470</v>
      </c>
      <c r="R49" s="9">
        <f>SUM($Q$45:Q49)</f>
        <v>50818</v>
      </c>
      <c r="S49" s="282">
        <f t="shared" si="28"/>
        <v>-318476.01329817961</v>
      </c>
      <c r="T49" s="9">
        <f t="shared" si="29"/>
        <v>3.9968321558640765E-5</v>
      </c>
      <c r="U49" s="287">
        <f t="shared" si="30"/>
        <v>4053865.7934975559</v>
      </c>
    </row>
    <row r="50" spans="1:21" x14ac:dyDescent="0.2">
      <c r="A50" s="97">
        <v>6</v>
      </c>
      <c r="B50" s="93">
        <f t="shared" si="25"/>
        <v>32768</v>
      </c>
      <c r="C50" s="1">
        <f t="shared" si="22"/>
        <v>131072</v>
      </c>
      <c r="D50" s="9">
        <f>SUM($C$45:C50)</f>
        <v>149796</v>
      </c>
      <c r="E50" s="9">
        <f t="shared" si="23"/>
        <v>-962100.05223511148</v>
      </c>
      <c r="F50" s="9">
        <f t="shared" si="24"/>
        <v>1.6252767079344681E-5</v>
      </c>
      <c r="G50" s="287">
        <f t="shared" si="26"/>
        <v>15044154.605469488</v>
      </c>
      <c r="O50" s="99">
        <v>6</v>
      </c>
      <c r="P50" s="93">
        <f t="shared" si="31"/>
        <v>88940</v>
      </c>
      <c r="Q50" s="1">
        <f t="shared" si="27"/>
        <v>355766</v>
      </c>
      <c r="R50" s="9">
        <f>SUM($Q$45:Q50)</f>
        <v>406584</v>
      </c>
      <c r="S50" s="282">
        <f t="shared" si="28"/>
        <v>-2611381.3962853518</v>
      </c>
      <c r="T50" s="9">
        <f t="shared" si="29"/>
        <v>5.9879372956572715E-6</v>
      </c>
      <c r="U50" s="287">
        <f t="shared" si="30"/>
        <v>40833617.42710223</v>
      </c>
    </row>
    <row r="51" spans="1:21" x14ac:dyDescent="0.2">
      <c r="A51" s="97">
        <v>7</v>
      </c>
      <c r="B51" s="93">
        <f t="shared" si="25"/>
        <v>262144</v>
      </c>
      <c r="C51" s="1">
        <f t="shared" si="22"/>
        <v>1048576</v>
      </c>
      <c r="D51" s="9">
        <f>SUM($C$45:C51)</f>
        <v>1198372</v>
      </c>
      <c r="E51" s="9">
        <f t="shared" si="23"/>
        <v>-7778313.3857762627</v>
      </c>
      <c r="F51" s="9">
        <f t="shared" si="24"/>
        <v>2.3875007674811151E-6</v>
      </c>
      <c r="G51" s="287">
        <f t="shared" si="26"/>
        <v>144448951.35080358</v>
      </c>
      <c r="O51" s="99">
        <v>7</v>
      </c>
      <c r="P51" s="93">
        <f t="shared" si="31"/>
        <v>711532</v>
      </c>
      <c r="Q51" s="1">
        <f t="shared" si="27"/>
        <v>2846134</v>
      </c>
      <c r="R51" s="9">
        <f>SUM($Q$45:Q51)</f>
        <v>3252718</v>
      </c>
      <c r="S51" s="282">
        <f t="shared" si="28"/>
        <v>-21112525.959848356</v>
      </c>
      <c r="T51" s="9">
        <f t="shared" si="29"/>
        <v>8.7960716844432222E-7</v>
      </c>
      <c r="U51" s="287">
        <f t="shared" si="30"/>
        <v>392075001.86910498</v>
      </c>
    </row>
    <row r="52" spans="1:21" x14ac:dyDescent="0.2">
      <c r="A52" s="97">
        <v>8</v>
      </c>
      <c r="B52" s="93">
        <f t="shared" si="25"/>
        <v>2097152</v>
      </c>
      <c r="C52" s="1">
        <f t="shared" si="22"/>
        <v>8388608</v>
      </c>
      <c r="D52" s="9">
        <f>SUM($C$45:C52)</f>
        <v>9586980</v>
      </c>
      <c r="E52" s="9">
        <f t="shared" si="23"/>
        <v>-62506269.303481497</v>
      </c>
      <c r="F52" s="9">
        <f t="shared" si="24"/>
        <v>3.4425433001775552E-7</v>
      </c>
      <c r="G52" s="287">
        <f t="shared" si="26"/>
        <v>1345013269.5211995</v>
      </c>
      <c r="O52" s="99">
        <v>8</v>
      </c>
      <c r="P52" s="93">
        <f t="shared" si="31"/>
        <v>5692268</v>
      </c>
      <c r="Q52" s="1">
        <f t="shared" si="27"/>
        <v>22769078</v>
      </c>
      <c r="R52" s="9">
        <f>SUM($Q$45:Q52)</f>
        <v>26021796</v>
      </c>
      <c r="S52" s="282">
        <f t="shared" si="28"/>
        <v>-169659829.11576509</v>
      </c>
      <c r="T52" s="9">
        <f t="shared" si="29"/>
        <v>1.2683057605991615E-7</v>
      </c>
      <c r="U52" s="287">
        <f t="shared" si="30"/>
        <v>3650749340.9575977</v>
      </c>
    </row>
    <row r="53" spans="1:21" x14ac:dyDescent="0.2">
      <c r="A53" s="97">
        <v>9</v>
      </c>
      <c r="B53" s="93">
        <f t="shared" si="25"/>
        <v>16777216</v>
      </c>
      <c r="C53" s="1">
        <f t="shared" si="22"/>
        <v>67108864</v>
      </c>
      <c r="D53" s="9">
        <f>SUM($C$45:C53)</f>
        <v>76695844</v>
      </c>
      <c r="E53" s="9">
        <f t="shared" si="23"/>
        <v>-501003337.2181924</v>
      </c>
      <c r="F53" s="9">
        <f t="shared" si="24"/>
        <v>4.8846080439448487E-8</v>
      </c>
      <c r="G53" s="287">
        <f t="shared" si="26"/>
        <v>12260578372.974337</v>
      </c>
      <c r="O53" s="99">
        <v>9</v>
      </c>
      <c r="P53" s="93">
        <f t="shared" si="31"/>
        <v>45538156</v>
      </c>
      <c r="Q53" s="1">
        <f t="shared" si="27"/>
        <v>182152630</v>
      </c>
      <c r="R53" s="9">
        <f>SUM($Q$45:Q53)</f>
        <v>208174426</v>
      </c>
      <c r="S53" s="282">
        <f t="shared" si="28"/>
        <v>-1359866150.6284699</v>
      </c>
      <c r="T53" s="9">
        <f t="shared" si="29"/>
        <v>1.7995925039300423E-8</v>
      </c>
      <c r="U53" s="287">
        <f t="shared" si="30"/>
        <v>33278711493.440849</v>
      </c>
    </row>
    <row r="54" spans="1:21" ht="17" thickBot="1" x14ac:dyDescent="0.25">
      <c r="A54" s="145">
        <v>10</v>
      </c>
      <c r="B54" s="94">
        <f t="shared" si="25"/>
        <v>134217728</v>
      </c>
      <c r="C54" s="111">
        <f t="shared" si="22"/>
        <v>536870912</v>
      </c>
      <c r="D54" s="10">
        <f>SUM($C$45:C54)</f>
        <v>613566756</v>
      </c>
      <c r="E54" s="10">
        <f t="shared" si="23"/>
        <v>-4011264117.6759601</v>
      </c>
      <c r="F54" s="10">
        <f t="shared" si="24"/>
        <v>6.8380683748747752E-9</v>
      </c>
      <c r="G54" s="288">
        <f t="shared" si="26"/>
        <v>110026160069.29155</v>
      </c>
      <c r="O54" s="100">
        <v>10</v>
      </c>
      <c r="P54" s="94">
        <f t="shared" si="31"/>
        <v>364305260</v>
      </c>
      <c r="Q54" s="111">
        <f t="shared" si="27"/>
        <v>1457221046</v>
      </c>
      <c r="R54" s="10">
        <f>SUM($Q$45:Q54)</f>
        <v>1665395472</v>
      </c>
      <c r="S54" s="283">
        <f t="shared" si="28"/>
        <v>-10887716834.798037</v>
      </c>
      <c r="T54" s="10">
        <f t="shared" si="29"/>
        <v>2.5192883616043048E-9</v>
      </c>
      <c r="U54" s="288">
        <f t="shared" si="30"/>
        <v>298642432936.74365</v>
      </c>
    </row>
  </sheetData>
  <mergeCells count="2">
    <mergeCell ref="A18:F18"/>
    <mergeCell ref="O18:T18"/>
  </mergeCells>
  <conditionalFormatting sqref="F45:F54">
    <cfRule type="cellIs" dxfId="463" priority="53" operator="equal">
      <formula>MAX($F$45:$F$54)</formula>
    </cfRule>
  </conditionalFormatting>
  <conditionalFormatting sqref="F21:F30">
    <cfRule type="cellIs" dxfId="462" priority="51" operator="equal">
      <formula>MAX($F$21:$F$30)</formula>
    </cfRule>
  </conditionalFormatting>
  <conditionalFormatting sqref="F33:F42">
    <cfRule type="cellIs" dxfId="461" priority="32" operator="lessThanOrEqual">
      <formula>0</formula>
    </cfRule>
    <cfRule type="cellIs" dxfId="460" priority="49" operator="equal">
      <formula>MAX($F$33:$F$42)</formula>
    </cfRule>
  </conditionalFormatting>
  <conditionalFormatting sqref="E33:E42">
    <cfRule type="cellIs" dxfId="459" priority="47" stopIfTrue="1" operator="lessThan">
      <formula>0</formula>
    </cfRule>
    <cfRule type="cellIs" dxfId="458" priority="48" operator="equal">
      <formula>MIN($E$33:$E$42)</formula>
    </cfRule>
  </conditionalFormatting>
  <conditionalFormatting sqref="E21:E30">
    <cfRule type="cellIs" dxfId="457" priority="43" stopIfTrue="1" operator="lessThan">
      <formula>0</formula>
    </cfRule>
    <cfRule type="cellIs" dxfId="456" priority="44" operator="equal">
      <formula>MIN($E$21:$E$30)</formula>
    </cfRule>
  </conditionalFormatting>
  <conditionalFormatting sqref="E45:E54">
    <cfRule type="cellIs" dxfId="455" priority="39" stopIfTrue="1" operator="lessThan">
      <formula>0</formula>
    </cfRule>
    <cfRule type="cellIs" dxfId="454" priority="40" operator="equal">
      <formula>MIN($E$45:$E$54)</formula>
    </cfRule>
  </conditionalFormatting>
  <conditionalFormatting sqref="S7:T16">
    <cfRule type="cellIs" dxfId="453" priority="13" operator="lessThanOrEqual">
      <formula>0</formula>
    </cfRule>
    <cfRule type="cellIs" dxfId="452" priority="14" operator="greaterThan">
      <formula>0</formula>
    </cfRule>
  </conditionalFormatting>
  <conditionalFormatting sqref="U7:U16">
    <cfRule type="cellIs" dxfId="451" priority="15" operator="lessThanOrEqual">
      <formula>0</formula>
    </cfRule>
    <cfRule type="cellIs" dxfId="450" priority="16" operator="greaterThan">
      <formula>0</formula>
    </cfRule>
  </conditionalFormatting>
  <conditionalFormatting sqref="R7:R16">
    <cfRule type="cellIs" dxfId="449" priority="17" operator="lessThanOrEqual">
      <formula>0</formula>
    </cfRule>
    <cfRule type="cellIs" dxfId="448" priority="18" operator="greaterThan">
      <formula>0</formula>
    </cfRule>
  </conditionalFormatting>
  <conditionalFormatting sqref="T21:T30">
    <cfRule type="cellIs" dxfId="447" priority="9" operator="equal">
      <formula>MAX($T$21:$T$30)</formula>
    </cfRule>
  </conditionalFormatting>
  <conditionalFormatting sqref="S33:S42">
    <cfRule type="cellIs" dxfId="446" priority="7" stopIfTrue="1" operator="lessThan">
      <formula>0</formula>
    </cfRule>
    <cfRule type="cellIs" dxfId="445" priority="8" operator="equal">
      <formula>MIN($E$21:$E$30)</formula>
    </cfRule>
  </conditionalFormatting>
  <conditionalFormatting sqref="T33:T42">
    <cfRule type="cellIs" dxfId="444" priority="6" operator="equal">
      <formula>MAX($T$21:$T$30)</formula>
    </cfRule>
  </conditionalFormatting>
  <conditionalFormatting sqref="S45:S54">
    <cfRule type="cellIs" dxfId="443" priority="4" stopIfTrue="1" operator="lessThan">
      <formula>0</formula>
    </cfRule>
    <cfRule type="cellIs" dxfId="442" priority="5" operator="equal">
      <formula>MIN($E$21:$E$30)</formula>
    </cfRule>
  </conditionalFormatting>
  <conditionalFormatting sqref="T45:T54">
    <cfRule type="cellIs" dxfId="441" priority="3" operator="equal">
      <formula>MAX($T$21:$T$30)</formula>
    </cfRule>
  </conditionalFormatting>
  <conditionalFormatting sqref="S21:S30">
    <cfRule type="cellIs" dxfId="440" priority="1" stopIfTrue="1" operator="lessThan">
      <formula>0</formula>
    </cfRule>
    <cfRule type="cellIs" dxfId="439" priority="2" operator="equal">
      <formula>MIN($E$21:$E$30)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>
    <pageSetUpPr fitToPage="1"/>
  </sheetPr>
  <dimension ref="A1:W54"/>
  <sheetViews>
    <sheetView workbookViewId="0">
      <selection activeCell="C7" sqref="C7:C16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0.99999999999999989</v>
      </c>
    </row>
    <row r="2" spans="1:23" x14ac:dyDescent="0.2">
      <c r="A2" t="s">
        <v>40</v>
      </c>
      <c r="B2" s="149" t="s">
        <v>125</v>
      </c>
      <c r="C2" s="155">
        <f>Analysis!B28</f>
        <v>0.30777880899733934</v>
      </c>
      <c r="D2" s="149" t="s">
        <v>126</v>
      </c>
      <c r="E2" s="155">
        <f>Analysis!I28</f>
        <v>0.69222119100266055</v>
      </c>
      <c r="F2" s="149" t="s">
        <v>47</v>
      </c>
      <c r="G2" s="155">
        <f>Analysis!S28</f>
        <v>6.5114584947403316</v>
      </c>
      <c r="H2" t="s">
        <v>156</v>
      </c>
      <c r="I2" s="169">
        <f>Analysis!T28</f>
        <v>-6.5612895083042648</v>
      </c>
      <c r="J2" t="s">
        <v>48</v>
      </c>
      <c r="K2" s="169">
        <f>C2*G2+E2*I2</f>
        <v>-2.5377746976048519</v>
      </c>
      <c r="L2" t="s">
        <v>47</v>
      </c>
      <c r="M2" s="176">
        <v>2</v>
      </c>
      <c r="N2" t="s">
        <v>156</v>
      </c>
      <c r="O2" s="176">
        <v>5</v>
      </c>
    </row>
    <row r="4" spans="1:23" x14ac:dyDescent="0.2">
      <c r="A4" t="s">
        <v>123</v>
      </c>
      <c r="B4">
        <f>$C$2</f>
        <v>0.30777880899733934</v>
      </c>
      <c r="C4" t="s">
        <v>124</v>
      </c>
      <c r="D4">
        <f>$E$2</f>
        <v>0.69222119100266055</v>
      </c>
      <c r="E4" t="s">
        <v>47</v>
      </c>
      <c r="F4">
        <f>G2</f>
        <v>6.5114584947403316</v>
      </c>
      <c r="G4" t="s">
        <v>156</v>
      </c>
      <c r="H4">
        <f>I2</f>
        <v>-6.5612895083042648</v>
      </c>
      <c r="I4" t="s">
        <v>48</v>
      </c>
      <c r="J4">
        <f>K2</f>
        <v>-2.5377746976048519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60">
        <v>-10</v>
      </c>
      <c r="N6" s="104" t="s">
        <v>136</v>
      </c>
      <c r="R6" s="188" t="s">
        <v>49</v>
      </c>
      <c r="S6" s="164" t="s">
        <v>130</v>
      </c>
      <c r="T6" s="165" t="s">
        <v>137</v>
      </c>
      <c r="U6" s="268" t="s">
        <v>48</v>
      </c>
      <c r="V6" s="175" t="s">
        <v>47</v>
      </c>
      <c r="W6" s="168" t="s">
        <v>156</v>
      </c>
    </row>
    <row r="7" spans="1:23" x14ac:dyDescent="0.2">
      <c r="A7" s="101">
        <v>1</v>
      </c>
      <c r="B7" s="95">
        <f>C7*B4</f>
        <v>0.30777880899733934</v>
      </c>
      <c r="C7" s="95">
        <v>1</v>
      </c>
      <c r="D7" s="22">
        <f>C7*D4</f>
        <v>0.69222119100266055</v>
      </c>
      <c r="E7" s="2"/>
      <c r="F7" s="2"/>
      <c r="G7" s="2"/>
      <c r="H7" s="2"/>
      <c r="I7" s="2"/>
      <c r="J7" s="2"/>
      <c r="K7" s="2"/>
      <c r="L7" s="2"/>
      <c r="M7" s="261"/>
      <c r="N7" s="96">
        <f>B7+D7</f>
        <v>0.99999999999999989</v>
      </c>
      <c r="R7" s="189">
        <f>B7-D7</f>
        <v>-0.38444238200532121</v>
      </c>
      <c r="S7" s="109">
        <f>SUM(C7)*$B$4*$F$4</f>
        <v>2.0040889403467874</v>
      </c>
      <c r="T7" s="263">
        <f>SUM(C7)*$D$4*$H$4</f>
        <v>-4.5418636379516393</v>
      </c>
      <c r="U7" s="265">
        <f>S7+T7</f>
        <v>-2.5377746976048519</v>
      </c>
      <c r="V7" s="109">
        <f>(U7+W7*D7)/B7</f>
        <v>-5.9963631434357314</v>
      </c>
      <c r="W7" s="57">
        <f>COUNT(D7:M7)</f>
        <v>1</v>
      </c>
    </row>
    <row r="8" spans="1:23" x14ac:dyDescent="0.2">
      <c r="A8" s="99">
        <v>2</v>
      </c>
      <c r="B8" s="97">
        <f>C8*B4</f>
        <v>0.39110388902839632</v>
      </c>
      <c r="C8" s="97">
        <f>1/(1-B4*D4*C7)</f>
        <v>1.2707303998690089</v>
      </c>
      <c r="D8" s="144">
        <f>C8*D4</f>
        <v>0.8796265108406125</v>
      </c>
      <c r="E8" s="1">
        <f>D8*D4</f>
        <v>0.60889611097160345</v>
      </c>
      <c r="F8" s="1"/>
      <c r="G8" s="1"/>
      <c r="H8" s="1"/>
      <c r="I8" s="1"/>
      <c r="J8" s="1"/>
      <c r="K8" s="1"/>
      <c r="L8" s="1"/>
      <c r="M8" s="262"/>
      <c r="N8" s="97">
        <f>B8+E8</f>
        <v>0.99999999999999978</v>
      </c>
      <c r="R8" s="190">
        <f>B8-E8</f>
        <v>-0.21779222194320713</v>
      </c>
      <c r="S8" s="93">
        <f>SUM(C8:D8)*$B$4*$F$4</f>
        <v>4.3095065025514359</v>
      </c>
      <c r="T8" s="262">
        <f>SUM(C8:D8)*$D$4*$H$4</f>
        <v>-9.7666278613700488</v>
      </c>
      <c r="U8" s="266">
        <f>S8+T8</f>
        <v>-5.4571213588186129</v>
      </c>
      <c r="V8" s="93">
        <f>(U8+W8*E8)/B8</f>
        <v>-10.839393971271932</v>
      </c>
      <c r="W8" s="9">
        <f>COUNT(D8:M8)</f>
        <v>2</v>
      </c>
    </row>
    <row r="9" spans="1:23" x14ac:dyDescent="0.2">
      <c r="A9" s="99">
        <v>3</v>
      </c>
      <c r="B9" s="97">
        <f>C9*B4</f>
        <v>0.42203707509823019</v>
      </c>
      <c r="C9" s="97">
        <f>1/(1-D4*B4*C8)</f>
        <v>1.3712349998140339</v>
      </c>
      <c r="D9" s="144">
        <f>C9*D4*C8</f>
        <v>1.2061746584289466</v>
      </c>
      <c r="E9" s="1">
        <f>D9*(D4)</f>
        <v>0.83493965861491271</v>
      </c>
      <c r="F9" s="1">
        <f>E9*D4</f>
        <v>0.5779629249017697</v>
      </c>
      <c r="G9" s="1"/>
      <c r="H9" s="1"/>
      <c r="I9" s="1"/>
      <c r="J9" s="1"/>
      <c r="K9" s="1"/>
      <c r="L9" s="1"/>
      <c r="M9" s="262"/>
      <c r="N9" s="97">
        <f>B9+F9</f>
        <v>0.99999999999999989</v>
      </c>
      <c r="R9" s="190">
        <f>B9-F9</f>
        <v>-0.15592584980353952</v>
      </c>
      <c r="S9" s="93">
        <f>SUM(C9:E9)*$B$4*$F$4</f>
        <v>6.8386515265148189</v>
      </c>
      <c r="T9" s="262">
        <f>SUM(C9:E9)*$D$4*$H$4</f>
        <v>-15.49842528222598</v>
      </c>
      <c r="U9" s="266">
        <f t="shared" ref="U9:U16" si="0">S9+T9</f>
        <v>-8.6597737557111607</v>
      </c>
      <c r="V9" s="93">
        <f>(U9+W9*F9)/B9</f>
        <v>-16.410607952853038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0.43480365658845271</v>
      </c>
      <c r="C10" s="97">
        <f>1/(1-D4*B4*C9)</f>
        <v>1.4127147284926023</v>
      </c>
      <c r="D10" s="144">
        <f>C10*D4*C9</f>
        <v>1.340945888500628</v>
      </c>
      <c r="E10" s="1">
        <f>D10*D4*C8</f>
        <v>1.1795315531278725</v>
      </c>
      <c r="F10" s="1">
        <f>E10*D4</f>
        <v>0.81649673653139387</v>
      </c>
      <c r="G10" s="1">
        <f>F10*D4</f>
        <v>0.56519634341154701</v>
      </c>
      <c r="H10" s="1"/>
      <c r="I10" s="1"/>
      <c r="J10" s="1"/>
      <c r="K10" s="1"/>
      <c r="L10" s="1"/>
      <c r="M10" s="262"/>
      <c r="N10" s="97">
        <f>B10+G10</f>
        <v>0.99999999999999978</v>
      </c>
      <c r="R10" s="190">
        <f>B10-G10</f>
        <v>-0.13039268682309429</v>
      </c>
      <c r="S10" s="93">
        <f>SUM(C10:F10)*$B$4*$F$4</f>
        <v>9.5187990079100917</v>
      </c>
      <c r="T10" s="262">
        <f>SUM(C10:F10)*$D$4*$H$4</f>
        <v>-21.572439336707255</v>
      </c>
      <c r="U10" s="266">
        <f t="shared" si="0"/>
        <v>-12.053640328797163</v>
      </c>
      <c r="V10" s="93">
        <f>(U10+W10*G10)/B10</f>
        <v>-22.522476080324317</v>
      </c>
      <c r="W10" s="9">
        <f t="shared" si="1"/>
        <v>4</v>
      </c>
    </row>
    <row r="11" spans="1:23" x14ac:dyDescent="0.2">
      <c r="A11" s="99">
        <v>5</v>
      </c>
      <c r="B11" s="97">
        <f>C11*B4</f>
        <v>0.44030062558447824</v>
      </c>
      <c r="C11" s="97">
        <f>1/(1-D4*B4*C10)</f>
        <v>1.4305748567253846</v>
      </c>
      <c r="D11" s="144">
        <f>C11*D4*C10</f>
        <v>1.3989749915794458</v>
      </c>
      <c r="E11" s="1">
        <f>D11*D4*C9</f>
        <v>1.3279041587365186</v>
      </c>
      <c r="F11" s="1">
        <f>E11*D4*C8</f>
        <v>1.1680597018801426</v>
      </c>
      <c r="G11" s="1">
        <f>F11*D4</f>
        <v>0.80855567799768491</v>
      </c>
      <c r="H11" s="1">
        <f>G11*D4</f>
        <v>0.5596993744155212</v>
      </c>
      <c r="I11" s="1"/>
      <c r="J11" s="1"/>
      <c r="K11" s="1"/>
      <c r="L11" s="1"/>
      <c r="M11" s="262"/>
      <c r="N11" s="97">
        <f>B11+H11</f>
        <v>0.99999999999999944</v>
      </c>
      <c r="R11" s="190">
        <f>B11-H11</f>
        <v>-0.11939874883104296</v>
      </c>
      <c r="S11" s="93">
        <f>SUM(C11:G11)*$B$4*$F$4</f>
        <v>12.29322061764452</v>
      </c>
      <c r="T11" s="262">
        <f>SUM(C11:G11)*$D$4*$H$4</f>
        <v>-27.860106701120515</v>
      </c>
      <c r="U11" s="266">
        <f t="shared" si="0"/>
        <v>-15.566886083475994</v>
      </c>
      <c r="V11" s="93">
        <f>(U11+W11*H11)/B11</f>
        <v>-28.999252940985393</v>
      </c>
      <c r="W11" s="9">
        <f t="shared" si="1"/>
        <v>5</v>
      </c>
    </row>
    <row r="12" spans="1:23" x14ac:dyDescent="0.2">
      <c r="A12" s="99">
        <v>6</v>
      </c>
      <c r="B12" s="97">
        <f>C12*B4</f>
        <v>0.44271052330467653</v>
      </c>
      <c r="C12" s="97">
        <f>1/(1-D4*B4*C11)</f>
        <v>1.4384048230835269</v>
      </c>
      <c r="D12" s="144">
        <f>C12*D4*C11</f>
        <v>1.424415230248411</v>
      </c>
      <c r="E12" s="1">
        <f>D12*D4*C10</f>
        <v>1.3929514246488193</v>
      </c>
      <c r="F12" s="1">
        <f>E12*D4*C9</f>
        <v>1.3221866015065813</v>
      </c>
      <c r="G12" s="1">
        <f>F12*D4*C8</f>
        <v>1.1630303869634415</v>
      </c>
      <c r="H12" s="1">
        <f>G12*D4</f>
        <v>0.80507427963611866</v>
      </c>
      <c r="I12" s="1">
        <f>H12*D4</f>
        <v>0.55728947669532303</v>
      </c>
      <c r="J12" s="1"/>
      <c r="K12" s="1"/>
      <c r="L12" s="1"/>
      <c r="M12" s="262"/>
      <c r="N12" s="97">
        <f>B12+I12</f>
        <v>0.99999999999999956</v>
      </c>
      <c r="R12" s="190">
        <f>B12-I12</f>
        <v>-0.1145789533906465</v>
      </c>
      <c r="S12" s="93">
        <f>SUM(C12:H12)*$B$4*$F$4</f>
        <v>15.12298089259566</v>
      </c>
      <c r="T12" s="262">
        <f>SUM(C12:H12)*$D$4*$H$4</f>
        <v>-34.273187996153581</v>
      </c>
      <c r="U12" s="266">
        <f t="shared" si="0"/>
        <v>-19.150207103557921</v>
      </c>
      <c r="V12" s="93">
        <f>(U12+W12*I12)/B12</f>
        <v>-35.703850284371619</v>
      </c>
      <c r="W12" s="9">
        <f t="shared" si="1"/>
        <v>6</v>
      </c>
    </row>
    <row r="13" spans="1:23" x14ac:dyDescent="0.2">
      <c r="A13" s="99">
        <v>7</v>
      </c>
      <c r="B13" s="97">
        <f>C13*B4</f>
        <v>0.44377537181637244</v>
      </c>
      <c r="C13" s="97">
        <f>1/(1-D4*B4*C12)</f>
        <v>1.4418646080998019</v>
      </c>
      <c r="D13" s="144">
        <f>C13*D4*C12</f>
        <v>1.4356563713378385</v>
      </c>
      <c r="E13" s="1">
        <f>D13*D4*C11</f>
        <v>1.4216935093091214</v>
      </c>
      <c r="F13" s="1">
        <f>E13*D4*C10</f>
        <v>1.3902898236076546</v>
      </c>
      <c r="G13" s="1">
        <f>F13*D4*C9</f>
        <v>1.3196602153218864</v>
      </c>
      <c r="H13" s="1">
        <f>G13*D4*C8</f>
        <v>1.1608081106987622</v>
      </c>
      <c r="I13" s="1">
        <f>H13*D4</f>
        <v>0.80353597291344536</v>
      </c>
      <c r="J13" s="1">
        <f>I13*D4</f>
        <v>0.55622462818362672</v>
      </c>
      <c r="K13" s="1"/>
      <c r="L13" s="1"/>
      <c r="M13" s="262"/>
      <c r="N13" s="97">
        <f>B13+J13</f>
        <v>0.99999999999999911</v>
      </c>
      <c r="R13" s="190">
        <f>B13-J13</f>
        <v>-0.11244925636725428</v>
      </c>
      <c r="S13" s="93">
        <f>SUM(C13:I13)*$B$4*$F$4</f>
        <v>17.983709363989959</v>
      </c>
      <c r="T13" s="262">
        <f>SUM(C13:I13)*$D$4*$H$4</f>
        <v>-40.756452466457198</v>
      </c>
      <c r="U13" s="266">
        <f t="shared" si="0"/>
        <v>-22.772743102467238</v>
      </c>
      <c r="V13" s="93">
        <f>(U13+W13*J13)/B13</f>
        <v>-42.542177651520888</v>
      </c>
      <c r="W13" s="9">
        <f t="shared" si="1"/>
        <v>7</v>
      </c>
    </row>
    <row r="14" spans="1:23" x14ac:dyDescent="0.2">
      <c r="A14" s="99">
        <v>8</v>
      </c>
      <c r="B14" s="97">
        <f>C14*B4</f>
        <v>0.4442475242325335</v>
      </c>
      <c r="C14" s="97">
        <f>1/(1-D4*B4*C13)</f>
        <v>1.4433986721820535</v>
      </c>
      <c r="D14" s="144">
        <f>C14*D4*C13</f>
        <v>1.4406406783707015</v>
      </c>
      <c r="E14" s="1">
        <f>D14*D4*C12</f>
        <v>1.4344377114832436</v>
      </c>
      <c r="F14" s="1">
        <f>E14*D4*C11</f>
        <v>1.4204867018585901</v>
      </c>
      <c r="G14" s="1">
        <f>F14*D4*C10</f>
        <v>1.3891096732401238</v>
      </c>
      <c r="H14" s="1">
        <f>G14*D4*C9</f>
        <v>1.3185400190421734</v>
      </c>
      <c r="I14" s="1">
        <f>H14*D4*C8</f>
        <v>1.1598227563537817</v>
      </c>
      <c r="J14" s="1">
        <f>I14*D4</f>
        <v>0.80285388975520333</v>
      </c>
      <c r="K14" s="1">
        <f>J14*D4</f>
        <v>0.55575247576746556</v>
      </c>
      <c r="L14" s="1"/>
      <c r="M14" s="262"/>
      <c r="N14" s="97">
        <f>B14+K14</f>
        <v>0.99999999999999911</v>
      </c>
      <c r="R14" s="190">
        <f>B14-K14</f>
        <v>-0.11150495153493206</v>
      </c>
      <c r="S14" s="93">
        <f>SUM(C14:J14)*$B$4*$F$4</f>
        <v>20.86114317085239</v>
      </c>
      <c r="T14" s="262">
        <f>SUM(C14:J14)*$D$4*$H$4</f>
        <v>-47.277576212462101</v>
      </c>
      <c r="U14" s="266">
        <f t="shared" si="0"/>
        <v>-26.416433041609711</v>
      </c>
      <c r="V14" s="93">
        <f>(U14+W14*K14)/B14</f>
        <v>-49.455341981759616</v>
      </c>
      <c r="W14" s="9">
        <f t="shared" si="1"/>
        <v>8</v>
      </c>
    </row>
    <row r="15" spans="1:23" x14ac:dyDescent="0.2">
      <c r="A15" s="99">
        <v>9</v>
      </c>
      <c r="B15" s="97">
        <f>C15*B4</f>
        <v>0.44445719763936919</v>
      </c>
      <c r="C15" s="97">
        <f>1/(1-D4*B4*C14)</f>
        <v>1.4440799192358023</v>
      </c>
      <c r="D15" s="144">
        <f>C15*D4*C14</f>
        <v>1.442854109035302</v>
      </c>
      <c r="E15" s="1">
        <f>D15*D4*C13</f>
        <v>1.4400971557554523</v>
      </c>
      <c r="F15" s="1">
        <f>E15*D4*C12</f>
        <v>1.4338965291134389</v>
      </c>
      <c r="G15" s="1">
        <f>F15*D4*C11</f>
        <v>1.4199507829034248</v>
      </c>
      <c r="H15" s="1">
        <f>G15*D4*C10</f>
        <v>1.3885855921602244</v>
      </c>
      <c r="I15" s="1">
        <f>H15*D4*C9</f>
        <v>1.3180425623687502</v>
      </c>
      <c r="J15" s="1">
        <f>I15*D4*C8</f>
        <v>1.1593851802758439</v>
      </c>
      <c r="K15" s="1">
        <f>J15*D4</f>
        <v>0.802550990321379</v>
      </c>
      <c r="L15" s="1">
        <f>K15*D4</f>
        <v>0.5555428023606297</v>
      </c>
      <c r="M15" s="262"/>
      <c r="N15" s="97">
        <f>B15+L15</f>
        <v>0.99999999999999889</v>
      </c>
      <c r="R15" s="190">
        <f>B15-L15</f>
        <v>-0.1110856047212605</v>
      </c>
      <c r="S15" s="93">
        <f>SUM(C15:K15)*$B$4*$F$4</f>
        <v>23.747337307177666</v>
      </c>
      <c r="T15" s="262">
        <f>SUM(C15:K15)*$D$4*$H$4</f>
        <v>-53.818553479457385</v>
      </c>
      <c r="U15" s="266">
        <f t="shared" si="0"/>
        <v>-30.071216172279719</v>
      </c>
      <c r="V15" s="93">
        <f>(U15+W15*L15)/B15</f>
        <v>-56.408876004696481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0.44455037286429017</v>
      </c>
      <c r="C16" s="145">
        <f>1/(1-D4*B4*C15)</f>
        <v>1.4443826536093107</v>
      </c>
      <c r="D16" s="153">
        <f>C16*D4*C15</f>
        <v>1.4438377192276171</v>
      </c>
      <c r="E16" s="111">
        <f>D16*D4*C14</f>
        <v>1.4426121146190902</v>
      </c>
      <c r="F16" s="111">
        <f>E16*D4*C13</f>
        <v>1.4398556237333908</v>
      </c>
      <c r="G16" s="111">
        <f>F16*D4*C12</f>
        <v>1.4336560370558582</v>
      </c>
      <c r="H16" s="111">
        <f>G16*D4*C11</f>
        <v>1.4197126298160085</v>
      </c>
      <c r="I16" s="111">
        <f>H16*D4*C10</f>
        <v>1.3883526996192317</v>
      </c>
      <c r="J16" s="111">
        <f>I16*D4*C9</f>
        <v>1.3178215012521579</v>
      </c>
      <c r="K16" s="111">
        <f>J16*D4*C8</f>
        <v>1.1591907290571735</v>
      </c>
      <c r="L16" s="111">
        <f>K16*D4</f>
        <v>0.80241638706719898</v>
      </c>
      <c r="M16" s="264">
        <f>L16*D4</f>
        <v>0.55544962713570833</v>
      </c>
      <c r="N16" s="145">
        <f>B16+M16</f>
        <v>0.99999999999999845</v>
      </c>
      <c r="R16" s="191">
        <f>B16-M16</f>
        <v>-0.11089925427141817</v>
      </c>
      <c r="S16" s="94">
        <f>SUM(C16:L16)*$B$4*$F$4</f>
        <v>26.638025723183915</v>
      </c>
      <c r="T16" s="264">
        <f>SUM(C16:L16)*$D$4*$H$4</f>
        <v>-60.36971612547994</v>
      </c>
      <c r="U16" s="267">
        <f t="shared" si="0"/>
        <v>-33.731690402296024</v>
      </c>
      <c r="V16" s="94">
        <f>(U16+W16*M16)/B16</f>
        <v>-63.383580019042562</v>
      </c>
      <c r="W16" s="10">
        <f t="shared" si="1"/>
        <v>10</v>
      </c>
    </row>
    <row r="18" spans="1:21" x14ac:dyDescent="0.2">
      <c r="A18" s="356" t="s">
        <v>200</v>
      </c>
      <c r="B18" s="356"/>
      <c r="C18" s="356"/>
      <c r="D18" s="356"/>
      <c r="E18" s="356"/>
      <c r="F18" s="356"/>
      <c r="O18" s="356" t="s">
        <v>201</v>
      </c>
      <c r="P18" s="356"/>
      <c r="Q18" s="356"/>
      <c r="R18" s="356"/>
      <c r="S18" s="356"/>
      <c r="T18" s="356"/>
    </row>
    <row r="19" spans="1:21" ht="17" thickBot="1" x14ac:dyDescent="0.25"/>
    <row r="20" spans="1:21" ht="17" thickBot="1" x14ac:dyDescent="0.25">
      <c r="A20" s="29" t="s">
        <v>135</v>
      </c>
      <c r="B20" s="19" t="s">
        <v>140</v>
      </c>
      <c r="C20" s="19" t="s">
        <v>139</v>
      </c>
      <c r="D20" s="19" t="s">
        <v>138</v>
      </c>
      <c r="E20" s="167" t="s">
        <v>151</v>
      </c>
      <c r="F20" s="168" t="s">
        <v>152</v>
      </c>
      <c r="G20" s="166" t="s">
        <v>47</v>
      </c>
      <c r="O20" s="29" t="s">
        <v>135</v>
      </c>
      <c r="P20" s="118" t="s">
        <v>140</v>
      </c>
      <c r="Q20" s="118" t="s">
        <v>139</v>
      </c>
      <c r="R20" s="118" t="s">
        <v>138</v>
      </c>
      <c r="S20" s="166" t="s">
        <v>151</v>
      </c>
      <c r="T20" s="168" t="s">
        <v>152</v>
      </c>
      <c r="U20" s="293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5</v>
      </c>
      <c r="D21" s="57">
        <f>SUM($C$21:C21)</f>
        <v>5</v>
      </c>
      <c r="E21" s="57">
        <f t="shared" ref="E21:E30" si="3">D21/R7</f>
        <v>-13.005850119643659</v>
      </c>
      <c r="F21" s="8">
        <f t="shared" ref="F21:F30" si="4">U7/E21</f>
        <v>0.19512562994800858</v>
      </c>
      <c r="G21" s="286">
        <f>E21*U7</f>
        <v>33.005917354472714</v>
      </c>
      <c r="O21" s="101">
        <v>1</v>
      </c>
      <c r="P21" s="109">
        <v>1</v>
      </c>
      <c r="Q21" s="110">
        <f>P21*5+10</f>
        <v>15</v>
      </c>
      <c r="R21" s="57">
        <f>SUM($Q$21)</f>
        <v>15</v>
      </c>
      <c r="S21" s="281">
        <f>R21/R7</f>
        <v>-39.017550358930976</v>
      </c>
      <c r="T21" s="8">
        <f>U7/S21</f>
        <v>6.5041876649336194E-2</v>
      </c>
      <c r="U21" s="286">
        <f>S21*U7</f>
        <v>99.017752063418129</v>
      </c>
    </row>
    <row r="22" spans="1:21" x14ac:dyDescent="0.2">
      <c r="A22" s="97">
        <v>2</v>
      </c>
      <c r="B22" s="93">
        <f>C21</f>
        <v>5</v>
      </c>
      <c r="C22" s="1">
        <f t="shared" si="2"/>
        <v>25</v>
      </c>
      <c r="D22" s="9">
        <f>SUM($C$21:C22)</f>
        <v>30</v>
      </c>
      <c r="E22" s="9">
        <f t="shared" si="3"/>
        <v>-137.74596600526436</v>
      </c>
      <c r="F22" s="9">
        <f t="shared" si="4"/>
        <v>3.9617286205027982E-2</v>
      </c>
      <c r="G22" s="287">
        <f t="shared" ref="G22:G30" si="5">E22*U8</f>
        <v>751.69645317843072</v>
      </c>
      <c r="O22" s="99">
        <v>2</v>
      </c>
      <c r="P22" s="93">
        <f>Q21</f>
        <v>15</v>
      </c>
      <c r="Q22" s="1">
        <f t="shared" ref="Q22:Q30" si="6">P22*5+10</f>
        <v>85</v>
      </c>
      <c r="R22" s="9">
        <f>SUM($Q$21:Q22)</f>
        <v>100</v>
      </c>
      <c r="S22" s="282">
        <f t="shared" ref="S22:S30" si="7">R22/R8</f>
        <v>-459.15322001754788</v>
      </c>
      <c r="T22" s="9">
        <f>U8/S22</f>
        <v>1.1885185861508394E-2</v>
      </c>
      <c r="U22" s="287">
        <f t="shared" ref="U22:U30" si="8">S22*U8</f>
        <v>2505.6548439281023</v>
      </c>
    </row>
    <row r="23" spans="1:21" x14ac:dyDescent="0.2">
      <c r="A23" s="97">
        <v>3</v>
      </c>
      <c r="B23" s="93">
        <f t="shared" ref="B23:B30" si="9">C22</f>
        <v>25</v>
      </c>
      <c r="C23" s="1">
        <f t="shared" si="2"/>
        <v>125</v>
      </c>
      <c r="D23" s="9">
        <f>SUM($C$21:C23)</f>
        <v>155</v>
      </c>
      <c r="E23" s="9">
        <f t="shared" si="3"/>
        <v>-994.06224301675411</v>
      </c>
      <c r="F23" s="9">
        <f t="shared" si="4"/>
        <v>8.7115005288106572E-3</v>
      </c>
      <c r="G23" s="287">
        <f t="shared" si="5"/>
        <v>8608.354123619858</v>
      </c>
      <c r="O23" s="99">
        <v>3</v>
      </c>
      <c r="P23" s="93">
        <f t="shared" ref="P23:P30" si="10">Q22</f>
        <v>85</v>
      </c>
      <c r="Q23" s="1">
        <f t="shared" si="6"/>
        <v>435</v>
      </c>
      <c r="R23" s="9">
        <f>SUM($Q$21:Q23)</f>
        <v>535</v>
      </c>
      <c r="S23" s="282">
        <f t="shared" si="7"/>
        <v>-3431.1180646062157</v>
      </c>
      <c r="T23" s="9">
        <f t="shared" ref="T23:T30" si="11">U9/S23</f>
        <v>2.5238926765713118E-3</v>
      </c>
      <c r="U23" s="287">
        <f t="shared" si="8"/>
        <v>29712.706168623379</v>
      </c>
    </row>
    <row r="24" spans="1:21" x14ac:dyDescent="0.2">
      <c r="A24" s="97">
        <v>4</v>
      </c>
      <c r="B24" s="93">
        <f t="shared" si="9"/>
        <v>125</v>
      </c>
      <c r="C24" s="1">
        <f t="shared" si="2"/>
        <v>625</v>
      </c>
      <c r="D24" s="9">
        <f>SUM($C$21:C24)</f>
        <v>780</v>
      </c>
      <c r="E24" s="9">
        <f t="shared" si="3"/>
        <v>-5981.9305745132597</v>
      </c>
      <c r="F24" s="9">
        <f t="shared" si="4"/>
        <v>2.0150083954757281E-3</v>
      </c>
      <c r="G24" s="287">
        <f t="shared" si="5"/>
        <v>72104.039617017814</v>
      </c>
      <c r="O24" s="99">
        <v>4</v>
      </c>
      <c r="P24" s="93">
        <f t="shared" si="10"/>
        <v>435</v>
      </c>
      <c r="Q24" s="1">
        <f t="shared" si="6"/>
        <v>2185</v>
      </c>
      <c r="R24" s="9">
        <f>SUM($Q$21:Q24)</f>
        <v>2720</v>
      </c>
      <c r="S24" s="282">
        <f t="shared" si="7"/>
        <v>-20860.065593174444</v>
      </c>
      <c r="T24" s="9">
        <f t="shared" si="11"/>
        <v>5.7783328987906903E-4</v>
      </c>
      <c r="U24" s="287">
        <f t="shared" si="8"/>
        <v>251439.72789524161</v>
      </c>
    </row>
    <row r="25" spans="1:21" x14ac:dyDescent="0.2">
      <c r="A25" s="97">
        <v>5</v>
      </c>
      <c r="B25" s="93">
        <f t="shared" si="9"/>
        <v>625</v>
      </c>
      <c r="C25" s="1">
        <f t="shared" si="2"/>
        <v>3125</v>
      </c>
      <c r="D25" s="9">
        <f>SUM($C$21:C25)</f>
        <v>3905</v>
      </c>
      <c r="E25" s="9">
        <f t="shared" si="3"/>
        <v>-32705.535344644446</v>
      </c>
      <c r="F25" s="9">
        <f t="shared" si="4"/>
        <v>4.7597099143723638E-4</v>
      </c>
      <c r="G25" s="287">
        <f t="shared" si="5"/>
        <v>509123.34300917789</v>
      </c>
      <c r="O25" s="99">
        <v>5</v>
      </c>
      <c r="P25" s="93">
        <f t="shared" si="10"/>
        <v>2185</v>
      </c>
      <c r="Q25" s="1">
        <f t="shared" si="6"/>
        <v>10935</v>
      </c>
      <c r="R25" s="9">
        <f>SUM($Q$21:Q25)</f>
        <v>13655</v>
      </c>
      <c r="S25" s="282">
        <f t="shared" si="7"/>
        <v>-114364.68249196412</v>
      </c>
      <c r="T25" s="9">
        <f t="shared" si="11"/>
        <v>1.3611620077351946E-4</v>
      </c>
      <c r="U25" s="287">
        <f t="shared" si="8"/>
        <v>1780301.984325307</v>
      </c>
    </row>
    <row r="26" spans="1:21" x14ac:dyDescent="0.2">
      <c r="A26" s="97">
        <v>6</v>
      </c>
      <c r="B26" s="93">
        <f t="shared" si="9"/>
        <v>3125</v>
      </c>
      <c r="C26" s="1">
        <f t="shared" si="2"/>
        <v>15625</v>
      </c>
      <c r="D26" s="9">
        <f>SUM($C$21:C26)</f>
        <v>19530</v>
      </c>
      <c r="E26" s="9">
        <f t="shared" si="3"/>
        <v>-170450.15181290969</v>
      </c>
      <c r="F26" s="9">
        <f t="shared" si="4"/>
        <v>1.1235077763132569E-4</v>
      </c>
      <c r="G26" s="287">
        <f t="shared" si="5"/>
        <v>3264155.7080501094</v>
      </c>
      <c r="O26" s="99">
        <v>6</v>
      </c>
      <c r="P26" s="93">
        <f t="shared" si="10"/>
        <v>10935</v>
      </c>
      <c r="Q26" s="1">
        <f t="shared" si="6"/>
        <v>54685</v>
      </c>
      <c r="R26" s="9">
        <f>SUM($Q$21:Q26)</f>
        <v>68340</v>
      </c>
      <c r="S26" s="282">
        <f t="shared" si="7"/>
        <v>-596444.61725008953</v>
      </c>
      <c r="T26" s="9">
        <f t="shared" si="11"/>
        <v>3.2107267883227837E-5</v>
      </c>
      <c r="U26" s="287">
        <f t="shared" si="8"/>
        <v>11422037.94614155</v>
      </c>
    </row>
    <row r="27" spans="1:21" x14ac:dyDescent="0.2">
      <c r="A27" s="97">
        <v>7</v>
      </c>
      <c r="B27" s="93">
        <f t="shared" si="9"/>
        <v>15625</v>
      </c>
      <c r="C27" s="1">
        <f t="shared" si="2"/>
        <v>78125</v>
      </c>
      <c r="D27" s="9">
        <f>SUM($C$21:C27)</f>
        <v>97655</v>
      </c>
      <c r="E27" s="9">
        <f t="shared" si="3"/>
        <v>-868436.1564923391</v>
      </c>
      <c r="F27" s="9">
        <f t="shared" si="4"/>
        <v>2.6222702650299118E-5</v>
      </c>
      <c r="G27" s="287">
        <f t="shared" si="5"/>
        <v>19776673.492694076</v>
      </c>
      <c r="O27" s="99">
        <v>7</v>
      </c>
      <c r="P27" s="93">
        <f t="shared" si="10"/>
        <v>54685</v>
      </c>
      <c r="Q27" s="1">
        <f t="shared" si="6"/>
        <v>273435</v>
      </c>
      <c r="R27" s="9">
        <f>SUM($Q$21:Q27)</f>
        <v>341775</v>
      </c>
      <c r="S27" s="282">
        <f t="shared" si="7"/>
        <v>-3039370.9219719339</v>
      </c>
      <c r="T27" s="9">
        <f t="shared" si="11"/>
        <v>7.4925843824591032E-6</v>
      </c>
      <c r="U27" s="287">
        <f t="shared" si="8"/>
        <v>69214813.19917585</v>
      </c>
    </row>
    <row r="28" spans="1:21" x14ac:dyDescent="0.2">
      <c r="A28" s="97">
        <v>8</v>
      </c>
      <c r="B28" s="93">
        <f t="shared" si="9"/>
        <v>78125</v>
      </c>
      <c r="C28" s="1">
        <f t="shared" si="2"/>
        <v>390625</v>
      </c>
      <c r="D28" s="9">
        <f>SUM($C$21:C28)</f>
        <v>488280</v>
      </c>
      <c r="E28" s="9">
        <f t="shared" si="3"/>
        <v>-4378998.3608668046</v>
      </c>
      <c r="F28" s="9">
        <f t="shared" si="4"/>
        <v>6.0325286434637278E-6</v>
      </c>
      <c r="G28" s="287">
        <f t="shared" si="5"/>
        <v>115677516.98915662</v>
      </c>
      <c r="O28" s="99">
        <v>8</v>
      </c>
      <c r="P28" s="93">
        <f t="shared" si="10"/>
        <v>273435</v>
      </c>
      <c r="Q28" s="1">
        <f t="shared" si="6"/>
        <v>1367185</v>
      </c>
      <c r="R28" s="9">
        <f>SUM($Q$21:Q28)</f>
        <v>1708960</v>
      </c>
      <c r="S28" s="282">
        <f t="shared" si="7"/>
        <v>-15326314.898801783</v>
      </c>
      <c r="T28" s="9">
        <f t="shared" si="11"/>
        <v>1.7235997835118837E-6</v>
      </c>
      <c r="U28" s="287">
        <f t="shared" si="8"/>
        <v>404866571.29882264</v>
      </c>
    </row>
    <row r="29" spans="1:21" x14ac:dyDescent="0.2">
      <c r="A29" s="97">
        <v>9</v>
      </c>
      <c r="B29" s="93">
        <f t="shared" si="9"/>
        <v>390625</v>
      </c>
      <c r="C29" s="1">
        <f t="shared" si="2"/>
        <v>1953125</v>
      </c>
      <c r="D29" s="9">
        <f>SUM($C$21:C29)</f>
        <v>2441405</v>
      </c>
      <c r="E29" s="9">
        <f t="shared" si="3"/>
        <v>-21977690.143795412</v>
      </c>
      <c r="F29" s="9">
        <f t="shared" si="4"/>
        <v>1.3682609944689395E-6</v>
      </c>
      <c r="G29" s="287">
        <f t="shared" si="5"/>
        <v>660895871.28145313</v>
      </c>
      <c r="O29" s="99">
        <v>9</v>
      </c>
      <c r="P29" s="93">
        <f t="shared" si="10"/>
        <v>1367185</v>
      </c>
      <c r="Q29" s="1">
        <f t="shared" si="6"/>
        <v>6835935</v>
      </c>
      <c r="R29" s="9">
        <f>SUM($Q$21:Q29)</f>
        <v>8544895</v>
      </c>
      <c r="S29" s="282">
        <f t="shared" si="7"/>
        <v>-76921712.956787869</v>
      </c>
      <c r="T29" s="9">
        <f t="shared" si="11"/>
        <v>3.9093274208769577E-7</v>
      </c>
      <c r="U29" s="287">
        <f t="shared" si="8"/>
        <v>2313129458.6656179</v>
      </c>
    </row>
    <row r="30" spans="1:21" ht="17" thickBot="1" x14ac:dyDescent="0.25">
      <c r="A30" s="145">
        <v>10</v>
      </c>
      <c r="B30" s="94">
        <f t="shared" si="9"/>
        <v>1953125</v>
      </c>
      <c r="C30" s="111">
        <f t="shared" si="2"/>
        <v>9765625</v>
      </c>
      <c r="D30" s="10">
        <f>SUM($C$21:C30)</f>
        <v>12207030</v>
      </c>
      <c r="E30" s="10">
        <f t="shared" si="3"/>
        <v>-110073147.74294287</v>
      </c>
      <c r="F30" s="10">
        <f t="shared" si="4"/>
        <v>3.0644794933157228E-7</v>
      </c>
      <c r="G30" s="288">
        <f t="shared" si="5"/>
        <v>3712953341.2711382</v>
      </c>
      <c r="O30" s="100">
        <v>10</v>
      </c>
      <c r="P30" s="94">
        <f t="shared" si="10"/>
        <v>6835935</v>
      </c>
      <c r="Q30" s="111">
        <f t="shared" si="6"/>
        <v>34179685</v>
      </c>
      <c r="R30" s="10">
        <f>SUM($Q$21:Q30)</f>
        <v>42724580</v>
      </c>
      <c r="S30" s="283">
        <f t="shared" si="7"/>
        <v>-385255791.67047036</v>
      </c>
      <c r="T30" s="10">
        <f t="shared" si="11"/>
        <v>8.7556608185006913E-8</v>
      </c>
      <c r="U30" s="288">
        <f t="shared" si="8"/>
        <v>12995329090.319761</v>
      </c>
    </row>
    <row r="31" spans="1:21" ht="17" thickBot="1" x14ac:dyDescent="0.25"/>
    <row r="32" spans="1:21" ht="17" thickBot="1" x14ac:dyDescent="0.25">
      <c r="A32" s="117" t="s">
        <v>135</v>
      </c>
      <c r="B32" s="118" t="s">
        <v>140</v>
      </c>
      <c r="C32" s="118" t="s">
        <v>139</v>
      </c>
      <c r="D32" s="170" t="s">
        <v>138</v>
      </c>
      <c r="E32" s="167" t="s">
        <v>151</v>
      </c>
      <c r="F32" s="168" t="s">
        <v>152</v>
      </c>
      <c r="G32" s="290" t="s">
        <v>47</v>
      </c>
      <c r="O32" s="29" t="s">
        <v>135</v>
      </c>
      <c r="P32" s="118" t="s">
        <v>140</v>
      </c>
      <c r="Q32" s="118" t="s">
        <v>139</v>
      </c>
      <c r="R32" s="118" t="s">
        <v>138</v>
      </c>
      <c r="S32" s="166" t="s">
        <v>151</v>
      </c>
      <c r="T32" s="168" t="s">
        <v>152</v>
      </c>
      <c r="U32" s="294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5</v>
      </c>
      <c r="D33" s="57">
        <f>SUM($C$33:C33)</f>
        <v>5</v>
      </c>
      <c r="E33" s="9">
        <f t="shared" ref="E33:E42" si="13">D33/R7</f>
        <v>-13.005850119643659</v>
      </c>
      <c r="F33" s="8">
        <f t="shared" ref="F33:F42" si="14">U7/E33</f>
        <v>0.19512562994800858</v>
      </c>
      <c r="G33" s="289">
        <f>E33*U7</f>
        <v>33.005917354472714</v>
      </c>
      <c r="O33" s="101">
        <v>1</v>
      </c>
      <c r="P33" s="109">
        <v>1</v>
      </c>
      <c r="Q33" s="110">
        <f>P33*5+10</f>
        <v>15</v>
      </c>
      <c r="R33" s="57">
        <f>SUM($Q$21)</f>
        <v>15</v>
      </c>
      <c r="S33" s="281">
        <f>R33/R7</f>
        <v>-39.017550358930976</v>
      </c>
      <c r="T33" s="8">
        <f>U7/S33</f>
        <v>6.5041876649336194E-2</v>
      </c>
      <c r="U33" s="289">
        <f>S33*U7</f>
        <v>99.017752063418129</v>
      </c>
    </row>
    <row r="34" spans="1:21" x14ac:dyDescent="0.2">
      <c r="A34" s="97">
        <v>2</v>
      </c>
      <c r="B34" s="93">
        <f t="shared" ref="B34:B42" si="15">B33*($O$2+1)</f>
        <v>6</v>
      </c>
      <c r="C34" s="1">
        <f t="shared" si="12"/>
        <v>30</v>
      </c>
      <c r="D34" s="9">
        <f>SUM($C$33:C34)</f>
        <v>35</v>
      </c>
      <c r="E34" s="9">
        <f t="shared" si="13"/>
        <v>-160.70362700614174</v>
      </c>
      <c r="F34" s="9">
        <f t="shared" si="14"/>
        <v>3.3957673890023986E-2</v>
      </c>
      <c r="G34" s="287">
        <f t="shared" ref="G34:G42" si="16">E34*U8</f>
        <v>876.97919537483574</v>
      </c>
      <c r="O34" s="99">
        <v>2</v>
      </c>
      <c r="P34" s="93">
        <f>Q33+1</f>
        <v>16</v>
      </c>
      <c r="Q34" s="1">
        <f t="shared" ref="Q34:Q42" si="17">P34*5+10</f>
        <v>90</v>
      </c>
      <c r="R34" s="9">
        <f>SUM($Q$33:Q34)</f>
        <v>105</v>
      </c>
      <c r="S34" s="282">
        <f>R34/R8</f>
        <v>-482.11088101842523</v>
      </c>
      <c r="T34" s="9">
        <f t="shared" ref="T34:T42" si="18">U8/S34</f>
        <v>1.1319224630007995E-2</v>
      </c>
      <c r="U34" s="287">
        <f t="shared" ref="U34:U42" si="19">S34*U8</f>
        <v>2630.9375861245071</v>
      </c>
    </row>
    <row r="35" spans="1:21" x14ac:dyDescent="0.2">
      <c r="A35" s="97">
        <v>3</v>
      </c>
      <c r="B35" s="93">
        <f t="shared" si="15"/>
        <v>36</v>
      </c>
      <c r="C35" s="1">
        <f t="shared" si="12"/>
        <v>180</v>
      </c>
      <c r="D35" s="9">
        <f>SUM($C$33:C35)</f>
        <v>215</v>
      </c>
      <c r="E35" s="9">
        <f t="shared" si="13"/>
        <v>-1378.8605306361428</v>
      </c>
      <c r="F35" s="9">
        <f t="shared" si="14"/>
        <v>6.2803841021658218E-3</v>
      </c>
      <c r="G35" s="287">
        <f t="shared" si="16"/>
        <v>11940.620235988834</v>
      </c>
      <c r="O35" s="99">
        <v>3</v>
      </c>
      <c r="P35" s="93">
        <f t="shared" ref="P35:P42" si="20">Q34+1</f>
        <v>91</v>
      </c>
      <c r="Q35" s="1">
        <f t="shared" si="17"/>
        <v>465</v>
      </c>
      <c r="R35" s="9">
        <f>SUM($Q$33:Q35)</f>
        <v>570</v>
      </c>
      <c r="S35" s="282">
        <f t="shared" ref="S35:S42" si="21">R35/R9</f>
        <v>-3655.5837323841924</v>
      </c>
      <c r="T35" s="9">
        <f t="shared" si="18"/>
        <v>2.3689168104660558E-3</v>
      </c>
      <c r="U35" s="287">
        <f t="shared" si="19"/>
        <v>31656.528067505282</v>
      </c>
    </row>
    <row r="36" spans="1:21" x14ac:dyDescent="0.2">
      <c r="A36" s="97">
        <v>4</v>
      </c>
      <c r="B36" s="93">
        <f t="shared" si="15"/>
        <v>216</v>
      </c>
      <c r="C36" s="1">
        <f t="shared" si="12"/>
        <v>1080</v>
      </c>
      <c r="D36" s="9">
        <f>SUM($C$33:C36)</f>
        <v>1295</v>
      </c>
      <c r="E36" s="9">
        <f t="shared" si="13"/>
        <v>-9931.5385820444499</v>
      </c>
      <c r="F36" s="9">
        <f t="shared" si="14"/>
        <v>1.213673010402369E-3</v>
      </c>
      <c r="G36" s="287">
        <f t="shared" si="16"/>
        <v>119711.19397953598</v>
      </c>
      <c r="O36" s="99">
        <v>4</v>
      </c>
      <c r="P36" s="93">
        <f t="shared" si="20"/>
        <v>466</v>
      </c>
      <c r="Q36" s="1">
        <f t="shared" si="17"/>
        <v>2340</v>
      </c>
      <c r="R36" s="9">
        <f>SUM($Q$33:Q36)</f>
        <v>2910</v>
      </c>
      <c r="S36" s="282">
        <f t="shared" si="21"/>
        <v>-22317.202527991776</v>
      </c>
      <c r="T36" s="9">
        <f t="shared" si="18"/>
        <v>5.4010534311720547E-4</v>
      </c>
      <c r="U36" s="287">
        <f t="shared" si="19"/>
        <v>269003.53241733566</v>
      </c>
    </row>
    <row r="37" spans="1:21" x14ac:dyDescent="0.2">
      <c r="A37" s="97">
        <v>5</v>
      </c>
      <c r="B37" s="93">
        <f t="shared" si="15"/>
        <v>1296</v>
      </c>
      <c r="C37" s="1">
        <f t="shared" si="12"/>
        <v>6480</v>
      </c>
      <c r="D37" s="9">
        <f>SUM($C$33:C37)</f>
        <v>7775</v>
      </c>
      <c r="E37" s="9">
        <f t="shared" si="13"/>
        <v>-65117.935289272871</v>
      </c>
      <c r="F37" s="9">
        <f t="shared" si="14"/>
        <v>2.3905681306268917E-4</v>
      </c>
      <c r="G37" s="287">
        <f t="shared" si="16"/>
        <v>1013683.4806392723</v>
      </c>
      <c r="O37" s="99">
        <v>5</v>
      </c>
      <c r="P37" s="93">
        <f t="shared" si="20"/>
        <v>2341</v>
      </c>
      <c r="Q37" s="1">
        <f t="shared" si="17"/>
        <v>11715</v>
      </c>
      <c r="R37" s="9">
        <f>SUM($Q$33:Q37)</f>
        <v>14625</v>
      </c>
      <c r="S37" s="282">
        <f t="shared" si="21"/>
        <v>-122488.72072097952</v>
      </c>
      <c r="T37" s="9">
        <f t="shared" si="18"/>
        <v>1.2708832284187406E-4</v>
      </c>
      <c r="U37" s="287">
        <f t="shared" si="19"/>
        <v>1906767.9619741938</v>
      </c>
    </row>
    <row r="38" spans="1:21" x14ac:dyDescent="0.2">
      <c r="A38" s="97">
        <v>6</v>
      </c>
      <c r="B38" s="93">
        <f t="shared" si="15"/>
        <v>7776</v>
      </c>
      <c r="C38" s="1">
        <f t="shared" si="12"/>
        <v>38880</v>
      </c>
      <c r="D38" s="9">
        <f>SUM($C$33:C38)</f>
        <v>46655</v>
      </c>
      <c r="E38" s="9">
        <f t="shared" si="13"/>
        <v>-407186.47377528425</v>
      </c>
      <c r="F38" s="9">
        <f t="shared" si="14"/>
        <v>4.7030558078229356E-5</v>
      </c>
      <c r="G38" s="287">
        <f t="shared" si="16"/>
        <v>7797705.3025641497</v>
      </c>
      <c r="O38" s="99">
        <v>6</v>
      </c>
      <c r="P38" s="93">
        <f t="shared" si="20"/>
        <v>11716</v>
      </c>
      <c r="Q38" s="1">
        <f t="shared" si="17"/>
        <v>58590</v>
      </c>
      <c r="R38" s="9">
        <f>SUM($Q$33:Q38)</f>
        <v>73215</v>
      </c>
      <c r="S38" s="282">
        <f t="shared" si="21"/>
        <v>-638991.69815576973</v>
      </c>
      <c r="T38" s="9">
        <f t="shared" si="18"/>
        <v>2.996941456176727E-5</v>
      </c>
      <c r="U38" s="287">
        <f t="shared" si="19"/>
        <v>12236823.35713716</v>
      </c>
    </row>
    <row r="39" spans="1:21" x14ac:dyDescent="0.2">
      <c r="A39" s="97">
        <v>7</v>
      </c>
      <c r="B39" s="93">
        <f t="shared" si="15"/>
        <v>46656</v>
      </c>
      <c r="C39" s="1">
        <f t="shared" si="12"/>
        <v>233280</v>
      </c>
      <c r="D39" s="9">
        <f>SUM($C$33:C39)</f>
        <v>279935</v>
      </c>
      <c r="E39" s="9">
        <f t="shared" si="13"/>
        <v>-2489433.9815440373</v>
      </c>
      <c r="F39" s="9">
        <f t="shared" si="14"/>
        <v>9.1477593988424448E-6</v>
      </c>
      <c r="G39" s="287">
        <f t="shared" si="16"/>
        <v>56691240.532254532</v>
      </c>
      <c r="O39" s="99">
        <v>7</v>
      </c>
      <c r="P39" s="93">
        <f t="shared" si="20"/>
        <v>58591</v>
      </c>
      <c r="Q39" s="1">
        <f t="shared" si="17"/>
        <v>292965</v>
      </c>
      <c r="R39" s="9">
        <f>SUM($Q$33:Q39)</f>
        <v>366180</v>
      </c>
      <c r="S39" s="282">
        <f t="shared" si="21"/>
        <v>-3256402.1482193922</v>
      </c>
      <c r="T39" s="9">
        <f t="shared" si="18"/>
        <v>6.9932219873148731E-6</v>
      </c>
      <c r="U39" s="287">
        <f t="shared" si="19"/>
        <v>74157209.559722662</v>
      </c>
    </row>
    <row r="40" spans="1:21" x14ac:dyDescent="0.2">
      <c r="A40" s="97">
        <v>8</v>
      </c>
      <c r="B40" s="93">
        <f t="shared" si="15"/>
        <v>279936</v>
      </c>
      <c r="C40" s="1">
        <f t="shared" si="12"/>
        <v>1399680</v>
      </c>
      <c r="D40" s="9">
        <f>SUM($C$33:C40)</f>
        <v>1679615</v>
      </c>
      <c r="E40" s="9">
        <f t="shared" si="13"/>
        <v>-15063142.729350574</v>
      </c>
      <c r="F40" s="9">
        <f t="shared" si="14"/>
        <v>1.7537132533529819E-6</v>
      </c>
      <c r="G40" s="287">
        <f t="shared" si="16"/>
        <v>397914501.30609959</v>
      </c>
      <c r="O40" s="99">
        <v>8</v>
      </c>
      <c r="P40" s="93">
        <f t="shared" si="20"/>
        <v>292966</v>
      </c>
      <c r="Q40" s="1">
        <f t="shared" si="17"/>
        <v>1464840</v>
      </c>
      <c r="R40" s="9">
        <f>SUM($Q$33:Q40)</f>
        <v>1831020</v>
      </c>
      <c r="S40" s="282">
        <f t="shared" si="21"/>
        <v>-16420974.806902468</v>
      </c>
      <c r="T40" s="9">
        <f t="shared" si="18"/>
        <v>1.6087006619427798E-6</v>
      </c>
      <c r="U40" s="287">
        <f t="shared" si="19"/>
        <v>433783581.464499</v>
      </c>
    </row>
    <row r="41" spans="1:21" x14ac:dyDescent="0.2">
      <c r="A41" s="97">
        <v>9</v>
      </c>
      <c r="B41" s="93">
        <f t="shared" si="15"/>
        <v>1679616</v>
      </c>
      <c r="C41" s="1">
        <f t="shared" si="12"/>
        <v>8398080</v>
      </c>
      <c r="D41" s="9">
        <f>SUM($C$33:C41)</f>
        <v>10077695</v>
      </c>
      <c r="E41" s="9">
        <f t="shared" si="13"/>
        <v>-90720080.475659013</v>
      </c>
      <c r="F41" s="9">
        <f t="shared" si="14"/>
        <v>3.3147254736340415E-7</v>
      </c>
      <c r="G41" s="287">
        <f t="shared" si="16"/>
        <v>2728063151.1501551</v>
      </c>
      <c r="O41" s="99">
        <v>9</v>
      </c>
      <c r="P41" s="93">
        <f t="shared" si="20"/>
        <v>1464841</v>
      </c>
      <c r="Q41" s="1">
        <f t="shared" si="17"/>
        <v>7324215</v>
      </c>
      <c r="R41" s="9">
        <f>SUM($Q$33:Q41)</f>
        <v>9155235</v>
      </c>
      <c r="S41" s="282">
        <f t="shared" si="21"/>
        <v>-82416034.219488695</v>
      </c>
      <c r="T41" s="9">
        <f t="shared" si="18"/>
        <v>3.6487094358598559E-7</v>
      </c>
      <c r="U41" s="287">
        <f t="shared" si="19"/>
        <v>2478350381.0762472</v>
      </c>
    </row>
    <row r="42" spans="1:21" ht="17" thickBot="1" x14ac:dyDescent="0.25">
      <c r="A42" s="145">
        <v>10</v>
      </c>
      <c r="B42" s="94">
        <f t="shared" si="15"/>
        <v>10077696</v>
      </c>
      <c r="C42" s="111">
        <f t="shared" si="12"/>
        <v>50388480</v>
      </c>
      <c r="D42" s="10">
        <f>SUM($C$33:C42)</f>
        <v>60466175</v>
      </c>
      <c r="E42" s="9">
        <f t="shared" si="13"/>
        <v>-545235181.22144687</v>
      </c>
      <c r="F42" s="10">
        <f t="shared" si="14"/>
        <v>6.1866313040786559E-8</v>
      </c>
      <c r="G42" s="288">
        <f t="shared" si="16"/>
        <v>18391704329.401611</v>
      </c>
      <c r="O42" s="100">
        <v>10</v>
      </c>
      <c r="P42" s="94">
        <f t="shared" si="20"/>
        <v>7324216</v>
      </c>
      <c r="Q42" s="111">
        <f t="shared" si="17"/>
        <v>36621090</v>
      </c>
      <c r="R42" s="10">
        <f>SUM($Q$33:Q42)</f>
        <v>45776325</v>
      </c>
      <c r="S42" s="283">
        <f t="shared" si="21"/>
        <v>-412773965.89129126</v>
      </c>
      <c r="T42" s="10">
        <f t="shared" si="18"/>
        <v>8.1719520099723663E-8</v>
      </c>
      <c r="U42" s="288">
        <f t="shared" si="19"/>
        <v>13923563623.572935</v>
      </c>
    </row>
    <row r="43" spans="1:21" ht="17" thickBot="1" x14ac:dyDescent="0.25">
      <c r="U43" s="285"/>
    </row>
    <row r="44" spans="1:21" ht="17" thickBot="1" x14ac:dyDescent="0.25">
      <c r="A44" s="117" t="s">
        <v>135</v>
      </c>
      <c r="B44" s="118" t="s">
        <v>140</v>
      </c>
      <c r="C44" s="118" t="s">
        <v>139</v>
      </c>
      <c r="D44" s="170" t="s">
        <v>138</v>
      </c>
      <c r="E44" s="167" t="s">
        <v>151</v>
      </c>
      <c r="F44" s="168" t="s">
        <v>152</v>
      </c>
      <c r="G44" s="290" t="s">
        <v>47</v>
      </c>
      <c r="O44" s="29" t="s">
        <v>135</v>
      </c>
      <c r="P44" s="118" t="s">
        <v>140</v>
      </c>
      <c r="Q44" s="118" t="s">
        <v>139</v>
      </c>
      <c r="R44" s="118" t="s">
        <v>138</v>
      </c>
      <c r="S44" s="166" t="s">
        <v>151</v>
      </c>
      <c r="T44" s="168" t="s">
        <v>152</v>
      </c>
      <c r="U44" s="294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5</v>
      </c>
      <c r="D45" s="57">
        <f>SUM(C45:C45)</f>
        <v>5</v>
      </c>
      <c r="E45" s="57">
        <f t="shared" ref="E45:E54" si="23">D45/R7</f>
        <v>-13.005850119643659</v>
      </c>
      <c r="F45" s="8">
        <f t="shared" ref="F45:F54" si="24">U7/E45</f>
        <v>0.19512562994800858</v>
      </c>
      <c r="G45" s="286">
        <f>E45*U7</f>
        <v>33.005917354472714</v>
      </c>
      <c r="O45" s="101">
        <v>1</v>
      </c>
      <c r="P45" s="109">
        <v>1</v>
      </c>
      <c r="Q45" s="110">
        <f>P45*5+10</f>
        <v>15</v>
      </c>
      <c r="R45" s="57">
        <f>SUM($Q$21)</f>
        <v>15</v>
      </c>
      <c r="S45" s="281">
        <f>R45/R7</f>
        <v>-39.017550358930976</v>
      </c>
      <c r="T45" s="8">
        <f>U7/S45</f>
        <v>6.5041876649336194E-2</v>
      </c>
      <c r="U45" s="289">
        <f>S45*U7</f>
        <v>99.017752063418129</v>
      </c>
    </row>
    <row r="46" spans="1:21" x14ac:dyDescent="0.2">
      <c r="A46" s="97">
        <v>2</v>
      </c>
      <c r="B46" s="93">
        <f t="shared" ref="B46:B54" si="25">B45*$O$2*2</f>
        <v>10</v>
      </c>
      <c r="C46" s="1">
        <f t="shared" si="22"/>
        <v>50</v>
      </c>
      <c r="D46" s="9">
        <f>SUM($C$45:C46)</f>
        <v>55</v>
      </c>
      <c r="E46" s="9">
        <f t="shared" si="23"/>
        <v>-252.53427100965132</v>
      </c>
      <c r="F46" s="9">
        <f t="shared" si="24"/>
        <v>2.1609428839106173E-2</v>
      </c>
      <c r="G46" s="287">
        <f t="shared" ref="G46:G54" si="26">E46*U8</f>
        <v>1378.1101641604562</v>
      </c>
      <c r="O46" s="99">
        <v>2</v>
      </c>
      <c r="P46" s="93">
        <f>Q45*2</f>
        <v>30</v>
      </c>
      <c r="Q46" s="1">
        <f t="shared" ref="Q46:Q54" si="27">P46*5+10</f>
        <v>160</v>
      </c>
      <c r="R46" s="9">
        <f>SUM($Q$45:Q46)</f>
        <v>175</v>
      </c>
      <c r="S46" s="282">
        <f t="shared" ref="S46:S54" si="28">R46/R8</f>
        <v>-803.51813503070878</v>
      </c>
      <c r="T46" s="9">
        <f t="shared" ref="T46:T54" si="29">U8/S46</f>
        <v>6.791534778004797E-3</v>
      </c>
      <c r="U46" s="287">
        <f t="shared" ref="U46:U54" si="30">S46*U8</f>
        <v>4384.8959768741788</v>
      </c>
    </row>
    <row r="47" spans="1:21" x14ac:dyDescent="0.2">
      <c r="A47" s="97">
        <v>3</v>
      </c>
      <c r="B47" s="93">
        <f t="shared" si="25"/>
        <v>100</v>
      </c>
      <c r="C47" s="1">
        <f t="shared" si="22"/>
        <v>500</v>
      </c>
      <c r="D47" s="9">
        <f>SUM($C$45:C47)</f>
        <v>555</v>
      </c>
      <c r="E47" s="9">
        <f t="shared" si="23"/>
        <v>-3559.3841604793452</v>
      </c>
      <c r="F47" s="9">
        <f t="shared" si="24"/>
        <v>2.4329415891273004E-3</v>
      </c>
      <c r="G47" s="287">
        <f t="shared" si="26"/>
        <v>30823.461539413034</v>
      </c>
      <c r="O47" s="99">
        <v>3</v>
      </c>
      <c r="P47" s="93">
        <f t="shared" ref="P47:P54" si="31">Q46*2</f>
        <v>320</v>
      </c>
      <c r="Q47" s="1">
        <f t="shared" si="27"/>
        <v>1610</v>
      </c>
      <c r="R47" s="9">
        <f>SUM($Q$45:Q47)</f>
        <v>1785</v>
      </c>
      <c r="S47" s="282">
        <f t="shared" si="28"/>
        <v>-11447.749056676814</v>
      </c>
      <c r="T47" s="9">
        <f t="shared" si="29"/>
        <v>7.5646083023285808E-4</v>
      </c>
      <c r="U47" s="287">
        <f t="shared" si="30"/>
        <v>99134.916842977065</v>
      </c>
    </row>
    <row r="48" spans="1:21" x14ac:dyDescent="0.2">
      <c r="A48" s="97">
        <v>4</v>
      </c>
      <c r="B48" s="93">
        <f t="shared" si="25"/>
        <v>1000</v>
      </c>
      <c r="C48" s="1">
        <f t="shared" si="22"/>
        <v>5000</v>
      </c>
      <c r="D48" s="9">
        <f>SUM($C$45:C48)</f>
        <v>5555</v>
      </c>
      <c r="E48" s="9">
        <f t="shared" si="23"/>
        <v>-42602.082489001485</v>
      </c>
      <c r="F48" s="9">
        <f t="shared" si="24"/>
        <v>2.829354722720194E-4</v>
      </c>
      <c r="G48" s="287">
        <f t="shared" si="26"/>
        <v>513510.17958017171</v>
      </c>
      <c r="O48" s="99">
        <v>4</v>
      </c>
      <c r="P48" s="93">
        <f t="shared" si="31"/>
        <v>3220</v>
      </c>
      <c r="Q48" s="1">
        <f t="shared" si="27"/>
        <v>16110</v>
      </c>
      <c r="R48" s="9">
        <f>SUM($Q$45:Q48)</f>
        <v>17895</v>
      </c>
      <c r="S48" s="282">
        <f t="shared" si="28"/>
        <v>-137239.29183450612</v>
      </c>
      <c r="T48" s="9">
        <f t="shared" si="29"/>
        <v>8.7829368453258899E-5</v>
      </c>
      <c r="U48" s="287">
        <f t="shared" si="30"/>
        <v>1654233.0627519663</v>
      </c>
    </row>
    <row r="49" spans="1:21" x14ac:dyDescent="0.2">
      <c r="A49" s="97">
        <v>5</v>
      </c>
      <c r="B49" s="93">
        <f t="shared" si="25"/>
        <v>10000</v>
      </c>
      <c r="C49" s="1">
        <f t="shared" si="22"/>
        <v>50000</v>
      </c>
      <c r="D49" s="9">
        <f>SUM($C$45:C49)</f>
        <v>55555</v>
      </c>
      <c r="E49" s="9">
        <f t="shared" si="23"/>
        <v>-465289.63279685588</v>
      </c>
      <c r="F49" s="9">
        <f t="shared" si="24"/>
        <v>3.3456335551478862E-5</v>
      </c>
      <c r="G49" s="287">
        <f t="shared" si="26"/>
        <v>7243110.7095710309</v>
      </c>
      <c r="O49" s="99">
        <v>5</v>
      </c>
      <c r="P49" s="93">
        <f t="shared" si="31"/>
        <v>32220</v>
      </c>
      <c r="Q49" s="1">
        <f t="shared" si="27"/>
        <v>161110</v>
      </c>
      <c r="R49" s="9">
        <f>SUM($Q$45:Q49)</f>
        <v>179005</v>
      </c>
      <c r="S49" s="282">
        <f t="shared" si="28"/>
        <v>-1499220.0651390727</v>
      </c>
      <c r="T49" s="9">
        <f t="shared" si="29"/>
        <v>1.0383322932668965E-5</v>
      </c>
      <c r="U49" s="287">
        <f t="shared" si="30"/>
        <v>23338187.968081404</v>
      </c>
    </row>
    <row r="50" spans="1:21" x14ac:dyDescent="0.2">
      <c r="A50" s="97">
        <v>6</v>
      </c>
      <c r="B50" s="93">
        <f t="shared" si="25"/>
        <v>100000</v>
      </c>
      <c r="C50" s="1">
        <f t="shared" si="22"/>
        <v>500000</v>
      </c>
      <c r="D50" s="9">
        <f>SUM($C$45:C50)</f>
        <v>555555</v>
      </c>
      <c r="E50" s="9">
        <f t="shared" si="23"/>
        <v>-4848665.3400113182</v>
      </c>
      <c r="F50" s="9">
        <f t="shared" si="24"/>
        <v>3.9495831864348092E-6</v>
      </c>
      <c r="G50" s="287">
        <f t="shared" si="26"/>
        <v>92852945.437059835</v>
      </c>
      <c r="O50" s="99">
        <v>6</v>
      </c>
      <c r="P50" s="93">
        <f t="shared" si="31"/>
        <v>322220</v>
      </c>
      <c r="Q50" s="1">
        <f t="shared" si="27"/>
        <v>1611110</v>
      </c>
      <c r="R50" s="9">
        <f>SUM($Q$45:Q50)</f>
        <v>1790115</v>
      </c>
      <c r="S50" s="282">
        <f t="shared" si="28"/>
        <v>-15623419.022660872</v>
      </c>
      <c r="T50" s="9">
        <f t="shared" si="29"/>
        <v>1.2257372778507474E-6</v>
      </c>
      <c r="U50" s="287">
        <f t="shared" si="30"/>
        <v>299191709.94962221</v>
      </c>
    </row>
    <row r="51" spans="1:21" x14ac:dyDescent="0.2">
      <c r="A51" s="97">
        <v>7</v>
      </c>
      <c r="B51" s="93">
        <f t="shared" si="25"/>
        <v>1000000</v>
      </c>
      <c r="C51" s="1">
        <f t="shared" si="22"/>
        <v>5000000</v>
      </c>
      <c r="D51" s="9">
        <f>SUM($C$45:C51)</f>
        <v>5555555</v>
      </c>
      <c r="E51" s="9">
        <f t="shared" si="23"/>
        <v>-49404995.457291454</v>
      </c>
      <c r="F51" s="9">
        <f t="shared" si="24"/>
        <v>4.6094009101070195E-7</v>
      </c>
      <c r="G51" s="287">
        <f t="shared" si="26"/>
        <v>1125087269.5274591</v>
      </c>
      <c r="O51" s="99">
        <v>7</v>
      </c>
      <c r="P51" s="93">
        <f t="shared" si="31"/>
        <v>3222220</v>
      </c>
      <c r="Q51" s="1">
        <f t="shared" si="27"/>
        <v>16111110</v>
      </c>
      <c r="R51" s="9">
        <f>SUM($Q$45:Q51)</f>
        <v>17901225</v>
      </c>
      <c r="S51" s="282">
        <f t="shared" si="28"/>
        <v>-159193805.08427191</v>
      </c>
      <c r="T51" s="9">
        <f t="shared" si="29"/>
        <v>1.4305043522524074E-7</v>
      </c>
      <c r="U51" s="287">
        <f t="shared" si="30"/>
        <v>3625279626.6883669</v>
      </c>
    </row>
    <row r="52" spans="1:21" x14ac:dyDescent="0.2">
      <c r="A52" s="97">
        <v>8</v>
      </c>
      <c r="B52" s="93">
        <f t="shared" si="25"/>
        <v>10000000</v>
      </c>
      <c r="C52" s="1">
        <f t="shared" si="22"/>
        <v>50000000</v>
      </c>
      <c r="D52" s="9">
        <f>SUM($C$45:C52)</f>
        <v>55555555</v>
      </c>
      <c r="E52" s="9">
        <f t="shared" si="23"/>
        <v>-498233972.88859999</v>
      </c>
      <c r="F52" s="9">
        <f t="shared" si="24"/>
        <v>5.3020136078749803E-8</v>
      </c>
      <c r="G52" s="287">
        <f t="shared" si="26"/>
        <v>13161564383.86689</v>
      </c>
      <c r="O52" s="99">
        <v>8</v>
      </c>
      <c r="P52" s="93">
        <f t="shared" si="31"/>
        <v>32222220</v>
      </c>
      <c r="Q52" s="1">
        <f t="shared" si="27"/>
        <v>161111110</v>
      </c>
      <c r="R52" s="9">
        <f>SUM($Q$45:Q52)</f>
        <v>179012335</v>
      </c>
      <c r="S52" s="282">
        <f t="shared" si="28"/>
        <v>-1605420499.5902748</v>
      </c>
      <c r="T52" s="9">
        <f t="shared" si="29"/>
        <v>1.6454525807009156E-8</v>
      </c>
      <c r="U52" s="287">
        <f t="shared" si="30"/>
        <v>42409483131.054108</v>
      </c>
    </row>
    <row r="53" spans="1:21" x14ac:dyDescent="0.2">
      <c r="A53" s="97">
        <v>9</v>
      </c>
      <c r="B53" s="93">
        <f t="shared" si="25"/>
        <v>100000000</v>
      </c>
      <c r="C53" s="1">
        <f t="shared" si="22"/>
        <v>500000000</v>
      </c>
      <c r="D53" s="9">
        <f>SUM($C$45:C53)</f>
        <v>555555555</v>
      </c>
      <c r="E53" s="9">
        <f t="shared" si="23"/>
        <v>-5001148046.0858765</v>
      </c>
      <c r="F53" s="9">
        <f t="shared" si="24"/>
        <v>6.0128626257754573E-9</v>
      </c>
      <c r="G53" s="287">
        <f t="shared" si="26"/>
        <v>150390604003.42273</v>
      </c>
      <c r="O53" s="99">
        <v>9</v>
      </c>
      <c r="P53" s="93">
        <f t="shared" si="31"/>
        <v>322222220</v>
      </c>
      <c r="Q53" s="1">
        <f t="shared" si="27"/>
        <v>1611111110</v>
      </c>
      <c r="R53" s="9">
        <f>SUM($Q$45:Q53)</f>
        <v>1790123445</v>
      </c>
      <c r="S53" s="282">
        <f t="shared" si="28"/>
        <v>-16114810280.700493</v>
      </c>
      <c r="T53" s="9">
        <f t="shared" si="29"/>
        <v>1.8660608253200332E-9</v>
      </c>
      <c r="U53" s="287">
        <f t="shared" si="30"/>
        <v>484591943526.22015</v>
      </c>
    </row>
    <row r="54" spans="1:21" ht="17" thickBot="1" x14ac:dyDescent="0.25">
      <c r="A54" s="145">
        <v>10</v>
      </c>
      <c r="B54" s="94">
        <f t="shared" si="25"/>
        <v>1000000000</v>
      </c>
      <c r="C54" s="111">
        <f t="shared" si="22"/>
        <v>5000000000</v>
      </c>
      <c r="D54" s="10">
        <f>SUM($C$45:C54)</f>
        <v>5555555555</v>
      </c>
      <c r="E54" s="10">
        <f t="shared" si="23"/>
        <v>-50095517697.559685</v>
      </c>
      <c r="F54" s="10">
        <f t="shared" si="24"/>
        <v>6.7334747603455156E-10</v>
      </c>
      <c r="G54" s="288">
        <f t="shared" si="26"/>
        <v>1689806493516.8247</v>
      </c>
      <c r="O54" s="100">
        <v>10</v>
      </c>
      <c r="P54" s="94">
        <f t="shared" si="31"/>
        <v>3222222220</v>
      </c>
      <c r="Q54" s="111">
        <f t="shared" si="27"/>
        <v>16111111110</v>
      </c>
      <c r="R54" s="10">
        <f>SUM($Q$45:Q54)</f>
        <v>17901234555</v>
      </c>
      <c r="S54" s="283">
        <f t="shared" si="28"/>
        <v>-161418890258.6124</v>
      </c>
      <c r="T54" s="10">
        <f t="shared" si="29"/>
        <v>2.0896990648525596E-10</v>
      </c>
      <c r="U54" s="288">
        <f t="shared" si="30"/>
        <v>5444932031285.7109</v>
      </c>
    </row>
  </sheetData>
  <mergeCells count="2">
    <mergeCell ref="A18:F18"/>
    <mergeCell ref="O18:T18"/>
  </mergeCells>
  <conditionalFormatting sqref="F45:F54">
    <cfRule type="cellIs" dxfId="438" priority="53" operator="equal">
      <formula>MAX($F$45:$F$54)</formula>
    </cfRule>
  </conditionalFormatting>
  <conditionalFormatting sqref="F21:F30">
    <cfRule type="cellIs" dxfId="437" priority="51" operator="equal">
      <formula>MAX($F$21:$F$30)</formula>
    </cfRule>
  </conditionalFormatting>
  <conditionalFormatting sqref="F33:F42">
    <cfRule type="cellIs" dxfId="436" priority="32" operator="lessThanOrEqual">
      <formula>0</formula>
    </cfRule>
    <cfRule type="cellIs" dxfId="435" priority="49" operator="equal">
      <formula>MAX($F$33:$F$42)</formula>
    </cfRule>
  </conditionalFormatting>
  <conditionalFormatting sqref="E33:E42">
    <cfRule type="cellIs" dxfId="434" priority="47" stopIfTrue="1" operator="lessThan">
      <formula>0</formula>
    </cfRule>
    <cfRule type="cellIs" dxfId="433" priority="48" operator="equal">
      <formula>MIN($E$33:$E$42)</formula>
    </cfRule>
  </conditionalFormatting>
  <conditionalFormatting sqref="E21:E30">
    <cfRule type="cellIs" dxfId="432" priority="43" stopIfTrue="1" operator="lessThan">
      <formula>0</formula>
    </cfRule>
    <cfRule type="cellIs" dxfId="431" priority="44" operator="equal">
      <formula>MIN($E$21:$E$30)</formula>
    </cfRule>
  </conditionalFormatting>
  <conditionalFormatting sqref="E45:E54">
    <cfRule type="cellIs" dxfId="430" priority="39" stopIfTrue="1" operator="lessThan">
      <formula>0</formula>
    </cfRule>
    <cfRule type="cellIs" dxfId="429" priority="40" operator="equal">
      <formula>MIN($E$45:$E$54)</formula>
    </cfRule>
  </conditionalFormatting>
  <conditionalFormatting sqref="S7:T16">
    <cfRule type="cellIs" dxfId="428" priority="13" operator="lessThanOrEqual">
      <formula>0</formula>
    </cfRule>
    <cfRule type="cellIs" dxfId="427" priority="14" operator="greaterThan">
      <formula>0</formula>
    </cfRule>
  </conditionalFormatting>
  <conditionalFormatting sqref="U7:U16">
    <cfRule type="cellIs" dxfId="426" priority="15" operator="lessThanOrEqual">
      <formula>0</formula>
    </cfRule>
    <cfRule type="cellIs" dxfId="425" priority="16" operator="greaterThan">
      <formula>0</formula>
    </cfRule>
  </conditionalFormatting>
  <conditionalFormatting sqref="R7:R16">
    <cfRule type="cellIs" dxfId="424" priority="17" operator="lessThanOrEqual">
      <formula>0</formula>
    </cfRule>
    <cfRule type="cellIs" dxfId="423" priority="18" operator="greaterThan">
      <formula>0</formula>
    </cfRule>
  </conditionalFormatting>
  <conditionalFormatting sqref="T21:T30">
    <cfRule type="cellIs" dxfId="422" priority="9" operator="equal">
      <formula>MAX($T$21:$T$30)</formula>
    </cfRule>
  </conditionalFormatting>
  <conditionalFormatting sqref="S33:S42">
    <cfRule type="cellIs" dxfId="421" priority="7" stopIfTrue="1" operator="lessThan">
      <formula>0</formula>
    </cfRule>
    <cfRule type="cellIs" dxfId="420" priority="8" operator="equal">
      <formula>MIN($E$21:$E$30)</formula>
    </cfRule>
  </conditionalFormatting>
  <conditionalFormatting sqref="T33:T42">
    <cfRule type="cellIs" dxfId="419" priority="6" operator="equal">
      <formula>MAX($T$21:$T$30)</formula>
    </cfRule>
  </conditionalFormatting>
  <conditionalFormatting sqref="S45:S54">
    <cfRule type="cellIs" dxfId="418" priority="4" stopIfTrue="1" operator="lessThan">
      <formula>0</formula>
    </cfRule>
    <cfRule type="cellIs" dxfId="417" priority="5" operator="equal">
      <formula>MIN($E$21:$E$30)</formula>
    </cfRule>
  </conditionalFormatting>
  <conditionalFormatting sqref="T45:T54">
    <cfRule type="cellIs" dxfId="416" priority="3" operator="equal">
      <formula>MAX($T$21:$T$30)</formula>
    </cfRule>
  </conditionalFormatting>
  <conditionalFormatting sqref="S21:S30">
    <cfRule type="cellIs" dxfId="415" priority="1" stopIfTrue="1" operator="lessThan">
      <formula>0</formula>
    </cfRule>
    <cfRule type="cellIs" dxfId="414" priority="2" operator="equal">
      <formula>MIN($E$21:$E$30)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>
    <pageSetUpPr fitToPage="1"/>
  </sheetPr>
  <dimension ref="A1:W54"/>
  <sheetViews>
    <sheetView workbookViewId="0">
      <selection activeCell="C7" sqref="C7:C16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0.99999999999999956</v>
      </c>
    </row>
    <row r="2" spans="1:23" x14ac:dyDescent="0.2">
      <c r="A2" t="s">
        <v>40</v>
      </c>
      <c r="B2" s="149" t="s">
        <v>125</v>
      </c>
      <c r="C2" s="155">
        <f>Analysis!B29</f>
        <v>0.3134468680559272</v>
      </c>
      <c r="D2" s="149" t="s">
        <v>126</v>
      </c>
      <c r="E2" s="155">
        <f>Analysis!J29</f>
        <v>0.68655313194407241</v>
      </c>
      <c r="F2" s="149" t="s">
        <v>47</v>
      </c>
      <c r="G2" s="155">
        <f>Analysis!S29</f>
        <v>7.9917042699222263</v>
      </c>
      <c r="H2" t="s">
        <v>156</v>
      </c>
      <c r="I2" s="169">
        <f>Analysis!T29</f>
        <v>-8.0528633365422646</v>
      </c>
      <c r="J2" t="s">
        <v>48</v>
      </c>
      <c r="K2" s="169">
        <f>C2*G2+E2*I2</f>
        <v>-3.0237438709843829</v>
      </c>
      <c r="L2" t="s">
        <v>47</v>
      </c>
      <c r="M2" s="176">
        <v>2</v>
      </c>
      <c r="N2" t="s">
        <v>156</v>
      </c>
      <c r="O2" s="176">
        <v>6</v>
      </c>
    </row>
    <row r="4" spans="1:23" x14ac:dyDescent="0.2">
      <c r="A4" t="s">
        <v>123</v>
      </c>
      <c r="B4">
        <f>$C$2</f>
        <v>0.3134468680559272</v>
      </c>
      <c r="C4" t="s">
        <v>124</v>
      </c>
      <c r="D4">
        <f>$E$2</f>
        <v>0.68655313194407241</v>
      </c>
      <c r="E4" t="s">
        <v>47</v>
      </c>
      <c r="F4">
        <f>G2</f>
        <v>7.9917042699222263</v>
      </c>
      <c r="G4" t="s">
        <v>156</v>
      </c>
      <c r="H4">
        <f>I2</f>
        <v>-8.0528633365422646</v>
      </c>
      <c r="I4" t="s">
        <v>48</v>
      </c>
      <c r="J4">
        <f>K2</f>
        <v>-3.0237438709843829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60">
        <v>-10</v>
      </c>
      <c r="N6" s="104" t="s">
        <v>136</v>
      </c>
      <c r="R6" s="188" t="s">
        <v>49</v>
      </c>
      <c r="S6" s="164" t="s">
        <v>130</v>
      </c>
      <c r="T6" s="165" t="s">
        <v>137</v>
      </c>
      <c r="U6" s="268" t="s">
        <v>48</v>
      </c>
      <c r="V6" s="175" t="s">
        <v>47</v>
      </c>
      <c r="W6" s="168" t="s">
        <v>156</v>
      </c>
    </row>
    <row r="7" spans="1:23" x14ac:dyDescent="0.2">
      <c r="A7" s="101">
        <v>1</v>
      </c>
      <c r="B7" s="95">
        <f>C7*B4</f>
        <v>0.3134468680559272</v>
      </c>
      <c r="C7" s="95">
        <v>1</v>
      </c>
      <c r="D7" s="22">
        <f>C7*D4</f>
        <v>0.68655313194407241</v>
      </c>
      <c r="E7" s="2"/>
      <c r="F7" s="2"/>
      <c r="G7" s="2"/>
      <c r="H7" s="2"/>
      <c r="I7" s="2"/>
      <c r="J7" s="2"/>
      <c r="K7" s="2"/>
      <c r="L7" s="2"/>
      <c r="M7" s="261"/>
      <c r="N7" s="96">
        <f>B7+D7</f>
        <v>0.99999999999999956</v>
      </c>
      <c r="R7" s="189">
        <f>B7-D7</f>
        <v>-0.37310626388814522</v>
      </c>
      <c r="S7" s="109">
        <f>SUM(C7)*$B$4*$F$4</f>
        <v>2.5049746738363021</v>
      </c>
      <c r="T7" s="263">
        <f>SUM(C7)*$D$4*$H$4</f>
        <v>-5.528718544820685</v>
      </c>
      <c r="U7" s="265">
        <f>S7+T7</f>
        <v>-3.0237438709843829</v>
      </c>
      <c r="V7" s="109">
        <f>(U7+W7*D7)/B7</f>
        <v>-7.4564175853347301</v>
      </c>
      <c r="W7" s="57">
        <f>COUNT(D7:M7)</f>
        <v>1</v>
      </c>
    </row>
    <row r="8" spans="1:23" x14ac:dyDescent="0.2">
      <c r="A8" s="99">
        <v>2</v>
      </c>
      <c r="B8" s="97">
        <f>C8*B4</f>
        <v>0.39939607656908588</v>
      </c>
      <c r="C8" s="97">
        <f>1/(1-B4*D4*C7)</f>
        <v>1.2742066272546806</v>
      </c>
      <c r="D8" s="144">
        <f>C8*D4</f>
        <v>0.87481055068559421</v>
      </c>
      <c r="E8" s="1">
        <f>D8*D4</f>
        <v>0.6006039234309134</v>
      </c>
      <c r="F8" s="1"/>
      <c r="G8" s="1"/>
      <c r="H8" s="1"/>
      <c r="I8" s="1"/>
      <c r="J8" s="1"/>
      <c r="K8" s="1"/>
      <c r="L8" s="1"/>
      <c r="M8" s="262"/>
      <c r="N8" s="97">
        <f>B8+E8</f>
        <v>0.99999999999999933</v>
      </c>
      <c r="R8" s="190">
        <f>B8-E8</f>
        <v>-0.20120784686182752</v>
      </c>
      <c r="S8" s="93">
        <f>SUM(C8:D8)*$B$4*$F$4</f>
        <v>5.3832336043795497</v>
      </c>
      <c r="T8" s="262">
        <f>SUM(C8:D8)*$D$4*$H$4</f>
        <v>-11.881311124816611</v>
      </c>
      <c r="U8" s="266">
        <f>S8+T8</f>
        <v>-6.4980775204370609</v>
      </c>
      <c r="V8" s="93">
        <f>(U8+W8*E8)/B8</f>
        <v>-13.262197563573221</v>
      </c>
      <c r="W8" s="9">
        <f>COUNT(D8:M8)</f>
        <v>2</v>
      </c>
    </row>
    <row r="9" spans="1:23" x14ac:dyDescent="0.2">
      <c r="A9" s="99">
        <v>3</v>
      </c>
      <c r="B9" s="97">
        <f>C9*B4</f>
        <v>0.43186791148328041</v>
      </c>
      <c r="C9" s="97">
        <f>1/(1-D4*B4*C8)</f>
        <v>1.3778026054681261</v>
      </c>
      <c r="D9" s="144">
        <f>C9*D4*C8</f>
        <v>1.2053162560256179</v>
      </c>
      <c r="E9" s="1">
        <f>D9*(D4)</f>
        <v>0.82751365055749138</v>
      </c>
      <c r="F9" s="1">
        <f>E9*D4</f>
        <v>0.56813208851671837</v>
      </c>
      <c r="G9" s="1"/>
      <c r="H9" s="1"/>
      <c r="I9" s="1"/>
      <c r="J9" s="1"/>
      <c r="K9" s="1"/>
      <c r="L9" s="1"/>
      <c r="M9" s="262"/>
      <c r="N9" s="97">
        <f>B9+F9</f>
        <v>0.99999999999999878</v>
      </c>
      <c r="R9" s="190">
        <f>B9-F9</f>
        <v>-0.13626417703343796</v>
      </c>
      <c r="S9" s="93">
        <f>SUM(C9:E9)*$B$4*$F$4</f>
        <v>8.5435480644510289</v>
      </c>
      <c r="T9" s="262">
        <f>SUM(C9:E9)*$D$4*$H$4</f>
        <v>-18.856427218946017</v>
      </c>
      <c r="U9" s="266">
        <f t="shared" ref="U9:U16" si="0">S9+T9</f>
        <v>-10.312879154494988</v>
      </c>
      <c r="V9" s="93">
        <f>(U9+W9*F9)/B9</f>
        <v>-19.933138489910952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0.44555364195385916</v>
      </c>
      <c r="C10" s="97">
        <f>1/(1-D4*B4*C9)</f>
        <v>1.4214646479554571</v>
      </c>
      <c r="D10" s="144">
        <f>C10*D4*C9</f>
        <v>1.3446127267740209</v>
      </c>
      <c r="E10" s="1">
        <f>D10*D4*C8</f>
        <v>1.1762813999680397</v>
      </c>
      <c r="F10" s="1">
        <f>E10*D4</f>
        <v>0.8075796791956158</v>
      </c>
      <c r="G10" s="1">
        <f>F10*D4</f>
        <v>0.55444635804613929</v>
      </c>
      <c r="H10" s="1"/>
      <c r="I10" s="1"/>
      <c r="J10" s="1"/>
      <c r="K10" s="1"/>
      <c r="L10" s="1"/>
      <c r="M10" s="262"/>
      <c r="N10" s="97">
        <f>B10+G10</f>
        <v>0.99999999999999845</v>
      </c>
      <c r="R10" s="190">
        <f>B10-G10</f>
        <v>-0.10889271609228013</v>
      </c>
      <c r="S10" s="93">
        <f>SUM(C10:F10)*$B$4*$F$4</f>
        <v>11.898475529283461</v>
      </c>
      <c r="T10" s="262">
        <f>SUM(C10:F10)*$D$4*$H$4</f>
        <v>-26.261072816795856</v>
      </c>
      <c r="U10" s="266">
        <f t="shared" si="0"/>
        <v>-14.362597287512395</v>
      </c>
      <c r="V10" s="93">
        <f>(U10+W10*G10)/B10</f>
        <v>-27.257799536931035</v>
      </c>
      <c r="W10" s="9">
        <f t="shared" si="1"/>
        <v>4</v>
      </c>
    </row>
    <row r="11" spans="1:23" x14ac:dyDescent="0.2">
      <c r="A11" s="99">
        <v>5</v>
      </c>
      <c r="B11" s="97">
        <f>C11*B4</f>
        <v>0.45158503653511967</v>
      </c>
      <c r="C11" s="97">
        <f>1/(1-D4*B4*C10)</f>
        <v>1.4407068073002567</v>
      </c>
      <c r="D11" s="144">
        <f>C11*D4*C10</f>
        <v>1.4060016296657429</v>
      </c>
      <c r="E11" s="1">
        <f>D11*D4*C9</f>
        <v>1.3299857213000581</v>
      </c>
      <c r="F11" s="1">
        <f>E11*D4*C8</f>
        <v>1.1634855412544811</v>
      </c>
      <c r="G11" s="1">
        <f>F11*D4</f>
        <v>0.79879464231990827</v>
      </c>
      <c r="H11" s="1">
        <f>G11*D4</f>
        <v>0.54841496346487806</v>
      </c>
      <c r="I11" s="1"/>
      <c r="J11" s="1"/>
      <c r="K11" s="1"/>
      <c r="L11" s="1"/>
      <c r="M11" s="262"/>
      <c r="N11" s="97">
        <f>B11+H11</f>
        <v>0.99999999999999778</v>
      </c>
      <c r="R11" s="190">
        <f>B11-H11</f>
        <v>-9.6829926929758392E-2</v>
      </c>
      <c r="S11" s="93">
        <f>SUM(C11:G11)*$B$4*$F$4</f>
        <v>15.377975249641199</v>
      </c>
      <c r="T11" s="262">
        <f>SUM(C11:G11)*$D$4*$H$4</f>
        <v>-33.940661289911638</v>
      </c>
      <c r="U11" s="266">
        <f t="shared" si="0"/>
        <v>-18.562686040270439</v>
      </c>
      <c r="V11" s="93">
        <f>(U11+W11*H11)/B11</f>
        <v>-35.033515158812584</v>
      </c>
      <c r="W11" s="9">
        <f t="shared" si="1"/>
        <v>5</v>
      </c>
    </row>
    <row r="12" spans="1:23" x14ac:dyDescent="0.2">
      <c r="A12" s="99">
        <v>6</v>
      </c>
      <c r="B12" s="97">
        <f>C12*B4</f>
        <v>0.45429526380967267</v>
      </c>
      <c r="C12" s="97">
        <f>1/(1-D4*B4*C11)</f>
        <v>1.4493533357896382</v>
      </c>
      <c r="D12" s="144">
        <f>C12*D4*C11</f>
        <v>1.4335869379606043</v>
      </c>
      <c r="E12" s="1">
        <f>D12*D4*C10</f>
        <v>1.3990532708158829</v>
      </c>
      <c r="F12" s="1">
        <f>E12*D4*C9</f>
        <v>1.3234130275977187</v>
      </c>
      <c r="G12" s="1">
        <f>F12*D4*C8</f>
        <v>1.1577356794572498</v>
      </c>
      <c r="H12" s="1">
        <f>G12*D4</f>
        <v>0.79484705669477351</v>
      </c>
      <c r="I12" s="1">
        <f>H12*D4</f>
        <v>0.54570473619032445</v>
      </c>
      <c r="J12" s="1"/>
      <c r="K12" s="1"/>
      <c r="L12" s="1"/>
      <c r="M12" s="262"/>
      <c r="N12" s="97">
        <f>B12+I12</f>
        <v>0.99999999999999711</v>
      </c>
      <c r="R12" s="190">
        <f>B12-I12</f>
        <v>-9.1409472380651779E-2</v>
      </c>
      <c r="S12" s="93">
        <f>SUM(C12:H12)*$B$4*$F$4</f>
        <v>18.932571802456799</v>
      </c>
      <c r="T12" s="262">
        <f>SUM(C12:H12)*$D$4*$H$4</f>
        <v>-41.785995650442388</v>
      </c>
      <c r="U12" s="266">
        <f t="shared" si="0"/>
        <v>-22.853423847985589</v>
      </c>
      <c r="V12" s="93">
        <f>(U12+W12*I12)/B12</f>
        <v>-43.097951906111788</v>
      </c>
      <c r="W12" s="9">
        <f t="shared" si="1"/>
        <v>6</v>
      </c>
    </row>
    <row r="13" spans="1:23" x14ac:dyDescent="0.2">
      <c r="A13" s="99">
        <v>7</v>
      </c>
      <c r="B13" s="97">
        <f>C13*B4</f>
        <v>0.4555237354916376</v>
      </c>
      <c r="C13" s="97">
        <f>1/(1-D4*B4*C12)</f>
        <v>1.4532725699794204</v>
      </c>
      <c r="D13" s="144">
        <f>C13*D4*C12</f>
        <v>1.4460906015450909</v>
      </c>
      <c r="E13" s="1">
        <f>D13*D4*C11</f>
        <v>1.4303596964871017</v>
      </c>
      <c r="F13" s="1">
        <f>E13*D4*C10</f>
        <v>1.3959037703428669</v>
      </c>
      <c r="G13" s="1">
        <f>F13*D4*C9</f>
        <v>1.3204338058315714</v>
      </c>
      <c r="H13" s="1">
        <f>G13*D4*C8</f>
        <v>1.1551294248233919</v>
      </c>
      <c r="I13" s="1">
        <f>H13*D4</f>
        <v>0.79305772441325462</v>
      </c>
      <c r="J13" s="1">
        <f>I13*D4</f>
        <v>0.54447626450835906</v>
      </c>
      <c r="K13" s="1"/>
      <c r="L13" s="1"/>
      <c r="M13" s="262"/>
      <c r="N13" s="97">
        <f>B13+J13</f>
        <v>0.99999999999999667</v>
      </c>
      <c r="R13" s="190">
        <f>B13-J13</f>
        <v>-8.895252901672146E-2</v>
      </c>
      <c r="S13" s="93">
        <f>SUM(C13:I13)*$B$4*$F$4</f>
        <v>22.530362431736965</v>
      </c>
      <c r="T13" s="262">
        <f>SUM(C13:I13)*$D$4*$H$4</f>
        <v>-49.726663466464878</v>
      </c>
      <c r="U13" s="266">
        <f t="shared" si="0"/>
        <v>-27.196301034727913</v>
      </c>
      <c r="V13" s="93">
        <f>(U13+W13*J13)/B13</f>
        <v>-51.336440587295577</v>
      </c>
      <c r="W13" s="9">
        <f t="shared" si="1"/>
        <v>7</v>
      </c>
    </row>
    <row r="14" spans="1:23" x14ac:dyDescent="0.2">
      <c r="A14" s="99">
        <v>8</v>
      </c>
      <c r="B14" s="97">
        <f>C14*B4</f>
        <v>0.45608275895192735</v>
      </c>
      <c r="C14" s="97">
        <f>1/(1-D4*B4*C13)</f>
        <v>1.4550560411742577</v>
      </c>
      <c r="D14" s="144">
        <f>C14*D4*C13</f>
        <v>1.4517804691960221</v>
      </c>
      <c r="E14" s="1">
        <f>D14*D4*C12</f>
        <v>1.4446058746163628</v>
      </c>
      <c r="F14" s="1">
        <f>E14*D4*C11</f>
        <v>1.4288911207582555</v>
      </c>
      <c r="G14" s="1">
        <f>F14*D4*C10</f>
        <v>1.3944705711259391</v>
      </c>
      <c r="H14" s="1">
        <f>G14*D4*C9</f>
        <v>1.3190780929688875</v>
      </c>
      <c r="I14" s="1">
        <f>H14*D4*C8</f>
        <v>1.1539434329074159</v>
      </c>
      <c r="J14" s="1">
        <f>I14*D4</f>
        <v>0.79224347794888095</v>
      </c>
      <c r="K14" s="1">
        <f>J14*D4</f>
        <v>0.54391724104806893</v>
      </c>
      <c r="L14" s="1"/>
      <c r="M14" s="262"/>
      <c r="N14" s="97">
        <f>B14+K14</f>
        <v>0.99999999999999623</v>
      </c>
      <c r="R14" s="190">
        <f>B14-K14</f>
        <v>-8.7834482096141586E-2</v>
      </c>
      <c r="S14" s="93">
        <f>SUM(C14:J14)*$B$4*$F$4</f>
        <v>26.152108640244979</v>
      </c>
      <c r="T14" s="262">
        <f>SUM(C14:J14)*$D$4*$H$4</f>
        <v>-57.720203535653134</v>
      </c>
      <c r="U14" s="266">
        <f t="shared" si="0"/>
        <v>-31.568094895408155</v>
      </c>
      <c r="V14" s="93">
        <f>(U14+W14*K14)/B14</f>
        <v>-59.675040182547967</v>
      </c>
      <c r="W14" s="9">
        <f t="shared" si="1"/>
        <v>8</v>
      </c>
    </row>
    <row r="15" spans="1:23" x14ac:dyDescent="0.2">
      <c r="A15" s="99">
        <v>9</v>
      </c>
      <c r="B15" s="97">
        <f>C15*B4</f>
        <v>0.45633760045717409</v>
      </c>
      <c r="C15" s="97">
        <f>1/(1-D4*B4*C14)</f>
        <v>1.4558690705301653</v>
      </c>
      <c r="D15" s="144">
        <f>C15*D4*C14</f>
        <v>1.454374303873492</v>
      </c>
      <c r="E15" s="1">
        <f>D15*D4*C13</f>
        <v>1.4511002665987562</v>
      </c>
      <c r="F15" s="1">
        <f>E15*D4*C12</f>
        <v>1.4439290335313715</v>
      </c>
      <c r="G15" s="1">
        <f>F15*D4*C11</f>
        <v>1.4282216425057421</v>
      </c>
      <c r="H15" s="1">
        <f>G15*D4*C10</f>
        <v>1.3938172199310326</v>
      </c>
      <c r="I15" s="1">
        <f>H15*D4*C9</f>
        <v>1.3184600654062688</v>
      </c>
      <c r="J15" s="1">
        <f>I15*D4*C8</f>
        <v>1.1534027758750225</v>
      </c>
      <c r="K15" s="1">
        <f>J15*D4</f>
        <v>0.79187228816998367</v>
      </c>
      <c r="L15" s="1">
        <f>K15*D4</f>
        <v>0.54366239954282136</v>
      </c>
      <c r="M15" s="262"/>
      <c r="N15" s="97">
        <f>B15+L15</f>
        <v>0.99999999999999545</v>
      </c>
      <c r="R15" s="190">
        <f>B15-L15</f>
        <v>-8.7324799085647276E-2</v>
      </c>
      <c r="S15" s="93">
        <f>SUM(C15:K15)*$B$4*$F$4</f>
        <v>29.786770744792282</v>
      </c>
      <c r="T15" s="262">
        <f>SUM(C15:K15)*$D$4*$H$4</f>
        <v>-65.742250221974572</v>
      </c>
      <c r="U15" s="266">
        <f t="shared" si="0"/>
        <v>-35.955479477182294</v>
      </c>
      <c r="V15" s="93">
        <f>(U15+W15*L15)/B15</f>
        <v>-68.069161625466421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0.45645386934732429</v>
      </c>
      <c r="C16" s="145">
        <f>1/(1-D4*B4*C15)</f>
        <v>1.4562400070492358</v>
      </c>
      <c r="D16" s="153">
        <f>C16*D4*C15</f>
        <v>1.455557715025025</v>
      </c>
      <c r="E16" s="111">
        <f>D16*D4*C14</f>
        <v>1.4540632680425838</v>
      </c>
      <c r="F16" s="111">
        <f>E16*D4*C13</f>
        <v>1.4507899309609837</v>
      </c>
      <c r="G16" s="111">
        <f>F16*D4*C12</f>
        <v>1.4436202315499829</v>
      </c>
      <c r="H16" s="111">
        <f>G16*D4*C11</f>
        <v>1.4279161997430954</v>
      </c>
      <c r="I16" s="111">
        <f>H16*D4*C10</f>
        <v>1.393519134977262</v>
      </c>
      <c r="J16" s="111">
        <f>I16*D4*C9</f>
        <v>1.3181780965067424</v>
      </c>
      <c r="K16" s="111">
        <f>J16*D4*C8</f>
        <v>1.1531561065067517</v>
      </c>
      <c r="L16" s="111">
        <f>K16*D4</f>
        <v>0.79170293654264268</v>
      </c>
      <c r="M16" s="264">
        <f>L16*D4</f>
        <v>0.54354613065267054</v>
      </c>
      <c r="N16" s="145">
        <f>B16+M16</f>
        <v>0.99999999999999489</v>
      </c>
      <c r="R16" s="191">
        <f>B16-M16</f>
        <v>-8.7092261305346252E-2</v>
      </c>
      <c r="S16" s="94">
        <f>SUM(C16:L16)*$B$4*$F$4</f>
        <v>33.428244814233686</v>
      </c>
      <c r="T16" s="264">
        <f>SUM(C16:L16)*$D$4*$H$4</f>
        <v>-73.77933156594348</v>
      </c>
      <c r="U16" s="267">
        <f t="shared" si="0"/>
        <v>-40.351086751709794</v>
      </c>
      <c r="V16" s="94">
        <f>(U16+W16*M16)/B16</f>
        <v>-76.493218241546188</v>
      </c>
      <c r="W16" s="10">
        <f t="shared" si="1"/>
        <v>10</v>
      </c>
    </row>
    <row r="18" spans="1:21" x14ac:dyDescent="0.2">
      <c r="A18" s="356" t="s">
        <v>200</v>
      </c>
      <c r="B18" s="356"/>
      <c r="C18" s="356"/>
      <c r="D18" s="356"/>
      <c r="E18" s="356"/>
      <c r="F18" s="356"/>
      <c r="O18" s="356" t="s">
        <v>201</v>
      </c>
      <c r="P18" s="356"/>
      <c r="Q18" s="356"/>
      <c r="R18" s="356"/>
      <c r="S18" s="356"/>
      <c r="T18" s="356"/>
    </row>
    <row r="19" spans="1:21" ht="17" thickBot="1" x14ac:dyDescent="0.25"/>
    <row r="20" spans="1:21" ht="17" thickBot="1" x14ac:dyDescent="0.25">
      <c r="A20" s="29" t="s">
        <v>135</v>
      </c>
      <c r="B20" s="19" t="s">
        <v>140</v>
      </c>
      <c r="C20" s="19" t="s">
        <v>139</v>
      </c>
      <c r="D20" s="19" t="s">
        <v>138</v>
      </c>
      <c r="E20" s="167" t="s">
        <v>151</v>
      </c>
      <c r="F20" s="168" t="s">
        <v>152</v>
      </c>
      <c r="G20" s="166" t="s">
        <v>47</v>
      </c>
      <c r="O20" s="29" t="s">
        <v>135</v>
      </c>
      <c r="P20" s="118" t="s">
        <v>140</v>
      </c>
      <c r="Q20" s="118" t="s">
        <v>139</v>
      </c>
      <c r="R20" s="118" t="s">
        <v>138</v>
      </c>
      <c r="S20" s="166" t="s">
        <v>151</v>
      </c>
      <c r="T20" s="168" t="s">
        <v>152</v>
      </c>
      <c r="U20" s="293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6</v>
      </c>
      <c r="D21" s="57">
        <f>SUM($C$21:C21)</f>
        <v>6</v>
      </c>
      <c r="E21" s="57">
        <f t="shared" ref="E21:E30" si="3">D21/R7</f>
        <v>-16.08120951246951</v>
      </c>
      <c r="F21" s="8">
        <f t="shared" ref="F21:F30" si="4">U7/E21</f>
        <v>0.18802962977627682</v>
      </c>
      <c r="G21" s="286">
        <f>E21*U7</f>
        <v>48.625458701345437</v>
      </c>
      <c r="O21" s="101">
        <v>1</v>
      </c>
      <c r="P21" s="109">
        <v>1</v>
      </c>
      <c r="Q21" s="110">
        <f>P21*6+15</f>
        <v>21</v>
      </c>
      <c r="R21" s="57">
        <f>SUM($Q$21)</f>
        <v>21</v>
      </c>
      <c r="S21" s="281">
        <f>R21/R7</f>
        <v>-56.284233293643283</v>
      </c>
      <c r="T21" s="8">
        <f>U7/S21</f>
        <v>5.3722751364650517E-2</v>
      </c>
      <c r="U21" s="286">
        <f>S21*U7</f>
        <v>170.18910545470902</v>
      </c>
    </row>
    <row r="22" spans="1:21" x14ac:dyDescent="0.2">
      <c r="A22" s="97">
        <v>2</v>
      </c>
      <c r="B22" s="93">
        <f>C21</f>
        <v>6</v>
      </c>
      <c r="C22" s="1">
        <f t="shared" si="2"/>
        <v>36</v>
      </c>
      <c r="D22" s="9">
        <f>SUM($C$21:C22)</f>
        <v>42</v>
      </c>
      <c r="E22" s="9">
        <f t="shared" si="3"/>
        <v>-208.73937401080605</v>
      </c>
      <c r="F22" s="9">
        <f t="shared" si="4"/>
        <v>3.1130099681628189E-2</v>
      </c>
      <c r="G22" s="287">
        <f t="shared" ref="G22:G30" si="5">E22*U8</f>
        <v>1356.4046338897228</v>
      </c>
      <c r="O22" s="99">
        <v>2</v>
      </c>
      <c r="P22" s="93">
        <f>Q21</f>
        <v>21</v>
      </c>
      <c r="Q22" s="1">
        <f t="shared" ref="Q22:Q30" si="6">P22*6+15</f>
        <v>141</v>
      </c>
      <c r="R22" s="9">
        <f>SUM($Q$21:Q22)</f>
        <v>162</v>
      </c>
      <c r="S22" s="282">
        <f t="shared" ref="S22:S30" si="7">R22/R8</f>
        <v>-805.13758547025179</v>
      </c>
      <c r="T22" s="9">
        <f>U8/S22</f>
        <v>8.0707665841258276E-3</v>
      </c>
      <c r="U22" s="287">
        <f t="shared" ref="U22:U30" si="8">S22*U8</f>
        <v>5231.8464450032161</v>
      </c>
    </row>
    <row r="23" spans="1:21" x14ac:dyDescent="0.2">
      <c r="A23" s="97">
        <v>3</v>
      </c>
      <c r="B23" s="93">
        <f t="shared" ref="B23:B30" si="9">C22</f>
        <v>36</v>
      </c>
      <c r="C23" s="1">
        <f t="shared" si="2"/>
        <v>216</v>
      </c>
      <c r="D23" s="9">
        <f>SUM($C$21:C23)</f>
        <v>258</v>
      </c>
      <c r="E23" s="9">
        <f t="shared" si="3"/>
        <v>-1893.3809722909727</v>
      </c>
      <c r="F23" s="9">
        <f t="shared" si="4"/>
        <v>5.4468061660176625E-3</v>
      </c>
      <c r="G23" s="287">
        <f t="shared" si="5"/>
        <v>19526.209160657025</v>
      </c>
      <c r="O23" s="99">
        <v>3</v>
      </c>
      <c r="P23" s="93">
        <f t="shared" ref="P23:P30" si="10">Q22</f>
        <v>141</v>
      </c>
      <c r="Q23" s="1">
        <f t="shared" si="6"/>
        <v>861</v>
      </c>
      <c r="R23" s="9">
        <f>SUM($Q$21:Q23)</f>
        <v>1023</v>
      </c>
      <c r="S23" s="282">
        <f t="shared" si="7"/>
        <v>-7507.4757157118802</v>
      </c>
      <c r="T23" s="9">
        <f t="shared" ref="T23:T30" si="11">U9/S23</f>
        <v>1.3736813204619327E-3</v>
      </c>
      <c r="U23" s="287">
        <f t="shared" si="8"/>
        <v>77423.689811442397</v>
      </c>
    </row>
    <row r="24" spans="1:21" x14ac:dyDescent="0.2">
      <c r="A24" s="97">
        <v>4</v>
      </c>
      <c r="B24" s="93">
        <f t="shared" si="9"/>
        <v>216</v>
      </c>
      <c r="C24" s="1">
        <f t="shared" si="2"/>
        <v>1296</v>
      </c>
      <c r="D24" s="9">
        <f>SUM($C$21:C24)</f>
        <v>1554</v>
      </c>
      <c r="E24" s="9">
        <f t="shared" si="3"/>
        <v>-14270.926979937547</v>
      </c>
      <c r="F24" s="9">
        <f t="shared" si="4"/>
        <v>1.0064235706414672E-3</v>
      </c>
      <c r="G24" s="287">
        <f t="shared" si="5"/>
        <v>204967.57713233848</v>
      </c>
      <c r="O24" s="99">
        <v>4</v>
      </c>
      <c r="P24" s="93">
        <f t="shared" si="10"/>
        <v>861</v>
      </c>
      <c r="Q24" s="1">
        <f t="shared" si="6"/>
        <v>5181</v>
      </c>
      <c r="R24" s="9">
        <f>SUM($Q$21:Q24)</f>
        <v>6204</v>
      </c>
      <c r="S24" s="282">
        <f t="shared" si="7"/>
        <v>-56973.507711410901</v>
      </c>
      <c r="T24" s="9">
        <f t="shared" si="11"/>
        <v>2.5209255782992265E-4</v>
      </c>
      <c r="U24" s="287">
        <f t="shared" si="8"/>
        <v>818287.5473159767</v>
      </c>
    </row>
    <row r="25" spans="1:21" x14ac:dyDescent="0.2">
      <c r="A25" s="97">
        <v>5</v>
      </c>
      <c r="B25" s="93">
        <f t="shared" si="9"/>
        <v>1296</v>
      </c>
      <c r="C25" s="1">
        <f t="shared" si="2"/>
        <v>7776</v>
      </c>
      <c r="D25" s="9">
        <f>SUM($C$21:C25)</f>
        <v>9330</v>
      </c>
      <c r="E25" s="9">
        <f t="shared" si="3"/>
        <v>-96354.508320223104</v>
      </c>
      <c r="F25" s="9">
        <f t="shared" si="4"/>
        <v>1.9264989634506247E-4</v>
      </c>
      <c r="G25" s="287">
        <f t="shared" si="5"/>
        <v>1788598.4865129273</v>
      </c>
      <c r="O25" s="99">
        <v>5</v>
      </c>
      <c r="P25" s="93">
        <f t="shared" si="10"/>
        <v>5181</v>
      </c>
      <c r="Q25" s="1">
        <f t="shared" si="6"/>
        <v>31101</v>
      </c>
      <c r="R25" s="9">
        <f>SUM($Q$21:Q25)</f>
        <v>37305</v>
      </c>
      <c r="S25" s="282">
        <f t="shared" si="7"/>
        <v>-385263.12249581167</v>
      </c>
      <c r="T25" s="9">
        <f t="shared" si="11"/>
        <v>4.818183977749451E-5</v>
      </c>
      <c r="U25" s="287">
        <f t="shared" si="8"/>
        <v>7151518.385784003</v>
      </c>
    </row>
    <row r="26" spans="1:21" x14ac:dyDescent="0.2">
      <c r="A26" s="97">
        <v>6</v>
      </c>
      <c r="B26" s="93">
        <f t="shared" si="9"/>
        <v>7776</v>
      </c>
      <c r="C26" s="1">
        <f t="shared" si="2"/>
        <v>46656</v>
      </c>
      <c r="D26" s="9">
        <f>SUM($C$21:C26)</f>
        <v>55986</v>
      </c>
      <c r="E26" s="9">
        <f t="shared" si="3"/>
        <v>-612474.81843960739</v>
      </c>
      <c r="F26" s="9">
        <f t="shared" si="4"/>
        <v>3.7313246455109623E-5</v>
      </c>
      <c r="G26" s="287">
        <f t="shared" si="5"/>
        <v>13997146.622018367</v>
      </c>
      <c r="O26" s="99">
        <v>6</v>
      </c>
      <c r="P26" s="93">
        <f t="shared" si="10"/>
        <v>31101</v>
      </c>
      <c r="Q26" s="1">
        <f t="shared" si="6"/>
        <v>186621</v>
      </c>
      <c r="R26" s="9">
        <f>SUM($Q$21:Q26)</f>
        <v>223926</v>
      </c>
      <c r="S26" s="282">
        <f t="shared" si="7"/>
        <v>-2449702.3576234686</v>
      </c>
      <c r="T26" s="9">
        <f t="shared" si="11"/>
        <v>9.3290614579627525E-6</v>
      </c>
      <c r="U26" s="287">
        <f t="shared" si="8"/>
        <v>55984086.280178696</v>
      </c>
    </row>
    <row r="27" spans="1:21" x14ac:dyDescent="0.2">
      <c r="A27" s="97">
        <v>7</v>
      </c>
      <c r="B27" s="93">
        <f t="shared" si="9"/>
        <v>46656</v>
      </c>
      <c r="C27" s="1">
        <f t="shared" si="2"/>
        <v>279936</v>
      </c>
      <c r="D27" s="9">
        <f>SUM($C$21:C27)</f>
        <v>335922</v>
      </c>
      <c r="E27" s="9">
        <f t="shared" si="3"/>
        <v>-3776418.767552441</v>
      </c>
      <c r="F27" s="9">
        <f t="shared" si="4"/>
        <v>7.2016115554775414E-6</v>
      </c>
      <c r="G27" s="287">
        <f t="shared" si="5"/>
        <v>102704621.63555236</v>
      </c>
      <c r="O27" s="99">
        <v>7</v>
      </c>
      <c r="P27" s="93">
        <f t="shared" si="10"/>
        <v>186621</v>
      </c>
      <c r="Q27" s="1">
        <f t="shared" si="6"/>
        <v>1119741</v>
      </c>
      <c r="R27" s="9">
        <f>SUM($Q$21:Q27)</f>
        <v>1343667</v>
      </c>
      <c r="S27" s="282">
        <f t="shared" si="7"/>
        <v>-15105438.989232279</v>
      </c>
      <c r="T27" s="9">
        <f t="shared" si="11"/>
        <v>1.8004310271362818E-6</v>
      </c>
      <c r="U27" s="287">
        <f t="shared" si="8"/>
        <v>410812066.01287723</v>
      </c>
    </row>
    <row r="28" spans="1:21" x14ac:dyDescent="0.2">
      <c r="A28" s="97">
        <v>8</v>
      </c>
      <c r="B28" s="93">
        <f t="shared" si="9"/>
        <v>279936</v>
      </c>
      <c r="C28" s="1">
        <f t="shared" si="2"/>
        <v>1679616</v>
      </c>
      <c r="D28" s="9">
        <f>SUM($C$21:C28)</f>
        <v>2015538</v>
      </c>
      <c r="E28" s="9">
        <f t="shared" si="3"/>
        <v>-22947001.58639108</v>
      </c>
      <c r="F28" s="9">
        <f t="shared" si="4"/>
        <v>1.3756958518767823E-6</v>
      </c>
      <c r="G28" s="287">
        <f t="shared" si="5"/>
        <v>724393123.64427507</v>
      </c>
      <c r="O28" s="99">
        <v>8</v>
      </c>
      <c r="P28" s="93">
        <f t="shared" si="10"/>
        <v>1119741</v>
      </c>
      <c r="Q28" s="1">
        <f t="shared" si="6"/>
        <v>6718461</v>
      </c>
      <c r="R28" s="9">
        <f>SUM($Q$21:Q28)</f>
        <v>8062128</v>
      </c>
      <c r="S28" s="282">
        <f t="shared" si="7"/>
        <v>-91787733.104356229</v>
      </c>
      <c r="T28" s="9">
        <f t="shared" si="11"/>
        <v>3.4392498679009143E-7</v>
      </c>
      <c r="U28" s="287">
        <f t="shared" si="8"/>
        <v>2897563868.872714</v>
      </c>
    </row>
    <row r="29" spans="1:21" x14ac:dyDescent="0.2">
      <c r="A29" s="97">
        <v>9</v>
      </c>
      <c r="B29" s="93">
        <f t="shared" si="9"/>
        <v>1679616</v>
      </c>
      <c r="C29" s="1">
        <f t="shared" si="2"/>
        <v>10077696</v>
      </c>
      <c r="D29" s="9">
        <f>SUM($C$21:C29)</f>
        <v>12093234</v>
      </c>
      <c r="E29" s="9">
        <f t="shared" si="3"/>
        <v>-138485677.91308719</v>
      </c>
      <c r="F29" s="9">
        <f t="shared" si="4"/>
        <v>2.5963319831345842E-7</v>
      </c>
      <c r="G29" s="287">
        <f t="shared" si="5"/>
        <v>4979318950.0876837</v>
      </c>
      <c r="O29" s="99">
        <v>9</v>
      </c>
      <c r="P29" s="93">
        <f t="shared" si="10"/>
        <v>6718461</v>
      </c>
      <c r="Q29" s="1">
        <f t="shared" si="6"/>
        <v>40310781</v>
      </c>
      <c r="R29" s="9">
        <f>SUM($Q$21:Q29)</f>
        <v>48372909</v>
      </c>
      <c r="S29" s="282">
        <f t="shared" si="7"/>
        <v>-553942402.46182919</v>
      </c>
      <c r="T29" s="9">
        <f t="shared" si="11"/>
        <v>6.4908335807818748E-8</v>
      </c>
      <c r="U29" s="287">
        <f t="shared" si="8"/>
        <v>19917264683.257355</v>
      </c>
    </row>
    <row r="30" spans="1:21" ht="17" thickBot="1" x14ac:dyDescent="0.25">
      <c r="A30" s="145">
        <v>10</v>
      </c>
      <c r="B30" s="94">
        <f t="shared" si="9"/>
        <v>10077696</v>
      </c>
      <c r="C30" s="111">
        <f t="shared" si="2"/>
        <v>60466176</v>
      </c>
      <c r="D30" s="10">
        <f>SUM($C$21:C30)</f>
        <v>72559410</v>
      </c>
      <c r="E30" s="10">
        <f t="shared" si="3"/>
        <v>-833132690.69459629</v>
      </c>
      <c r="F30" s="10">
        <f t="shared" si="4"/>
        <v>4.8432965363618651E-8</v>
      </c>
      <c r="G30" s="288">
        <f t="shared" si="5"/>
        <v>33617809477.903057</v>
      </c>
      <c r="O30" s="100">
        <v>10</v>
      </c>
      <c r="P30" s="94">
        <f t="shared" si="10"/>
        <v>40310781</v>
      </c>
      <c r="Q30" s="111">
        <f t="shared" si="6"/>
        <v>241864701</v>
      </c>
      <c r="R30" s="10">
        <f>SUM($Q$21:Q30)</f>
        <v>290237610</v>
      </c>
      <c r="S30" s="283">
        <f t="shared" si="7"/>
        <v>-3332530418.3160925</v>
      </c>
      <c r="T30" s="10">
        <f t="shared" si="11"/>
        <v>1.2108242592455902E-8</v>
      </c>
      <c r="U30" s="288">
        <f t="shared" si="8"/>
        <v>134471224012.18437</v>
      </c>
    </row>
    <row r="31" spans="1:21" ht="17" thickBot="1" x14ac:dyDescent="0.25"/>
    <row r="32" spans="1:21" ht="17" thickBot="1" x14ac:dyDescent="0.25">
      <c r="A32" s="117" t="s">
        <v>135</v>
      </c>
      <c r="B32" s="118" t="s">
        <v>140</v>
      </c>
      <c r="C32" s="118" t="s">
        <v>139</v>
      </c>
      <c r="D32" s="170" t="s">
        <v>138</v>
      </c>
      <c r="E32" s="167" t="s">
        <v>151</v>
      </c>
      <c r="F32" s="168" t="s">
        <v>152</v>
      </c>
      <c r="G32" s="290" t="s">
        <v>47</v>
      </c>
      <c r="O32" s="29" t="s">
        <v>135</v>
      </c>
      <c r="P32" s="118" t="s">
        <v>140</v>
      </c>
      <c r="Q32" s="118" t="s">
        <v>139</v>
      </c>
      <c r="R32" s="118" t="s">
        <v>138</v>
      </c>
      <c r="S32" s="166" t="s">
        <v>151</v>
      </c>
      <c r="T32" s="168" t="s">
        <v>152</v>
      </c>
      <c r="U32" s="294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6</v>
      </c>
      <c r="D33" s="57">
        <f>SUM($C$33:C33)</f>
        <v>6</v>
      </c>
      <c r="E33" s="9">
        <f t="shared" ref="E33:E42" si="13">D33/R7</f>
        <v>-16.08120951246951</v>
      </c>
      <c r="F33" s="8">
        <f t="shared" ref="F33:F42" si="14">U7/E33</f>
        <v>0.18802962977627682</v>
      </c>
      <c r="G33" s="289">
        <f>E33*U7</f>
        <v>48.625458701345437</v>
      </c>
      <c r="O33" s="101">
        <v>1</v>
      </c>
      <c r="P33" s="109">
        <v>1</v>
      </c>
      <c r="Q33" s="110">
        <f>P33*6+15</f>
        <v>21</v>
      </c>
      <c r="R33" s="57">
        <f>SUM($Q$21)</f>
        <v>21</v>
      </c>
      <c r="S33" s="281">
        <f>R33/R7</f>
        <v>-56.284233293643283</v>
      </c>
      <c r="T33" s="8">
        <f>U7/S33</f>
        <v>5.3722751364650517E-2</v>
      </c>
      <c r="U33" s="289">
        <f>S33*U7</f>
        <v>170.18910545470902</v>
      </c>
    </row>
    <row r="34" spans="1:21" x14ac:dyDescent="0.2">
      <c r="A34" s="97">
        <v>2</v>
      </c>
      <c r="B34" s="93">
        <f t="shared" ref="B34:B42" si="15">B33*($O$2+1)</f>
        <v>7</v>
      </c>
      <c r="C34" s="1">
        <f t="shared" si="12"/>
        <v>42</v>
      </c>
      <c r="D34" s="9">
        <f>SUM($C$33:C34)</f>
        <v>48</v>
      </c>
      <c r="E34" s="9">
        <f t="shared" si="13"/>
        <v>-238.55928458377832</v>
      </c>
      <c r="F34" s="9">
        <f t="shared" si="14"/>
        <v>2.7238837221424669E-2</v>
      </c>
      <c r="G34" s="287">
        <f t="shared" ref="G34:G42" si="16">E34*U8</f>
        <v>1550.1767244453974</v>
      </c>
      <c r="O34" s="99">
        <v>2</v>
      </c>
      <c r="P34" s="93">
        <f>Q33+1</f>
        <v>22</v>
      </c>
      <c r="Q34" s="1">
        <f t="shared" ref="Q34:Q42" si="17">P34*6+15</f>
        <v>147</v>
      </c>
      <c r="R34" s="9">
        <f>SUM($Q$33:Q34)</f>
        <v>168</v>
      </c>
      <c r="S34" s="282">
        <f>R34/R8</f>
        <v>-834.95749604322418</v>
      </c>
      <c r="T34" s="9">
        <f t="shared" ref="T34:T42" si="18">U8/S34</f>
        <v>7.7825249204070473E-3</v>
      </c>
      <c r="U34" s="287">
        <f t="shared" ref="U34:U42" si="19">S34*U8</f>
        <v>5425.6185355588914</v>
      </c>
    </row>
    <row r="35" spans="1:21" x14ac:dyDescent="0.2">
      <c r="A35" s="97">
        <v>3</v>
      </c>
      <c r="B35" s="93">
        <f t="shared" si="15"/>
        <v>49</v>
      </c>
      <c r="C35" s="1">
        <f t="shared" si="12"/>
        <v>294</v>
      </c>
      <c r="D35" s="9">
        <f>SUM($C$33:C35)</f>
        <v>342</v>
      </c>
      <c r="E35" s="9">
        <f t="shared" si="13"/>
        <v>-2509.8305911764055</v>
      </c>
      <c r="F35" s="9">
        <f t="shared" si="14"/>
        <v>4.1089941252413949E-3</v>
      </c>
      <c r="G35" s="287">
        <f t="shared" si="16"/>
        <v>25883.579585056985</v>
      </c>
      <c r="O35" s="99">
        <v>3</v>
      </c>
      <c r="P35" s="93">
        <f t="shared" ref="P35:P42" si="20">Q34+1</f>
        <v>148</v>
      </c>
      <c r="Q35" s="1">
        <f t="shared" si="17"/>
        <v>903</v>
      </c>
      <c r="R35" s="9">
        <f>SUM($Q$33:Q35)</f>
        <v>1071</v>
      </c>
      <c r="S35" s="282">
        <f t="shared" ref="S35:S42" si="21">R35/R9</f>
        <v>-7859.7326407892706</v>
      </c>
      <c r="T35" s="9">
        <f t="shared" si="18"/>
        <v>1.3121157710854873E-3</v>
      </c>
      <c r="U35" s="287">
        <f t="shared" si="19"/>
        <v>81056.47291109951</v>
      </c>
    </row>
    <row r="36" spans="1:21" x14ac:dyDescent="0.2">
      <c r="A36" s="97">
        <v>4</v>
      </c>
      <c r="B36" s="93">
        <f t="shared" si="15"/>
        <v>343</v>
      </c>
      <c r="C36" s="1">
        <f t="shared" si="12"/>
        <v>2058</v>
      </c>
      <c r="D36" s="9">
        <f>SUM($C$33:C36)</f>
        <v>2400</v>
      </c>
      <c r="E36" s="9">
        <f t="shared" si="13"/>
        <v>-22040.041667857215</v>
      </c>
      <c r="F36" s="9">
        <f t="shared" si="14"/>
        <v>6.5165926199034995E-4</v>
      </c>
      <c r="G36" s="287">
        <f t="shared" si="16"/>
        <v>316552.24267542618</v>
      </c>
      <c r="O36" s="99">
        <v>4</v>
      </c>
      <c r="P36" s="93">
        <f t="shared" si="20"/>
        <v>904</v>
      </c>
      <c r="Q36" s="1">
        <f t="shared" si="17"/>
        <v>5439</v>
      </c>
      <c r="R36" s="9">
        <f>SUM($Q$33:Q36)</f>
        <v>6510</v>
      </c>
      <c r="S36" s="282">
        <f t="shared" si="21"/>
        <v>-59783.613024062695</v>
      </c>
      <c r="T36" s="9">
        <f t="shared" si="18"/>
        <v>2.402430458950599E-4</v>
      </c>
      <c r="U36" s="287">
        <f t="shared" si="19"/>
        <v>858647.95825709356</v>
      </c>
    </row>
    <row r="37" spans="1:21" x14ac:dyDescent="0.2">
      <c r="A37" s="97">
        <v>5</v>
      </c>
      <c r="B37" s="93">
        <f t="shared" si="15"/>
        <v>2401</v>
      </c>
      <c r="C37" s="1">
        <f t="shared" si="12"/>
        <v>14406</v>
      </c>
      <c r="D37" s="9">
        <f>SUM($C$33:C37)</f>
        <v>16806</v>
      </c>
      <c r="E37" s="9">
        <f t="shared" si="13"/>
        <v>-173562.04360446619</v>
      </c>
      <c r="F37" s="9">
        <f t="shared" si="14"/>
        <v>1.0695129911337812E-4</v>
      </c>
      <c r="G37" s="287">
        <f t="shared" si="16"/>
        <v>3221777.7239374337</v>
      </c>
      <c r="O37" s="99">
        <v>5</v>
      </c>
      <c r="P37" s="93">
        <f t="shared" si="20"/>
        <v>5440</v>
      </c>
      <c r="Q37" s="1">
        <f t="shared" si="17"/>
        <v>32655</v>
      </c>
      <c r="R37" s="9">
        <f>SUM($Q$33:Q37)</f>
        <v>39165</v>
      </c>
      <c r="S37" s="282">
        <f t="shared" si="21"/>
        <v>-404472.05984582397</v>
      </c>
      <c r="T37" s="9">
        <f t="shared" si="18"/>
        <v>4.5893617589670182E-5</v>
      </c>
      <c r="U37" s="287">
        <f t="shared" si="19"/>
        <v>7508087.8589795064</v>
      </c>
    </row>
    <row r="38" spans="1:21" x14ac:dyDescent="0.2">
      <c r="A38" s="97">
        <v>6</v>
      </c>
      <c r="B38" s="93">
        <f t="shared" si="15"/>
        <v>16807</v>
      </c>
      <c r="C38" s="1">
        <f t="shared" si="12"/>
        <v>100842</v>
      </c>
      <c r="D38" s="9">
        <f>SUM($C$33:C38)</f>
        <v>117648</v>
      </c>
      <c r="E38" s="9">
        <f t="shared" si="13"/>
        <v>-1287043.8581035067</v>
      </c>
      <c r="F38" s="9">
        <f t="shared" si="14"/>
        <v>1.775652298412015E-5</v>
      </c>
      <c r="G38" s="287">
        <f t="shared" si="16"/>
        <v>29413358.80018606</v>
      </c>
      <c r="O38" s="99">
        <v>6</v>
      </c>
      <c r="P38" s="93">
        <f t="shared" si="20"/>
        <v>32656</v>
      </c>
      <c r="Q38" s="1">
        <f t="shared" si="17"/>
        <v>195951</v>
      </c>
      <c r="R38" s="9">
        <f>SUM($Q$33:Q38)</f>
        <v>235116</v>
      </c>
      <c r="S38" s="282">
        <f t="shared" si="21"/>
        <v>-2572118.5548574058</v>
      </c>
      <c r="T38" s="9">
        <f t="shared" si="18"/>
        <v>8.8850585074421455E-6</v>
      </c>
      <c r="U38" s="287">
        <f t="shared" si="19"/>
        <v>58781715.521424465</v>
      </c>
    </row>
    <row r="39" spans="1:21" x14ac:dyDescent="0.2">
      <c r="A39" s="97">
        <v>7</v>
      </c>
      <c r="B39" s="93">
        <f t="shared" si="15"/>
        <v>117649</v>
      </c>
      <c r="C39" s="1">
        <f t="shared" si="12"/>
        <v>705894</v>
      </c>
      <c r="D39" s="9">
        <f>SUM($C$33:C39)</f>
        <v>823542</v>
      </c>
      <c r="E39" s="9">
        <f t="shared" si="13"/>
        <v>-9258219.0647461973</v>
      </c>
      <c r="F39" s="9">
        <f t="shared" si="14"/>
        <v>2.9375305168881814E-6</v>
      </c>
      <c r="G39" s="287">
        <f t="shared" si="16"/>
        <v>251789312.7302947</v>
      </c>
      <c r="O39" s="99">
        <v>7</v>
      </c>
      <c r="P39" s="93">
        <f t="shared" si="20"/>
        <v>195952</v>
      </c>
      <c r="Q39" s="1">
        <f t="shared" si="17"/>
        <v>1175727</v>
      </c>
      <c r="R39" s="9">
        <f>SUM($Q$33:Q39)</f>
        <v>1410843</v>
      </c>
      <c r="S39" s="282">
        <f t="shared" si="21"/>
        <v>-15860628.310351774</v>
      </c>
      <c r="T39" s="9">
        <f t="shared" si="18"/>
        <v>1.714705149289557E-6</v>
      </c>
      <c r="U39" s="287">
        <f t="shared" si="19"/>
        <v>431350422.12825477</v>
      </c>
    </row>
    <row r="40" spans="1:21" x14ac:dyDescent="0.2">
      <c r="A40" s="97">
        <v>8</v>
      </c>
      <c r="B40" s="93">
        <f t="shared" si="15"/>
        <v>823543</v>
      </c>
      <c r="C40" s="1">
        <f t="shared" si="12"/>
        <v>4941258</v>
      </c>
      <c r="D40" s="9">
        <f>SUM($C$33:C40)</f>
        <v>5764800</v>
      </c>
      <c r="E40" s="9">
        <f t="shared" si="13"/>
        <v>-65632538.1834663</v>
      </c>
      <c r="F40" s="9">
        <f t="shared" si="14"/>
        <v>4.8098238722939673E-7</v>
      </c>
      <c r="G40" s="287">
        <f t="shared" si="16"/>
        <v>2071894193.6021633</v>
      </c>
      <c r="O40" s="99">
        <v>8</v>
      </c>
      <c r="P40" s="93">
        <f t="shared" si="20"/>
        <v>1175728</v>
      </c>
      <c r="Q40" s="1">
        <f t="shared" si="17"/>
        <v>7054383</v>
      </c>
      <c r="R40" s="9">
        <f>SUM($Q$33:Q40)</f>
        <v>8465226</v>
      </c>
      <c r="S40" s="282">
        <f t="shared" si="21"/>
        <v>-96377024.125151217</v>
      </c>
      <c r="T40" s="9">
        <f t="shared" si="18"/>
        <v>3.275479314905504E-7</v>
      </c>
      <c r="U40" s="287">
        <f t="shared" si="19"/>
        <v>3042439043.3198147</v>
      </c>
    </row>
    <row r="41" spans="1:21" x14ac:dyDescent="0.2">
      <c r="A41" s="97">
        <v>9</v>
      </c>
      <c r="B41" s="93">
        <f t="shared" si="15"/>
        <v>5764801</v>
      </c>
      <c r="C41" s="1">
        <f t="shared" si="12"/>
        <v>34588806</v>
      </c>
      <c r="D41" s="9">
        <f>SUM($C$33:C41)</f>
        <v>40353606</v>
      </c>
      <c r="E41" s="9">
        <f t="shared" si="13"/>
        <v>-462109348.34698665</v>
      </c>
      <c r="F41" s="9">
        <f t="shared" si="14"/>
        <v>7.7807297354617035E-8</v>
      </c>
      <c r="G41" s="287">
        <f t="shared" si="16"/>
        <v>16615363190.704163</v>
      </c>
      <c r="O41" s="99">
        <v>9</v>
      </c>
      <c r="P41" s="93">
        <f t="shared" si="20"/>
        <v>7054384</v>
      </c>
      <c r="Q41" s="1">
        <f t="shared" si="17"/>
        <v>42326319</v>
      </c>
      <c r="R41" s="9">
        <f>SUM($Q$33:Q41)</f>
        <v>50791545</v>
      </c>
      <c r="S41" s="282">
        <f t="shared" si="21"/>
        <v>-581639414.36823881</v>
      </c>
      <c r="T41" s="9">
        <f t="shared" si="18"/>
        <v>6.1817474175535669E-8</v>
      </c>
      <c r="U41" s="287">
        <f t="shared" si="19"/>
        <v>20913124026.437538</v>
      </c>
    </row>
    <row r="42" spans="1:21" ht="17" thickBot="1" x14ac:dyDescent="0.25">
      <c r="A42" s="145">
        <v>10</v>
      </c>
      <c r="B42" s="94">
        <f t="shared" si="15"/>
        <v>40353607</v>
      </c>
      <c r="C42" s="111">
        <f t="shared" si="12"/>
        <v>242121642</v>
      </c>
      <c r="D42" s="10">
        <f>SUM($C$33:C42)</f>
        <v>282475248</v>
      </c>
      <c r="E42" s="9">
        <f t="shared" si="13"/>
        <v>-3243402384.6233506</v>
      </c>
      <c r="F42" s="10">
        <f t="shared" si="14"/>
        <v>1.2440974620666958E-8</v>
      </c>
      <c r="G42" s="288">
        <f t="shared" si="16"/>
        <v>130874810992.63924</v>
      </c>
      <c r="O42" s="100">
        <v>10</v>
      </c>
      <c r="P42" s="94">
        <f t="shared" si="20"/>
        <v>42326320</v>
      </c>
      <c r="Q42" s="111">
        <f t="shared" si="17"/>
        <v>253957935</v>
      </c>
      <c r="R42" s="10">
        <f>SUM($Q$33:Q42)</f>
        <v>304749480</v>
      </c>
      <c r="S42" s="283">
        <f t="shared" si="21"/>
        <v>-3499156818.670095</v>
      </c>
      <c r="T42" s="10">
        <f t="shared" si="18"/>
        <v>1.153166000918067E-8</v>
      </c>
      <c r="U42" s="288">
        <f t="shared" si="19"/>
        <v>141194780347.99387</v>
      </c>
    </row>
    <row r="43" spans="1:21" ht="17" thickBot="1" x14ac:dyDescent="0.25">
      <c r="U43" s="285"/>
    </row>
    <row r="44" spans="1:21" ht="17" thickBot="1" x14ac:dyDescent="0.25">
      <c r="A44" s="117" t="s">
        <v>135</v>
      </c>
      <c r="B44" s="118" t="s">
        <v>140</v>
      </c>
      <c r="C44" s="118" t="s">
        <v>139</v>
      </c>
      <c r="D44" s="170" t="s">
        <v>138</v>
      </c>
      <c r="E44" s="167" t="s">
        <v>151</v>
      </c>
      <c r="F44" s="168" t="s">
        <v>152</v>
      </c>
      <c r="G44" s="290" t="s">
        <v>47</v>
      </c>
      <c r="O44" s="29" t="s">
        <v>135</v>
      </c>
      <c r="P44" s="118" t="s">
        <v>140</v>
      </c>
      <c r="Q44" s="118" t="s">
        <v>139</v>
      </c>
      <c r="R44" s="118" t="s">
        <v>138</v>
      </c>
      <c r="S44" s="166" t="s">
        <v>151</v>
      </c>
      <c r="T44" s="168" t="s">
        <v>152</v>
      </c>
      <c r="U44" s="294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6</v>
      </c>
      <c r="D45" s="57">
        <f>SUM(C45:C45)</f>
        <v>6</v>
      </c>
      <c r="E45" s="57">
        <f t="shared" ref="E45:E54" si="23">D45/R7</f>
        <v>-16.08120951246951</v>
      </c>
      <c r="F45" s="8">
        <f t="shared" ref="F45:F54" si="24">U7/E45</f>
        <v>0.18802962977627682</v>
      </c>
      <c r="G45" s="286">
        <f>E45*U7</f>
        <v>48.625458701345437</v>
      </c>
      <c r="O45" s="101">
        <v>1</v>
      </c>
      <c r="P45" s="109">
        <v>1</v>
      </c>
      <c r="Q45" s="110">
        <f>P45*6+15</f>
        <v>21</v>
      </c>
      <c r="R45" s="57">
        <f>SUM($Q$21)</f>
        <v>21</v>
      </c>
      <c r="S45" s="281">
        <f>R45/R7</f>
        <v>-56.284233293643283</v>
      </c>
      <c r="T45" s="8">
        <f>U7/S45</f>
        <v>5.3722751364650517E-2</v>
      </c>
      <c r="U45" s="289">
        <f>S45*U7</f>
        <v>170.18910545470902</v>
      </c>
    </row>
    <row r="46" spans="1:21" x14ac:dyDescent="0.2">
      <c r="A46" s="97">
        <v>2</v>
      </c>
      <c r="B46" s="93">
        <f t="shared" ref="B46:B54" si="25">B45*$O$2*2</f>
        <v>12</v>
      </c>
      <c r="C46" s="1">
        <f t="shared" si="22"/>
        <v>72</v>
      </c>
      <c r="D46" s="9">
        <f>SUM($C$45:C46)</f>
        <v>78</v>
      </c>
      <c r="E46" s="9">
        <f t="shared" si="23"/>
        <v>-387.65883744863976</v>
      </c>
      <c r="F46" s="9">
        <f t="shared" si="24"/>
        <v>1.6762361367030566E-2</v>
      </c>
      <c r="G46" s="287">
        <f t="shared" ref="G46:G54" si="26">E46*U8</f>
        <v>2519.0371772237709</v>
      </c>
      <c r="O46" s="99">
        <v>2</v>
      </c>
      <c r="P46" s="93">
        <f>Q45*2</f>
        <v>42</v>
      </c>
      <c r="Q46" s="1">
        <f t="shared" ref="Q46:Q54" si="27">P46*6+15</f>
        <v>267</v>
      </c>
      <c r="R46" s="9">
        <f>SUM($Q$45:Q46)</f>
        <v>288</v>
      </c>
      <c r="S46" s="282">
        <f t="shared" ref="S46:S54" si="28">R46/R8</f>
        <v>-1431.3557075026699</v>
      </c>
      <c r="T46" s="9">
        <f t="shared" ref="T46:T54" si="29">U8/S46</f>
        <v>4.5398062035707778E-3</v>
      </c>
      <c r="U46" s="287">
        <f t="shared" ref="U46:U54" si="30">S46*U8</f>
        <v>9301.0603466723842</v>
      </c>
    </row>
    <row r="47" spans="1:21" x14ac:dyDescent="0.2">
      <c r="A47" s="97">
        <v>3</v>
      </c>
      <c r="B47" s="93">
        <f t="shared" si="25"/>
        <v>144</v>
      </c>
      <c r="C47" s="1">
        <f t="shared" si="22"/>
        <v>864</v>
      </c>
      <c r="D47" s="9">
        <f>SUM($C$45:C47)</f>
        <v>942</v>
      </c>
      <c r="E47" s="9">
        <f t="shared" si="23"/>
        <v>-6913.0421546437838</v>
      </c>
      <c r="F47" s="9">
        <f t="shared" si="24"/>
        <v>1.4918004148965574E-3</v>
      </c>
      <c r="G47" s="287">
        <f t="shared" si="26"/>
        <v>71293.368330771002</v>
      </c>
      <c r="O47" s="99">
        <v>3</v>
      </c>
      <c r="P47" s="93">
        <f t="shared" ref="P47:P54" si="31">Q46*2</f>
        <v>534</v>
      </c>
      <c r="Q47" s="1">
        <f t="shared" si="27"/>
        <v>3219</v>
      </c>
      <c r="R47" s="9">
        <f>SUM($Q$45:Q47)</f>
        <v>3507</v>
      </c>
      <c r="S47" s="282">
        <f t="shared" si="28"/>
        <v>-25736.771588466825</v>
      </c>
      <c r="T47" s="9">
        <f t="shared" si="29"/>
        <v>4.0070601392431057E-4</v>
      </c>
      <c r="U47" s="287">
        <f t="shared" si="30"/>
        <v>265420.21521869837</v>
      </c>
    </row>
    <row r="48" spans="1:21" x14ac:dyDescent="0.2">
      <c r="A48" s="97">
        <v>4</v>
      </c>
      <c r="B48" s="93">
        <f t="shared" si="25"/>
        <v>1728</v>
      </c>
      <c r="C48" s="1">
        <f t="shared" si="22"/>
        <v>10368</v>
      </c>
      <c r="D48" s="9">
        <f>SUM($C$45:C48)</f>
        <v>11310</v>
      </c>
      <c r="E48" s="9">
        <f t="shared" si="23"/>
        <v>-103863.69635977712</v>
      </c>
      <c r="F48" s="9">
        <f t="shared" si="24"/>
        <v>1.3828313251784615E-4</v>
      </c>
      <c r="G48" s="287">
        <f t="shared" si="26"/>
        <v>1491752.4436079459</v>
      </c>
      <c r="O48" s="99">
        <v>4</v>
      </c>
      <c r="P48" s="93">
        <f t="shared" si="31"/>
        <v>6438</v>
      </c>
      <c r="Q48" s="1">
        <f t="shared" si="27"/>
        <v>38643</v>
      </c>
      <c r="R48" s="9">
        <f>SUM($Q$45:Q48)</f>
        <v>42150</v>
      </c>
      <c r="S48" s="282">
        <f t="shared" si="28"/>
        <v>-387078.23179174238</v>
      </c>
      <c r="T48" s="9">
        <f t="shared" si="29"/>
        <v>3.710515370763558E-5</v>
      </c>
      <c r="U48" s="287">
        <f t="shared" si="30"/>
        <v>5559448.761987173</v>
      </c>
    </row>
    <row r="49" spans="1:21" x14ac:dyDescent="0.2">
      <c r="A49" s="97">
        <v>5</v>
      </c>
      <c r="B49" s="93">
        <f t="shared" si="25"/>
        <v>20736</v>
      </c>
      <c r="C49" s="1">
        <f t="shared" si="22"/>
        <v>124416</v>
      </c>
      <c r="D49" s="9">
        <f>SUM($C$45:C49)</f>
        <v>135726</v>
      </c>
      <c r="E49" s="9">
        <f t="shared" si="23"/>
        <v>-1401694.747724609</v>
      </c>
      <c r="F49" s="9">
        <f t="shared" si="24"/>
        <v>1.3243030317694713E-5</v>
      </c>
      <c r="G49" s="287">
        <f t="shared" si="26"/>
        <v>26019219.526307993</v>
      </c>
      <c r="O49" s="99">
        <v>5</v>
      </c>
      <c r="P49" s="93">
        <f t="shared" si="31"/>
        <v>77286</v>
      </c>
      <c r="Q49" s="1">
        <f t="shared" si="27"/>
        <v>463731</v>
      </c>
      <c r="R49" s="9">
        <f>SUM($Q$45:Q49)</f>
        <v>505881</v>
      </c>
      <c r="S49" s="282">
        <f t="shared" si="28"/>
        <v>-5224428.191162142</v>
      </c>
      <c r="T49" s="9">
        <f t="shared" si="29"/>
        <v>3.5530560208812599E-6</v>
      </c>
      <c r="U49" s="287">
        <f t="shared" si="30"/>
        <v>96979420.252480835</v>
      </c>
    </row>
    <row r="50" spans="1:21" x14ac:dyDescent="0.2">
      <c r="A50" s="97">
        <v>6</v>
      </c>
      <c r="B50" s="93">
        <f t="shared" si="25"/>
        <v>248832</v>
      </c>
      <c r="C50" s="1">
        <f t="shared" si="22"/>
        <v>1492992</v>
      </c>
      <c r="D50" s="9">
        <f>SUM($C$45:C50)</f>
        <v>1628718</v>
      </c>
      <c r="E50" s="9">
        <f t="shared" si="23"/>
        <v>-17817825.194500774</v>
      </c>
      <c r="F50" s="9">
        <f t="shared" si="24"/>
        <v>1.2826157849521939E-6</v>
      </c>
      <c r="G50" s="287">
        <f t="shared" si="26"/>
        <v>407198311.21924245</v>
      </c>
      <c r="O50" s="99">
        <v>6</v>
      </c>
      <c r="P50" s="93">
        <f t="shared" si="31"/>
        <v>927462</v>
      </c>
      <c r="Q50" s="1">
        <f t="shared" si="27"/>
        <v>5564787</v>
      </c>
      <c r="R50" s="9">
        <f>SUM($Q$45:Q50)</f>
        <v>6070668</v>
      </c>
      <c r="S50" s="282">
        <f t="shared" si="28"/>
        <v>-66411804.39944154</v>
      </c>
      <c r="T50" s="9">
        <f t="shared" si="29"/>
        <v>3.4411689389631708E-7</v>
      </c>
      <c r="U50" s="287">
        <f t="shared" si="30"/>
        <v>1517737114.4499516</v>
      </c>
    </row>
    <row r="51" spans="1:21" x14ac:dyDescent="0.2">
      <c r="A51" s="97">
        <v>7</v>
      </c>
      <c r="B51" s="93">
        <f t="shared" si="25"/>
        <v>2985984</v>
      </c>
      <c r="C51" s="1">
        <f t="shared" si="22"/>
        <v>17915904</v>
      </c>
      <c r="D51" s="9">
        <f>SUM($C$45:C51)</f>
        <v>19544622</v>
      </c>
      <c r="E51" s="9">
        <f t="shared" si="23"/>
        <v>-219719688.87276906</v>
      </c>
      <c r="F51" s="9">
        <f t="shared" si="24"/>
        <v>1.2377725989989095E-7</v>
      </c>
      <c r="G51" s="287">
        <f t="shared" si="26"/>
        <v>5975562801.8405838</v>
      </c>
      <c r="O51" s="99">
        <v>7</v>
      </c>
      <c r="P51" s="93">
        <f t="shared" si="31"/>
        <v>11129574</v>
      </c>
      <c r="Q51" s="1">
        <f t="shared" si="27"/>
        <v>66777459</v>
      </c>
      <c r="R51" s="9">
        <f>SUM($Q$45:Q51)</f>
        <v>72848127</v>
      </c>
      <c r="S51" s="282">
        <f t="shared" si="28"/>
        <v>-818955096.67078578</v>
      </c>
      <c r="T51" s="9">
        <f t="shared" si="29"/>
        <v>3.3208537495262253E-8</v>
      </c>
      <c r="U51" s="287">
        <f t="shared" si="30"/>
        <v>22272549342.983391</v>
      </c>
    </row>
    <row r="52" spans="1:21" x14ac:dyDescent="0.2">
      <c r="A52" s="97">
        <v>8</v>
      </c>
      <c r="B52" s="93">
        <f t="shared" si="25"/>
        <v>35831808</v>
      </c>
      <c r="C52" s="1">
        <f t="shared" si="22"/>
        <v>214990848</v>
      </c>
      <c r="D52" s="9">
        <f>SUM($C$45:C52)</f>
        <v>234535470</v>
      </c>
      <c r="E52" s="9">
        <f t="shared" si="23"/>
        <v>-2670198131.7915998</v>
      </c>
      <c r="F52" s="9">
        <f t="shared" si="24"/>
        <v>1.182237921581766E-8</v>
      </c>
      <c r="G52" s="287">
        <f t="shared" si="26"/>
        <v>84293068013.938797</v>
      </c>
      <c r="O52" s="99">
        <v>8</v>
      </c>
      <c r="P52" s="93">
        <f t="shared" si="31"/>
        <v>133554918</v>
      </c>
      <c r="Q52" s="1">
        <f t="shared" si="27"/>
        <v>801329523</v>
      </c>
      <c r="R52" s="9">
        <f>SUM($Q$45:Q52)</f>
        <v>874177650</v>
      </c>
      <c r="S52" s="282">
        <f t="shared" si="28"/>
        <v>-9952556548.8408699</v>
      </c>
      <c r="T52" s="9">
        <f t="shared" si="29"/>
        <v>3.1718578779725447E-9</v>
      </c>
      <c r="U52" s="287">
        <f t="shared" si="30"/>
        <v>314183249585.72449</v>
      </c>
    </row>
    <row r="53" spans="1:21" x14ac:dyDescent="0.2">
      <c r="A53" s="97">
        <v>9</v>
      </c>
      <c r="B53" s="93">
        <f t="shared" si="25"/>
        <v>429981696</v>
      </c>
      <c r="C53" s="1">
        <f t="shared" si="22"/>
        <v>2579890176</v>
      </c>
      <c r="D53" s="9">
        <f>SUM($C$45:C53)</f>
        <v>2814425646</v>
      </c>
      <c r="E53" s="9">
        <f t="shared" si="23"/>
        <v>-32229397324.34586</v>
      </c>
      <c r="F53" s="9">
        <f t="shared" si="24"/>
        <v>1.1156112885183173E-9</v>
      </c>
      <c r="G53" s="287">
        <f t="shared" si="26"/>
        <v>1158823434057.4714</v>
      </c>
      <c r="O53" s="99">
        <v>9</v>
      </c>
      <c r="P53" s="93">
        <f t="shared" si="31"/>
        <v>1602659046</v>
      </c>
      <c r="Q53" s="1">
        <f t="shared" si="27"/>
        <v>9615954291</v>
      </c>
      <c r="R53" s="9">
        <f>SUM($Q$45:Q53)</f>
        <v>10490131941</v>
      </c>
      <c r="S53" s="282">
        <f t="shared" si="28"/>
        <v>-120127753522.92978</v>
      </c>
      <c r="T53" s="9">
        <f t="shared" si="29"/>
        <v>2.9931034605020873E-10</v>
      </c>
      <c r="U53" s="287">
        <f t="shared" si="30"/>
        <v>4319250976433.7148</v>
      </c>
    </row>
    <row r="54" spans="1:21" ht="17" thickBot="1" x14ac:dyDescent="0.25">
      <c r="A54" s="145">
        <v>10</v>
      </c>
      <c r="B54" s="94">
        <f t="shared" si="25"/>
        <v>5159780352</v>
      </c>
      <c r="C54" s="111">
        <f t="shared" si="22"/>
        <v>30958682112</v>
      </c>
      <c r="D54" s="10">
        <f>SUM($C$45:C54)</f>
        <v>33773107758</v>
      </c>
      <c r="E54" s="10">
        <f t="shared" si="23"/>
        <v>-387785404257.5744</v>
      </c>
      <c r="F54" s="10">
        <f t="shared" si="24"/>
        <v>1.0405519730419725E-10</v>
      </c>
      <c r="G54" s="288">
        <f t="shared" si="26"/>
        <v>15647562488244.236</v>
      </c>
      <c r="O54" s="100">
        <v>10</v>
      </c>
      <c r="P54" s="94">
        <f t="shared" si="31"/>
        <v>19231908582</v>
      </c>
      <c r="Q54" s="111">
        <f t="shared" si="27"/>
        <v>115391451507</v>
      </c>
      <c r="R54" s="10">
        <f>SUM($Q$45:Q54)</f>
        <v>125881583448</v>
      </c>
      <c r="S54" s="283">
        <f t="shared" si="28"/>
        <v>-1445381961167.1125</v>
      </c>
      <c r="T54" s="10">
        <f t="shared" si="29"/>
        <v>2.7917248060247842E-11</v>
      </c>
      <c r="U54" s="288">
        <f t="shared" si="30"/>
        <v>58322732904410.594</v>
      </c>
    </row>
  </sheetData>
  <mergeCells count="2">
    <mergeCell ref="A18:F18"/>
    <mergeCell ref="O18:T18"/>
  </mergeCells>
  <conditionalFormatting sqref="F45:F54">
    <cfRule type="cellIs" dxfId="413" priority="53" operator="equal">
      <formula>MAX($F$45:$F$54)</formula>
    </cfRule>
  </conditionalFormatting>
  <conditionalFormatting sqref="F21:F30">
    <cfRule type="cellIs" dxfId="412" priority="51" operator="equal">
      <formula>MAX($F$21:$F$30)</formula>
    </cfRule>
  </conditionalFormatting>
  <conditionalFormatting sqref="F33:F42">
    <cfRule type="cellIs" dxfId="411" priority="32" operator="lessThanOrEqual">
      <formula>0</formula>
    </cfRule>
    <cfRule type="cellIs" dxfId="410" priority="49" operator="equal">
      <formula>MAX($F$33:$F$42)</formula>
    </cfRule>
  </conditionalFormatting>
  <conditionalFormatting sqref="E33:E42">
    <cfRule type="cellIs" dxfId="409" priority="47" stopIfTrue="1" operator="lessThan">
      <formula>0</formula>
    </cfRule>
    <cfRule type="cellIs" dxfId="408" priority="48" operator="equal">
      <formula>MIN($E$33:$E$42)</formula>
    </cfRule>
  </conditionalFormatting>
  <conditionalFormatting sqref="E21:E30">
    <cfRule type="cellIs" dxfId="407" priority="43" stopIfTrue="1" operator="lessThan">
      <formula>0</formula>
    </cfRule>
    <cfRule type="cellIs" dxfId="406" priority="44" operator="equal">
      <formula>MIN($E$21:$E$30)</formula>
    </cfRule>
  </conditionalFormatting>
  <conditionalFormatting sqref="E45:E54">
    <cfRule type="cellIs" dxfId="405" priority="39" stopIfTrue="1" operator="lessThan">
      <formula>0</formula>
    </cfRule>
    <cfRule type="cellIs" dxfId="404" priority="40" operator="equal">
      <formula>MIN($E$45:$E$54)</formula>
    </cfRule>
  </conditionalFormatting>
  <conditionalFormatting sqref="S7:T16">
    <cfRule type="cellIs" dxfId="403" priority="13" operator="lessThanOrEqual">
      <formula>0</formula>
    </cfRule>
    <cfRule type="cellIs" dxfId="402" priority="14" operator="greaterThan">
      <formula>0</formula>
    </cfRule>
  </conditionalFormatting>
  <conditionalFormatting sqref="U7:U16">
    <cfRule type="cellIs" dxfId="401" priority="15" operator="lessThanOrEqual">
      <formula>0</formula>
    </cfRule>
    <cfRule type="cellIs" dxfId="400" priority="16" operator="greaterThan">
      <formula>0</formula>
    </cfRule>
  </conditionalFormatting>
  <conditionalFormatting sqref="R7:R16">
    <cfRule type="cellIs" dxfId="399" priority="17" operator="lessThanOrEqual">
      <formula>0</formula>
    </cfRule>
    <cfRule type="cellIs" dxfId="398" priority="18" operator="greaterThan">
      <formula>0</formula>
    </cfRule>
  </conditionalFormatting>
  <conditionalFormatting sqref="T21:T30">
    <cfRule type="cellIs" dxfId="397" priority="9" operator="equal">
      <formula>MAX($T$21:$T$30)</formula>
    </cfRule>
  </conditionalFormatting>
  <conditionalFormatting sqref="S33:S42">
    <cfRule type="cellIs" dxfId="396" priority="7" stopIfTrue="1" operator="lessThan">
      <formula>0</formula>
    </cfRule>
    <cfRule type="cellIs" dxfId="395" priority="8" operator="equal">
      <formula>MIN($E$21:$E$30)</formula>
    </cfRule>
  </conditionalFormatting>
  <conditionalFormatting sqref="T33:T42">
    <cfRule type="cellIs" dxfId="394" priority="6" operator="equal">
      <formula>MAX($T$21:$T$30)</formula>
    </cfRule>
  </conditionalFormatting>
  <conditionalFormatting sqref="S45:S54">
    <cfRule type="cellIs" dxfId="393" priority="4" stopIfTrue="1" operator="lessThan">
      <formula>0</formula>
    </cfRule>
    <cfRule type="cellIs" dxfId="392" priority="5" operator="equal">
      <formula>MIN($E$21:$E$30)</formula>
    </cfRule>
  </conditionalFormatting>
  <conditionalFormatting sqref="T45:T54">
    <cfRule type="cellIs" dxfId="391" priority="3" operator="equal">
      <formula>MAX($T$21:$T$30)</formula>
    </cfRule>
  </conditionalFormatting>
  <conditionalFormatting sqref="S21:S30">
    <cfRule type="cellIs" dxfId="390" priority="1" stopIfTrue="1" operator="lessThan">
      <formula>0</formula>
    </cfRule>
    <cfRule type="cellIs" dxfId="389" priority="2" operator="equal">
      <formula>MIN($E$21:$E$30)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>
    <pageSetUpPr fitToPage="1"/>
  </sheetPr>
  <dimension ref="A1:W54"/>
  <sheetViews>
    <sheetView workbookViewId="0">
      <selection activeCell="C7" sqref="C7:C16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0.99999999999999967</v>
      </c>
    </row>
    <row r="2" spans="1:23" x14ac:dyDescent="0.2">
      <c r="A2" t="s">
        <v>40</v>
      </c>
      <c r="B2" s="149" t="s">
        <v>125</v>
      </c>
      <c r="C2" s="155">
        <f>Analysis!B30</f>
        <v>0.31661578366850052</v>
      </c>
      <c r="D2" s="149" t="s">
        <v>126</v>
      </c>
      <c r="E2" s="155">
        <f>Analysis!K30</f>
        <v>0.68338421633149915</v>
      </c>
      <c r="F2" s="149" t="s">
        <v>47</v>
      </c>
      <c r="G2" s="155">
        <f>Analysis!S30</f>
        <v>9.4974786772604052</v>
      </c>
      <c r="H2" t="s">
        <v>156</v>
      </c>
      <c r="I2" s="169">
        <f>Analysis!T30</f>
        <v>-9.570161162938847</v>
      </c>
      <c r="J2" t="s">
        <v>48</v>
      </c>
      <c r="K2" s="169">
        <f>C2*G2+E2*I2</f>
        <v>-3.5330454322254354</v>
      </c>
      <c r="L2" t="s">
        <v>47</v>
      </c>
      <c r="M2" s="176">
        <v>2</v>
      </c>
      <c r="N2" t="s">
        <v>156</v>
      </c>
      <c r="O2" s="176">
        <v>7</v>
      </c>
    </row>
    <row r="4" spans="1:23" x14ac:dyDescent="0.2">
      <c r="A4" t="s">
        <v>123</v>
      </c>
      <c r="B4">
        <f>$C$2</f>
        <v>0.31661578366850052</v>
      </c>
      <c r="C4" t="s">
        <v>124</v>
      </c>
      <c r="D4">
        <f>$E$2</f>
        <v>0.68338421633149915</v>
      </c>
      <c r="E4" t="s">
        <v>47</v>
      </c>
      <c r="F4">
        <f>G2</f>
        <v>9.4974786772604052</v>
      </c>
      <c r="G4" t="s">
        <v>156</v>
      </c>
      <c r="H4">
        <f>I2</f>
        <v>-9.570161162938847</v>
      </c>
      <c r="I4" t="s">
        <v>48</v>
      </c>
      <c r="J4">
        <f>K2</f>
        <v>-3.5330454322254354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60">
        <v>-10</v>
      </c>
      <c r="N6" s="104" t="s">
        <v>136</v>
      </c>
      <c r="R6" s="188" t="s">
        <v>49</v>
      </c>
      <c r="S6" s="164" t="s">
        <v>130</v>
      </c>
      <c r="T6" s="165" t="s">
        <v>137</v>
      </c>
      <c r="U6" s="268" t="s">
        <v>48</v>
      </c>
      <c r="V6" s="175" t="s">
        <v>47</v>
      </c>
      <c r="W6" s="168" t="s">
        <v>156</v>
      </c>
    </row>
    <row r="7" spans="1:23" x14ac:dyDescent="0.2">
      <c r="A7" s="101">
        <v>1</v>
      </c>
      <c r="B7" s="95">
        <f>C7*B4</f>
        <v>0.31661578366850052</v>
      </c>
      <c r="C7" s="95">
        <v>1</v>
      </c>
      <c r="D7" s="22">
        <f>C7*D4</f>
        <v>0.68338421633149915</v>
      </c>
      <c r="E7" s="2"/>
      <c r="F7" s="2"/>
      <c r="G7" s="2"/>
      <c r="H7" s="2"/>
      <c r="I7" s="2"/>
      <c r="J7" s="2"/>
      <c r="K7" s="2"/>
      <c r="L7" s="2"/>
      <c r="M7" s="261"/>
      <c r="N7" s="96">
        <f>B7+D7</f>
        <v>0.99999999999999967</v>
      </c>
      <c r="R7" s="189">
        <f>B7-D7</f>
        <v>-0.36676843266299863</v>
      </c>
      <c r="S7" s="109">
        <f>SUM(C7)*$B$4*$F$4</f>
        <v>3.0070516542756769</v>
      </c>
      <c r="T7" s="263">
        <f>SUM(C7)*$D$4*$H$4</f>
        <v>-6.5400970865011123</v>
      </c>
      <c r="U7" s="265">
        <f>S7+T7</f>
        <v>-3.5330454322254354</v>
      </c>
      <c r="V7" s="109">
        <f>(U7+W7*D7)/B7</f>
        <v>-9.0003763642988694</v>
      </c>
      <c r="W7" s="57">
        <f>COUNT(D7:M7)</f>
        <v>1</v>
      </c>
    </row>
    <row r="8" spans="1:23" x14ac:dyDescent="0.2">
      <c r="A8" s="99">
        <v>2</v>
      </c>
      <c r="B8" s="97">
        <f>C8*B4</f>
        <v>0.40403746190687106</v>
      </c>
      <c r="C8" s="97">
        <f>1/(1-B4*D4*C7)</f>
        <v>1.2761128242737949</v>
      </c>
      <c r="D8" s="144">
        <f>C8*D4</f>
        <v>0.8720753623669234</v>
      </c>
      <c r="E8" s="1">
        <f>D8*D4</f>
        <v>0.59596253809312805</v>
      </c>
      <c r="F8" s="1"/>
      <c r="G8" s="1"/>
      <c r="H8" s="1"/>
      <c r="I8" s="1"/>
      <c r="J8" s="1"/>
      <c r="K8" s="1"/>
      <c r="L8" s="1"/>
      <c r="M8" s="262"/>
      <c r="N8" s="97">
        <f>B8+E8</f>
        <v>0.99999999999999911</v>
      </c>
      <c r="R8" s="190">
        <f>B8-E8</f>
        <v>-0.19192507618625698</v>
      </c>
      <c r="S8" s="93">
        <f>SUM(C8:D8)*$B$4*$F$4</f>
        <v>6.459712840333439</v>
      </c>
      <c r="T8" s="262">
        <f>SUM(C8:D8)*$D$4*$H$4</f>
        <v>-14.049359300705069</v>
      </c>
      <c r="U8" s="266">
        <f>S8+T8</f>
        <v>-7.5896464603716298</v>
      </c>
      <c r="V8" s="93">
        <f>(U8+W8*E8)/B8</f>
        <v>-15.834475729035299</v>
      </c>
      <c r="W8" s="9">
        <f>COUNT(D8:M8)</f>
        <v>2</v>
      </c>
    </row>
    <row r="9" spans="1:23" x14ac:dyDescent="0.2">
      <c r="A9" s="99">
        <v>3</v>
      </c>
      <c r="B9" s="97">
        <f>C9*B4</f>
        <v>0.43738277771100309</v>
      </c>
      <c r="C9" s="97">
        <f>1/(1-D4*B4*C8)</f>
        <v>1.3814307443653746</v>
      </c>
      <c r="D9" s="144">
        <f>C9*D4*C8</f>
        <v>1.2047117169772428</v>
      </c>
      <c r="E9" s="1">
        <f>D9*(D4)</f>
        <v>0.82328097261186783</v>
      </c>
      <c r="F9" s="1">
        <f>E9*D4</f>
        <v>0.56261722228899569</v>
      </c>
      <c r="G9" s="1"/>
      <c r="H9" s="1"/>
      <c r="I9" s="1"/>
      <c r="J9" s="1"/>
      <c r="K9" s="1"/>
      <c r="L9" s="1"/>
      <c r="M9" s="262"/>
      <c r="N9" s="97">
        <f>B9+F9</f>
        <v>0.99999999999999878</v>
      </c>
      <c r="R9" s="190">
        <f>B9-F9</f>
        <v>-0.1252344445779926</v>
      </c>
      <c r="S9" s="93">
        <f>SUM(C9:E9)*$B$4*$F$4</f>
        <v>10.252312377199093</v>
      </c>
      <c r="T9" s="262">
        <f>SUM(C9:E9)*$D$4*$H$4</f>
        <v>-22.297960267054346</v>
      </c>
      <c r="U9" s="266">
        <f t="shared" ref="U9:U16" si="0">S9+T9</f>
        <v>-12.045647889855253</v>
      </c>
      <c r="V9" s="93">
        <f>(U9+W9*F9)/B9</f>
        <v>-23.68130788595451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0.45159892098009641</v>
      </c>
      <c r="C10" s="97">
        <f>1/(1-D4*B4*C9)</f>
        <v>1.4263310430945679</v>
      </c>
      <c r="D10" s="144">
        <f>C10*D4*C9</f>
        <v>1.346524921009435</v>
      </c>
      <c r="E10" s="1">
        <f>D10*D4*C8</f>
        <v>1.1742712084253959</v>
      </c>
      <c r="F10" s="1">
        <f>E10*D4</f>
        <v>0.8024784095304317</v>
      </c>
      <c r="G10" s="1">
        <f>F10*D4</f>
        <v>0.54840107901990187</v>
      </c>
      <c r="H10" s="1"/>
      <c r="I10" s="1"/>
      <c r="J10" s="1"/>
      <c r="K10" s="1"/>
      <c r="L10" s="1"/>
      <c r="M10" s="262"/>
      <c r="N10" s="97">
        <f>B10+G10</f>
        <v>0.99999999999999822</v>
      </c>
      <c r="R10" s="190">
        <f>B10-G10</f>
        <v>-9.6802158039805464E-2</v>
      </c>
      <c r="S10" s="93">
        <f>SUM(C10:F10)*$B$4*$F$4</f>
        <v>14.282309322690001</v>
      </c>
      <c r="T10" s="262">
        <f>SUM(C10:F10)*$D$4*$H$4</f>
        <v>-31.062881629258918</v>
      </c>
      <c r="U10" s="266">
        <f t="shared" si="0"/>
        <v>-16.780572306568917</v>
      </c>
      <c r="V10" s="93">
        <f>(U10+W10*G10)/B10</f>
        <v>-32.300714888404727</v>
      </c>
      <c r="W10" s="9">
        <f t="shared" si="1"/>
        <v>4</v>
      </c>
    </row>
    <row r="11" spans="1:23" x14ac:dyDescent="0.2">
      <c r="A11" s="99">
        <v>5</v>
      </c>
      <c r="B11" s="97">
        <f>C11*B4</f>
        <v>0.45794462832418859</v>
      </c>
      <c r="C11" s="97">
        <f>1/(1-D4*B4*C10)</f>
        <v>1.446373339377359</v>
      </c>
      <c r="D11" s="144">
        <f>C11*D4*C10</f>
        <v>1.4098265544610873</v>
      </c>
      <c r="E11" s="1">
        <f>D11*D4*C9</f>
        <v>1.3309438920743273</v>
      </c>
      <c r="F11" s="1">
        <f>E11*D4*C8</f>
        <v>1.1606833769707623</v>
      </c>
      <c r="G11" s="1">
        <f>F11*D4</f>
        <v>0.7931926999801624</v>
      </c>
      <c r="H11" s="1">
        <f>G11*D4</f>
        <v>0.54205537167580919</v>
      </c>
      <c r="I11" s="1"/>
      <c r="J11" s="1"/>
      <c r="K11" s="1"/>
      <c r="L11" s="1"/>
      <c r="M11" s="262"/>
      <c r="N11" s="97">
        <f>B11+H11</f>
        <v>0.99999999999999778</v>
      </c>
      <c r="R11" s="190">
        <f>B11-H11</f>
        <v>-8.4110743351620609E-2</v>
      </c>
      <c r="S11" s="93">
        <f>SUM(C11:G11)*$B$4*$F$4</f>
        <v>18.466363937564076</v>
      </c>
      <c r="T11" s="262">
        <f>SUM(C11:G11)*$D$4*$H$4</f>
        <v>-40.162866113260336</v>
      </c>
      <c r="U11" s="266">
        <f t="shared" si="0"/>
        <v>-21.69650217569626</v>
      </c>
      <c r="V11" s="93">
        <f>(U11+W11*H11)/B11</f>
        <v>-41.459652855402567</v>
      </c>
      <c r="W11" s="9">
        <f t="shared" si="1"/>
        <v>5</v>
      </c>
    </row>
    <row r="12" spans="1:23" x14ac:dyDescent="0.2">
      <c r="A12" s="99">
        <v>6</v>
      </c>
      <c r="B12" s="97">
        <f>C12*B4</f>
        <v>0.46083511489024059</v>
      </c>
      <c r="C12" s="97">
        <f>1/(1-D4*B4*C11)</f>
        <v>1.4555026586189999</v>
      </c>
      <c r="D12" s="144">
        <f>C12*D4*C11</f>
        <v>1.4386606167932401</v>
      </c>
      <c r="E12" s="1">
        <f>D12*D4*C10</f>
        <v>1.4023087160093888</v>
      </c>
      <c r="F12" s="1">
        <f>E12*D4*C9</f>
        <v>1.3238466919703653</v>
      </c>
      <c r="G12" s="1">
        <f>F12*D4*C8</f>
        <v>1.1544940836183091</v>
      </c>
      <c r="H12" s="1">
        <f>G12*D4</f>
        <v>0.78896303459285044</v>
      </c>
      <c r="I12" s="1">
        <f>H12*D4</f>
        <v>0.53916488510975658</v>
      </c>
      <c r="J12" s="1"/>
      <c r="K12" s="1"/>
      <c r="L12" s="1"/>
      <c r="M12" s="262"/>
      <c r="N12" s="97">
        <f>B12+I12</f>
        <v>0.99999999999999711</v>
      </c>
      <c r="R12" s="190">
        <f>B12-I12</f>
        <v>-7.8329770219515982E-2</v>
      </c>
      <c r="S12" s="93">
        <f>SUM(C12:H12)*$B$4*$F$4</f>
        <v>22.744664536781094</v>
      </c>
      <c r="T12" s="262">
        <f>SUM(C12:H12)*$D$4*$H$4</f>
        <v>-49.4678280830124</v>
      </c>
      <c r="U12" s="266">
        <f t="shared" si="0"/>
        <v>-26.723163546231305</v>
      </c>
      <c r="V12" s="93">
        <f>(U12+W12*I12)/B12</f>
        <v>-50.968716307929483</v>
      </c>
      <c r="W12" s="9">
        <f t="shared" si="1"/>
        <v>6</v>
      </c>
    </row>
    <row r="13" spans="1:23" x14ac:dyDescent="0.2">
      <c r="A13" s="99">
        <v>7</v>
      </c>
      <c r="B13" s="97">
        <f>C13*B4</f>
        <v>0.46216386983385399</v>
      </c>
      <c r="C13" s="97">
        <f>1/(1-D4*B4*C12)</f>
        <v>1.4596994012078173</v>
      </c>
      <c r="D13" s="144">
        <f>C13*D4*C12</f>
        <v>1.4519156179817196</v>
      </c>
      <c r="E13" s="1">
        <f>D13*D4*C11</f>
        <v>1.435115082839638</v>
      </c>
      <c r="F13" s="1">
        <f>E13*D4*C10</f>
        <v>1.3988527701747651</v>
      </c>
      <c r="G13" s="1">
        <f>F13*D4*C9</f>
        <v>1.3205841133323211</v>
      </c>
      <c r="H13" s="1">
        <f>G13*D4*C8</f>
        <v>1.1516488691702862</v>
      </c>
      <c r="I13" s="1">
        <f>H13*D4</f>
        <v>0.78701865994699327</v>
      </c>
      <c r="J13" s="1">
        <f>I13*D4</f>
        <v>0.53783613016614262</v>
      </c>
      <c r="K13" s="1"/>
      <c r="L13" s="1"/>
      <c r="M13" s="262"/>
      <c r="N13" s="97">
        <f>B13+J13</f>
        <v>0.99999999999999667</v>
      </c>
      <c r="R13" s="190">
        <f>B13-J13</f>
        <v>-7.5672260332288632E-2</v>
      </c>
      <c r="S13" s="93">
        <f>SUM(C13:I13)*$B$4*$F$4</f>
        <v>27.078002523767637</v>
      </c>
      <c r="T13" s="262">
        <f>SUM(C13:I13)*$D$4*$H$4</f>
        <v>-58.892491973710278</v>
      </c>
      <c r="U13" s="266">
        <f t="shared" si="0"/>
        <v>-31.814489449942641</v>
      </c>
      <c r="V13" s="93">
        <f>(U13+W13*J13)/B13</f>
        <v>-60.691971765043803</v>
      </c>
      <c r="W13" s="9">
        <f t="shared" si="1"/>
        <v>7</v>
      </c>
    </row>
    <row r="14" spans="1:23" x14ac:dyDescent="0.2">
      <c r="A14" s="99">
        <v>8</v>
      </c>
      <c r="B14" s="97">
        <f>C14*B4</f>
        <v>0.46277727197668195</v>
      </c>
      <c r="C14" s="97">
        <f>1/(1-D4*B4*C13)</f>
        <v>1.4616367719090524</v>
      </c>
      <c r="D14" s="144">
        <f>C14*D4*C13</f>
        <v>1.4580346139420202</v>
      </c>
      <c r="E14" s="1">
        <f>D14*D4*C12</f>
        <v>1.4502597081212183</v>
      </c>
      <c r="F14" s="1">
        <f>E14*D4*C11</f>
        <v>1.4334783339906023</v>
      </c>
      <c r="G14" s="1">
        <f>F14*D4*C10</f>
        <v>1.3972573784957762</v>
      </c>
      <c r="H14" s="1">
        <f>G14*D4*C9</f>
        <v>1.3190779870617546</v>
      </c>
      <c r="I14" s="1">
        <f>H14*D4*C8</f>
        <v>1.1503354135571116</v>
      </c>
      <c r="J14" s="1">
        <f>I14*D4</f>
        <v>0.78612106511209767</v>
      </c>
      <c r="K14" s="1">
        <f>J14*D4</f>
        <v>0.53722272802331428</v>
      </c>
      <c r="L14" s="1"/>
      <c r="M14" s="262"/>
      <c r="N14" s="97">
        <f>B14+K14</f>
        <v>0.99999999999999623</v>
      </c>
      <c r="R14" s="190">
        <f>B14-K14</f>
        <v>-7.444545604663233E-2</v>
      </c>
      <c r="S14" s="93">
        <f>SUM(C14:J14)*$B$4*$F$4</f>
        <v>31.442337332977278</v>
      </c>
      <c r="T14" s="262">
        <f>SUM(C14:J14)*$D$4*$H$4</f>
        <v>-68.384571476116662</v>
      </c>
      <c r="U14" s="266">
        <f t="shared" si="0"/>
        <v>-36.942234143139387</v>
      </c>
      <c r="V14" s="93">
        <f>(U14+W14*K14)/B14</f>
        <v>-70.540310200449369</v>
      </c>
      <c r="W14" s="9">
        <f t="shared" si="1"/>
        <v>8</v>
      </c>
    </row>
    <row r="15" spans="1:23" x14ac:dyDescent="0.2">
      <c r="A15" s="99">
        <v>9</v>
      </c>
      <c r="B15" s="97">
        <f>C15*B4</f>
        <v>0.4630609906299854</v>
      </c>
      <c r="C15" s="97">
        <f>1/(1-D4*B4*C14)</f>
        <v>1.4625328695388551</v>
      </c>
      <c r="D15" s="144">
        <f>C15*D4*C14</f>
        <v>1.4608648507022348</v>
      </c>
      <c r="E15" s="1">
        <f>D15*D4*C13</f>
        <v>1.4572645951107988</v>
      </c>
      <c r="F15" s="1">
        <f>E15*D4*C12</f>
        <v>1.4494937953817424</v>
      </c>
      <c r="G15" s="1">
        <f>F15*D4*C11</f>
        <v>1.4327212838487429</v>
      </c>
      <c r="H15" s="1">
        <f>G15*D4*C10</f>
        <v>1.3965194574044546</v>
      </c>
      <c r="I15" s="1">
        <f>H15*D4*C9</f>
        <v>1.318381354155941</v>
      </c>
      <c r="J15" s="1">
        <f>I15*D4*C8</f>
        <v>1.1497278971633376</v>
      </c>
      <c r="K15" s="1">
        <f>J15*D4</f>
        <v>0.78570589799742985</v>
      </c>
      <c r="L15" s="1">
        <f>K15*D4</f>
        <v>0.53693900937001038</v>
      </c>
      <c r="M15" s="262"/>
      <c r="N15" s="97">
        <f>B15+L15</f>
        <v>0.99999999999999578</v>
      </c>
      <c r="R15" s="190">
        <f>B15-L15</f>
        <v>-7.3878018740024975E-2</v>
      </c>
      <c r="S15" s="93">
        <f>SUM(C15:K15)*$B$4*$F$4</f>
        <v>35.823643856256652</v>
      </c>
      <c r="T15" s="262">
        <f>SUM(C15:K15)*$D$4*$H$4</f>
        <v>-77.913563100595354</v>
      </c>
      <c r="U15" s="266">
        <f t="shared" si="0"/>
        <v>-42.089919244338702</v>
      </c>
      <c r="V15" s="93">
        <f>(U15+W15*L15)/B15</f>
        <v>-80.45909483612634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0.46319233753248762</v>
      </c>
      <c r="C16" s="145">
        <f>1/(1-D4*B4*C15)</f>
        <v>1.4629477158897866</v>
      </c>
      <c r="D16" s="153">
        <f>C16*D4*C15</f>
        <v>1.4621751023458034</v>
      </c>
      <c r="E16" s="111">
        <f>D16*D4*C14</f>
        <v>1.460507491542691</v>
      </c>
      <c r="F16" s="111">
        <f>E16*D4*C13</f>
        <v>1.4569081166516917</v>
      </c>
      <c r="G16" s="111">
        <f>F16*D4*C12</f>
        <v>1.4491392178284301</v>
      </c>
      <c r="H16" s="111">
        <f>G16*D4*C11</f>
        <v>1.432370809214754</v>
      </c>
      <c r="I16" s="111">
        <f>H16*D4*C10</f>
        <v>1.3961778385207193</v>
      </c>
      <c r="J16" s="111">
        <f>I16*D4*C9</f>
        <v>1.3180588495433798</v>
      </c>
      <c r="K16" s="111">
        <f>J16*D4*C8</f>
        <v>1.1494466488364732</v>
      </c>
      <c r="L16" s="111">
        <f>K16*D4</f>
        <v>0.78551369732998111</v>
      </c>
      <c r="M16" s="264">
        <f>L16*D4</f>
        <v>0.53680766246750755</v>
      </c>
      <c r="N16" s="145">
        <f>B16+M16</f>
        <v>0.99999999999999512</v>
      </c>
      <c r="R16" s="191">
        <f>B16-M16</f>
        <v>-7.3615324935019932E-2</v>
      </c>
      <c r="S16" s="94">
        <f>SUM(C16:L16)*$B$4*$F$4</f>
        <v>40.214039966834179</v>
      </c>
      <c r="T16" s="264">
        <f>SUM(C16:L16)*$D$4*$H$4</f>
        <v>-87.462323851195194</v>
      </c>
      <c r="U16" s="267">
        <f t="shared" si="0"/>
        <v>-47.248283884361015</v>
      </c>
      <c r="V16" s="94">
        <f>(U16+W16*M16)/B16</f>
        <v>-90.416450934377821</v>
      </c>
      <c r="W16" s="10">
        <f t="shared" si="1"/>
        <v>10</v>
      </c>
    </row>
    <row r="18" spans="1:21" x14ac:dyDescent="0.2">
      <c r="A18" s="356" t="s">
        <v>200</v>
      </c>
      <c r="B18" s="356"/>
      <c r="C18" s="356"/>
      <c r="D18" s="356"/>
      <c r="E18" s="356"/>
      <c r="F18" s="356"/>
      <c r="O18" s="356" t="s">
        <v>201</v>
      </c>
      <c r="P18" s="356"/>
      <c r="Q18" s="356"/>
      <c r="R18" s="356"/>
      <c r="S18" s="356"/>
      <c r="T18" s="356"/>
    </row>
    <row r="19" spans="1:21" ht="17" thickBot="1" x14ac:dyDescent="0.25"/>
    <row r="20" spans="1:21" ht="17" thickBot="1" x14ac:dyDescent="0.25">
      <c r="A20" s="29" t="s">
        <v>135</v>
      </c>
      <c r="B20" s="19" t="s">
        <v>140</v>
      </c>
      <c r="C20" s="19" t="s">
        <v>139</v>
      </c>
      <c r="D20" s="19" t="s">
        <v>138</v>
      </c>
      <c r="E20" s="167" t="s">
        <v>151</v>
      </c>
      <c r="F20" s="168" t="s">
        <v>152</v>
      </c>
      <c r="G20" s="166" t="s">
        <v>47</v>
      </c>
      <c r="O20" s="29" t="s">
        <v>135</v>
      </c>
      <c r="P20" s="118" t="s">
        <v>140</v>
      </c>
      <c r="Q20" s="118" t="s">
        <v>139</v>
      </c>
      <c r="R20" s="118" t="s">
        <v>138</v>
      </c>
      <c r="S20" s="166" t="s">
        <v>151</v>
      </c>
      <c r="T20" s="168" t="s">
        <v>152</v>
      </c>
      <c r="U20" s="293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7</v>
      </c>
      <c r="D21" s="57">
        <f>SUM($C$21:C21)</f>
        <v>7</v>
      </c>
      <c r="E21" s="57">
        <f t="shared" ref="E21:E30" si="3">D21/R7</f>
        <v>-19.085612000943051</v>
      </c>
      <c r="F21" s="8">
        <f t="shared" ref="F21:F30" si="4">U7/E21</f>
        <v>0.18511564795778421</v>
      </c>
      <c r="G21" s="286">
        <f>E21*U7</f>
        <v>67.430334301158794</v>
      </c>
      <c r="O21" s="101">
        <v>1</v>
      </c>
      <c r="P21" s="109">
        <v>1</v>
      </c>
      <c r="Q21" s="110">
        <f>P21*7+21</f>
        <v>28</v>
      </c>
      <c r="R21" s="57">
        <f>SUM($Q$21)</f>
        <v>28</v>
      </c>
      <c r="S21" s="281">
        <f>R21/R7</f>
        <v>-76.342448003772205</v>
      </c>
      <c r="T21" s="8">
        <f>U7/S21</f>
        <v>4.6278911989446052E-2</v>
      </c>
      <c r="U21" s="286">
        <f>S21*U7</f>
        <v>269.72133720463518</v>
      </c>
    </row>
    <row r="22" spans="1:21" x14ac:dyDescent="0.2">
      <c r="A22" s="97">
        <v>2</v>
      </c>
      <c r="B22" s="93">
        <f>C21</f>
        <v>7</v>
      </c>
      <c r="C22" s="1">
        <f t="shared" si="2"/>
        <v>49</v>
      </c>
      <c r="D22" s="9">
        <f>SUM($C$21:C22)</f>
        <v>56</v>
      </c>
      <c r="E22" s="9">
        <f t="shared" si="3"/>
        <v>-291.78052765577041</v>
      </c>
      <c r="F22" s="9">
        <f t="shared" si="4"/>
        <v>2.6011490627385371E-2</v>
      </c>
      <c r="G22" s="287">
        <f t="shared" ref="G22:G30" si="5">E22*U8</f>
        <v>2214.5110489279846</v>
      </c>
      <c r="O22" s="99">
        <v>2</v>
      </c>
      <c r="P22" s="93">
        <f>Q21</f>
        <v>28</v>
      </c>
      <c r="Q22" s="1">
        <f t="shared" ref="Q22:Q30" si="6">P22*7+21</f>
        <v>217</v>
      </c>
      <c r="R22" s="9">
        <f>SUM($Q$21:Q22)</f>
        <v>245</v>
      </c>
      <c r="S22" s="282">
        <f t="shared" ref="S22:S30" si="7">R22/R8</f>
        <v>-1276.5398084939957</v>
      </c>
      <c r="T22" s="9">
        <f>U8/S22</f>
        <v>5.9454835719737979E-3</v>
      </c>
      <c r="U22" s="287">
        <f t="shared" ref="U22:U30" si="8">S22*U8</f>
        <v>9688.4858390599329</v>
      </c>
    </row>
    <row r="23" spans="1:21" x14ac:dyDescent="0.2">
      <c r="A23" s="97">
        <v>3</v>
      </c>
      <c r="B23" s="93">
        <f t="shared" ref="B23:B30" si="9">C22</f>
        <v>49</v>
      </c>
      <c r="C23" s="1">
        <f t="shared" si="2"/>
        <v>343</v>
      </c>
      <c r="D23" s="9">
        <f>SUM($C$21:C23)</f>
        <v>399</v>
      </c>
      <c r="E23" s="9">
        <f t="shared" si="3"/>
        <v>-3186.024430774823</v>
      </c>
      <c r="F23" s="9">
        <f t="shared" si="4"/>
        <v>3.7807770001706546E-3</v>
      </c>
      <c r="G23" s="287">
        <f t="shared" si="5"/>
        <v>38377.728461590028</v>
      </c>
      <c r="O23" s="99">
        <v>3</v>
      </c>
      <c r="P23" s="93">
        <f t="shared" ref="P23:P30" si="10">Q22</f>
        <v>217</v>
      </c>
      <c r="Q23" s="1">
        <f t="shared" si="6"/>
        <v>1540</v>
      </c>
      <c r="R23" s="9">
        <f>SUM($Q$21:Q23)</f>
        <v>1785</v>
      </c>
      <c r="S23" s="282">
        <f t="shared" si="7"/>
        <v>-14253.267190308419</v>
      </c>
      <c r="T23" s="9">
        <f t="shared" ref="T23:T30" si="11">U9/S23</f>
        <v>8.4511485886167579E-4</v>
      </c>
      <c r="U23" s="287">
        <f t="shared" si="8"/>
        <v>171689.83785448174</v>
      </c>
    </row>
    <row r="24" spans="1:21" x14ac:dyDescent="0.2">
      <c r="A24" s="97">
        <v>4</v>
      </c>
      <c r="B24" s="93">
        <f t="shared" si="9"/>
        <v>343</v>
      </c>
      <c r="C24" s="1">
        <f t="shared" si="2"/>
        <v>2401</v>
      </c>
      <c r="D24" s="9">
        <f>SUM($C$21:C24)</f>
        <v>2800</v>
      </c>
      <c r="E24" s="9">
        <f t="shared" si="3"/>
        <v>-28924.974987113696</v>
      </c>
      <c r="F24" s="9">
        <f t="shared" si="4"/>
        <v>5.8014129014959549E-4</v>
      </c>
      <c r="G24" s="287">
        <f t="shared" si="5"/>
        <v>485377.63423695869</v>
      </c>
      <c r="O24" s="99">
        <v>4</v>
      </c>
      <c r="P24" s="93">
        <f t="shared" si="10"/>
        <v>1540</v>
      </c>
      <c r="Q24" s="1">
        <f t="shared" si="6"/>
        <v>10801</v>
      </c>
      <c r="R24" s="9">
        <f>SUM($Q$21:Q24)</f>
        <v>12586</v>
      </c>
      <c r="S24" s="282">
        <f t="shared" si="7"/>
        <v>-130017.76256707606</v>
      </c>
      <c r="T24" s="9">
        <f t="shared" si="11"/>
        <v>1.2906369080079987E-4</v>
      </c>
      <c r="U24" s="287">
        <f t="shared" si="8"/>
        <v>2181772.4658951294</v>
      </c>
    </row>
    <row r="25" spans="1:21" x14ac:dyDescent="0.2">
      <c r="A25" s="97">
        <v>5</v>
      </c>
      <c r="B25" s="93">
        <f t="shared" si="9"/>
        <v>2401</v>
      </c>
      <c r="C25" s="1">
        <f t="shared" si="2"/>
        <v>16807</v>
      </c>
      <c r="D25" s="9">
        <f>SUM($C$21:C25)</f>
        <v>19607</v>
      </c>
      <c r="E25" s="9">
        <f t="shared" si="3"/>
        <v>-233109.34155026963</v>
      </c>
      <c r="F25" s="9">
        <f t="shared" si="4"/>
        <v>9.3074357429890668E-5</v>
      </c>
      <c r="G25" s="287">
        <f t="shared" si="5"/>
        <v>5057657.3361205477</v>
      </c>
      <c r="O25" s="99">
        <v>5</v>
      </c>
      <c r="P25" s="93">
        <f t="shared" si="10"/>
        <v>10801</v>
      </c>
      <c r="Q25" s="1">
        <f t="shared" si="6"/>
        <v>75628</v>
      </c>
      <c r="R25" s="9">
        <f>SUM($Q$21:Q25)</f>
        <v>88214</v>
      </c>
      <c r="S25" s="282">
        <f t="shared" si="7"/>
        <v>-1048783.9779423412</v>
      </c>
      <c r="T25" s="9">
        <f t="shared" si="11"/>
        <v>2.0687293696327868E-5</v>
      </c>
      <c r="U25" s="287">
        <f t="shared" si="8"/>
        <v>22754943.859261386</v>
      </c>
    </row>
    <row r="26" spans="1:21" x14ac:dyDescent="0.2">
      <c r="A26" s="97">
        <v>6</v>
      </c>
      <c r="B26" s="93">
        <f t="shared" si="9"/>
        <v>16807</v>
      </c>
      <c r="C26" s="1">
        <f t="shared" si="2"/>
        <v>117649</v>
      </c>
      <c r="D26" s="9">
        <f>SUM($C$21:C26)</f>
        <v>137256</v>
      </c>
      <c r="E26" s="9">
        <f t="shared" si="3"/>
        <v>-1752283.9606875607</v>
      </c>
      <c r="F26" s="9">
        <f t="shared" si="4"/>
        <v>1.5250475462747303E-5</v>
      </c>
      <c r="G26" s="287">
        <f t="shared" si="5"/>
        <v>46826570.860891633</v>
      </c>
      <c r="O26" s="99">
        <v>6</v>
      </c>
      <c r="P26" s="93">
        <f t="shared" si="10"/>
        <v>75628</v>
      </c>
      <c r="Q26" s="1">
        <f t="shared" si="6"/>
        <v>529417</v>
      </c>
      <c r="R26" s="9">
        <f>SUM($Q$21:Q26)</f>
        <v>617631</v>
      </c>
      <c r="S26" s="282">
        <f t="shared" si="7"/>
        <v>-7885009.7257928159</v>
      </c>
      <c r="T26" s="9">
        <f t="shared" si="11"/>
        <v>3.3891097760877354E-6</v>
      </c>
      <c r="U26" s="287">
        <f t="shared" si="8"/>
        <v>210712404.46598586</v>
      </c>
    </row>
    <row r="27" spans="1:21" x14ac:dyDescent="0.2">
      <c r="A27" s="97">
        <v>7</v>
      </c>
      <c r="B27" s="93">
        <f t="shared" si="9"/>
        <v>117649</v>
      </c>
      <c r="C27" s="1">
        <f t="shared" si="2"/>
        <v>823543</v>
      </c>
      <c r="D27" s="9">
        <f>SUM($C$21:C27)</f>
        <v>960799</v>
      </c>
      <c r="E27" s="9">
        <f t="shared" si="3"/>
        <v>-12696845.525440665</v>
      </c>
      <c r="F27" s="9">
        <f t="shared" si="4"/>
        <v>2.5057002848617762E-6</v>
      </c>
      <c r="G27" s="287">
        <f t="shared" si="5"/>
        <v>403943658.01668346</v>
      </c>
      <c r="O27" s="99">
        <v>7</v>
      </c>
      <c r="P27" s="93">
        <f t="shared" si="10"/>
        <v>529417</v>
      </c>
      <c r="Q27" s="1">
        <f t="shared" si="6"/>
        <v>3705940</v>
      </c>
      <c r="R27" s="9">
        <f>SUM($Q$21:Q27)</f>
        <v>4323571</v>
      </c>
      <c r="S27" s="282">
        <f t="shared" si="7"/>
        <v>-57135481.099871062</v>
      </c>
      <c r="T27" s="9">
        <f t="shared" si="11"/>
        <v>5.5682544082077288E-7</v>
      </c>
      <c r="U27" s="287">
        <f t="shared" si="8"/>
        <v>1817736160.669245</v>
      </c>
    </row>
    <row r="28" spans="1:21" x14ac:dyDescent="0.2">
      <c r="A28" s="97">
        <v>8</v>
      </c>
      <c r="B28" s="93">
        <f t="shared" si="9"/>
        <v>823543</v>
      </c>
      <c r="C28" s="1">
        <f t="shared" si="2"/>
        <v>5764801</v>
      </c>
      <c r="D28" s="9">
        <f>SUM($C$21:C28)</f>
        <v>6725600</v>
      </c>
      <c r="E28" s="9">
        <f t="shared" si="3"/>
        <v>-90342652.959061891</v>
      </c>
      <c r="F28" s="9">
        <f t="shared" si="4"/>
        <v>4.0891243430585869E-7</v>
      </c>
      <c r="G28" s="287">
        <f t="shared" si="5"/>
        <v>3337459438.7260489</v>
      </c>
      <c r="O28" s="99">
        <v>8</v>
      </c>
      <c r="P28" s="93">
        <f t="shared" si="10"/>
        <v>3705940</v>
      </c>
      <c r="Q28" s="1">
        <f t="shared" si="6"/>
        <v>25941601</v>
      </c>
      <c r="R28" s="9">
        <f>SUM($Q$21:Q28)</f>
        <v>30265172</v>
      </c>
      <c r="S28" s="282">
        <f t="shared" si="7"/>
        <v>-406541562.20148641</v>
      </c>
      <c r="T28" s="9">
        <f t="shared" si="11"/>
        <v>9.0869513914128213E-8</v>
      </c>
      <c r="U28" s="287">
        <f t="shared" si="8"/>
        <v>15018553579.764977</v>
      </c>
    </row>
    <row r="29" spans="1:21" x14ac:dyDescent="0.2">
      <c r="A29" s="97">
        <v>9</v>
      </c>
      <c r="B29" s="93">
        <f t="shared" si="9"/>
        <v>5764801</v>
      </c>
      <c r="C29" s="1">
        <f t="shared" si="2"/>
        <v>40353607</v>
      </c>
      <c r="D29" s="9">
        <f>SUM($C$21:C29)</f>
        <v>47079207</v>
      </c>
      <c r="E29" s="9">
        <f t="shared" si="3"/>
        <v>-637255949.77946866</v>
      </c>
      <c r="F29" s="9">
        <f t="shared" si="4"/>
        <v>6.6048687750823677E-8</v>
      </c>
      <c r="G29" s="287">
        <f t="shared" si="5"/>
        <v>26822051464.192196</v>
      </c>
      <c r="O29" s="99">
        <v>9</v>
      </c>
      <c r="P29" s="93">
        <f t="shared" si="10"/>
        <v>25941601</v>
      </c>
      <c r="Q29" s="1">
        <f t="shared" si="6"/>
        <v>181591228</v>
      </c>
      <c r="R29" s="9">
        <f>SUM($Q$21:Q29)</f>
        <v>211856400</v>
      </c>
      <c r="S29" s="282">
        <f t="shared" si="7"/>
        <v>-2867651347.6290927</v>
      </c>
      <c r="T29" s="9">
        <f t="shared" si="11"/>
        <v>1.4677488349180826E-8</v>
      </c>
      <c r="U29" s="287">
        <f t="shared" si="8"/>
        <v>120699213642.62756</v>
      </c>
    </row>
    <row r="30" spans="1:21" ht="17" thickBot="1" x14ac:dyDescent="0.25">
      <c r="A30" s="145">
        <v>10</v>
      </c>
      <c r="B30" s="94">
        <f t="shared" si="9"/>
        <v>40353607</v>
      </c>
      <c r="C30" s="111">
        <f t="shared" si="2"/>
        <v>282475249</v>
      </c>
      <c r="D30" s="10">
        <f>SUM($C$21:C30)</f>
        <v>329554456</v>
      </c>
      <c r="E30" s="10">
        <f t="shared" si="3"/>
        <v>-4476709928.1419582</v>
      </c>
      <c r="F30" s="10">
        <f t="shared" si="4"/>
        <v>1.0554242879875676E-8</v>
      </c>
      <c r="G30" s="288">
        <f t="shared" si="5"/>
        <v>211516861552.78864</v>
      </c>
      <c r="O30" s="100">
        <v>10</v>
      </c>
      <c r="P30" s="94">
        <f t="shared" si="10"/>
        <v>181591228</v>
      </c>
      <c r="Q30" s="111">
        <f t="shared" si="6"/>
        <v>1271138617</v>
      </c>
      <c r="R30" s="10">
        <f>SUM($Q$21:Q30)</f>
        <v>1482995017</v>
      </c>
      <c r="S30" s="283">
        <f t="shared" si="7"/>
        <v>-20145194201.194332</v>
      </c>
      <c r="T30" s="10">
        <f t="shared" si="11"/>
        <v>2.3453873619922634E-9</v>
      </c>
      <c r="U30" s="288">
        <f t="shared" si="8"/>
        <v>951825854523.61316</v>
      </c>
    </row>
    <row r="31" spans="1:21" ht="17" thickBot="1" x14ac:dyDescent="0.25"/>
    <row r="32" spans="1:21" ht="17" thickBot="1" x14ac:dyDescent="0.25">
      <c r="A32" s="117" t="s">
        <v>135</v>
      </c>
      <c r="B32" s="118" t="s">
        <v>140</v>
      </c>
      <c r="C32" s="118" t="s">
        <v>139</v>
      </c>
      <c r="D32" s="170" t="s">
        <v>138</v>
      </c>
      <c r="E32" s="167" t="s">
        <v>151</v>
      </c>
      <c r="F32" s="168" t="s">
        <v>152</v>
      </c>
      <c r="G32" s="290" t="s">
        <v>47</v>
      </c>
      <c r="O32" s="29" t="s">
        <v>135</v>
      </c>
      <c r="P32" s="118" t="s">
        <v>140</v>
      </c>
      <c r="Q32" s="118" t="s">
        <v>139</v>
      </c>
      <c r="R32" s="118" t="s">
        <v>138</v>
      </c>
      <c r="S32" s="166" t="s">
        <v>151</v>
      </c>
      <c r="T32" s="168" t="s">
        <v>152</v>
      </c>
      <c r="U32" s="294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7</v>
      </c>
      <c r="D33" s="57">
        <f>SUM($C$33:C33)</f>
        <v>7</v>
      </c>
      <c r="E33" s="9">
        <f t="shared" ref="E33:E42" si="13">D33/R7</f>
        <v>-19.085612000943051</v>
      </c>
      <c r="F33" s="8">
        <f t="shared" ref="F33:F42" si="14">U7/E33</f>
        <v>0.18511564795778421</v>
      </c>
      <c r="G33" s="289">
        <f>E33*U7</f>
        <v>67.430334301158794</v>
      </c>
      <c r="O33" s="101">
        <v>1</v>
      </c>
      <c r="P33" s="109">
        <v>1</v>
      </c>
      <c r="Q33" s="110">
        <f>P33*7+21</f>
        <v>28</v>
      </c>
      <c r="R33" s="57">
        <f>SUM($Q$21)</f>
        <v>28</v>
      </c>
      <c r="S33" s="281">
        <f>R33/R7</f>
        <v>-76.342448003772205</v>
      </c>
      <c r="T33" s="8">
        <f>U7/S33</f>
        <v>4.6278911989446052E-2</v>
      </c>
      <c r="U33" s="289">
        <f>S33*U7</f>
        <v>269.72133720463518</v>
      </c>
    </row>
    <row r="34" spans="1:21" x14ac:dyDescent="0.2">
      <c r="A34" s="97">
        <v>2</v>
      </c>
      <c r="B34" s="93">
        <f t="shared" ref="B34:B42" si="15">B33*($O$2+1)</f>
        <v>8</v>
      </c>
      <c r="C34" s="1">
        <f t="shared" si="12"/>
        <v>56</v>
      </c>
      <c r="D34" s="9">
        <f>SUM($C$33:C34)</f>
        <v>63</v>
      </c>
      <c r="E34" s="9">
        <f t="shared" si="13"/>
        <v>-328.25309361274174</v>
      </c>
      <c r="F34" s="9">
        <f t="shared" si="14"/>
        <v>2.3121325002120326E-2</v>
      </c>
      <c r="G34" s="287">
        <f t="shared" ref="G34:G42" si="16">E34*U8</f>
        <v>2491.3249300439825</v>
      </c>
      <c r="O34" s="99">
        <v>2</v>
      </c>
      <c r="P34" s="93">
        <f>Q33+1</f>
        <v>29</v>
      </c>
      <c r="Q34" s="1">
        <f t="shared" ref="Q34:Q42" si="17">P34*7+21</f>
        <v>224</v>
      </c>
      <c r="R34" s="9">
        <f>SUM($Q$33:Q34)</f>
        <v>252</v>
      </c>
      <c r="S34" s="282">
        <f>R34/R8</f>
        <v>-1313.0123744509669</v>
      </c>
      <c r="T34" s="9">
        <f t="shared" ref="T34:T42" si="18">U8/S34</f>
        <v>5.7803312505300816E-3</v>
      </c>
      <c r="U34" s="287">
        <f t="shared" ref="U34:U42" si="19">S34*U8</f>
        <v>9965.2997201759299</v>
      </c>
    </row>
    <row r="35" spans="1:21" x14ac:dyDescent="0.2">
      <c r="A35" s="97">
        <v>3</v>
      </c>
      <c r="B35" s="93">
        <f t="shared" si="15"/>
        <v>64</v>
      </c>
      <c r="C35" s="1">
        <f t="shared" si="12"/>
        <v>448</v>
      </c>
      <c r="D35" s="9">
        <f>SUM($C$33:C35)</f>
        <v>511</v>
      </c>
      <c r="E35" s="9">
        <f t="shared" si="13"/>
        <v>-4080.347078009861</v>
      </c>
      <c r="F35" s="9">
        <f t="shared" si="14"/>
        <v>2.9521135480784565E-3</v>
      </c>
      <c r="G35" s="287">
        <f t="shared" si="16"/>
        <v>49150.424170106533</v>
      </c>
      <c r="O35" s="99">
        <v>3</v>
      </c>
      <c r="P35" s="93">
        <f t="shared" ref="P35:P42" si="20">Q34+1</f>
        <v>225</v>
      </c>
      <c r="Q35" s="1">
        <f t="shared" si="17"/>
        <v>1596</v>
      </c>
      <c r="R35" s="9">
        <f>SUM($Q$33:Q35)</f>
        <v>1848</v>
      </c>
      <c r="S35" s="282">
        <f t="shared" ref="S35:S42" si="21">R35/R9</f>
        <v>-14756.323679378129</v>
      </c>
      <c r="T35" s="9">
        <f t="shared" si="18"/>
        <v>8.163041250368458E-4</v>
      </c>
      <c r="U35" s="287">
        <f t="shared" si="19"/>
        <v>177749.47919052225</v>
      </c>
    </row>
    <row r="36" spans="1:21" x14ac:dyDescent="0.2">
      <c r="A36" s="97">
        <v>4</v>
      </c>
      <c r="B36" s="93">
        <f t="shared" si="15"/>
        <v>512</v>
      </c>
      <c r="C36" s="1">
        <f t="shared" si="12"/>
        <v>3584</v>
      </c>
      <c r="D36" s="9">
        <f>SUM($C$33:C36)</f>
        <v>4095</v>
      </c>
      <c r="E36" s="9">
        <f t="shared" si="13"/>
        <v>-42302.775918653781</v>
      </c>
      <c r="F36" s="9">
        <f t="shared" si="14"/>
        <v>3.9667780523049259E-4</v>
      </c>
      <c r="G36" s="287">
        <f t="shared" si="16"/>
        <v>709864.79007155215</v>
      </c>
      <c r="O36" s="99">
        <v>4</v>
      </c>
      <c r="P36" s="93">
        <f t="shared" si="20"/>
        <v>1597</v>
      </c>
      <c r="Q36" s="1">
        <f t="shared" si="17"/>
        <v>11200</v>
      </c>
      <c r="R36" s="9">
        <f>SUM($Q$33:Q36)</f>
        <v>13048</v>
      </c>
      <c r="S36" s="282">
        <f t="shared" si="21"/>
        <v>-134790.38343994983</v>
      </c>
      <c r="T36" s="9">
        <f t="shared" si="18"/>
        <v>1.2449383908789602E-4</v>
      </c>
      <c r="U36" s="287">
        <f t="shared" si="19"/>
        <v>2261859.7755442276</v>
      </c>
    </row>
    <row r="37" spans="1:21" x14ac:dyDescent="0.2">
      <c r="A37" s="97">
        <v>5</v>
      </c>
      <c r="B37" s="93">
        <f t="shared" si="15"/>
        <v>4096</v>
      </c>
      <c r="C37" s="1">
        <f t="shared" si="12"/>
        <v>28672</v>
      </c>
      <c r="D37" s="9">
        <f>SUM($C$33:C37)</f>
        <v>32767</v>
      </c>
      <c r="E37" s="9">
        <f t="shared" si="13"/>
        <v>-389569.73502206791</v>
      </c>
      <c r="F37" s="9">
        <f t="shared" si="14"/>
        <v>5.5693500354865149E-5</v>
      </c>
      <c r="G37" s="287">
        <f t="shared" si="16"/>
        <v>8452300.6034917124</v>
      </c>
      <c r="O37" s="99">
        <v>5</v>
      </c>
      <c r="P37" s="93">
        <f t="shared" si="20"/>
        <v>11201</v>
      </c>
      <c r="Q37" s="1">
        <f t="shared" si="17"/>
        <v>78428</v>
      </c>
      <c r="R37" s="9">
        <f>SUM($Q$33:Q37)</f>
        <v>91476</v>
      </c>
      <c r="S37" s="282">
        <f t="shared" si="21"/>
        <v>-1087566.1818560956</v>
      </c>
      <c r="T37" s="9">
        <f t="shared" si="18"/>
        <v>1.9949592528399431E-5</v>
      </c>
      <c r="U37" s="287">
        <f t="shared" si="19"/>
        <v>23596382.030854452</v>
      </c>
    </row>
    <row r="38" spans="1:21" x14ac:dyDescent="0.2">
      <c r="A38" s="97">
        <v>6</v>
      </c>
      <c r="B38" s="93">
        <f t="shared" si="15"/>
        <v>32768</v>
      </c>
      <c r="C38" s="1">
        <f t="shared" si="12"/>
        <v>229376</v>
      </c>
      <c r="D38" s="9">
        <f>SUM($C$33:C38)</f>
        <v>262143</v>
      </c>
      <c r="E38" s="9">
        <f t="shared" si="13"/>
        <v>-3346658.6109643239</v>
      </c>
      <c r="F38" s="9">
        <f t="shared" si="14"/>
        <v>7.9850282483791054E-6</v>
      </c>
      <c r="G38" s="287">
        <f t="shared" si="16"/>
        <v>89433305.394202918</v>
      </c>
      <c r="O38" s="99">
        <v>6</v>
      </c>
      <c r="P38" s="93">
        <f t="shared" si="20"/>
        <v>78429</v>
      </c>
      <c r="Q38" s="1">
        <f t="shared" si="17"/>
        <v>549024</v>
      </c>
      <c r="R38" s="9">
        <f>SUM($Q$33:Q38)</f>
        <v>640500</v>
      </c>
      <c r="S38" s="282">
        <f t="shared" si="21"/>
        <v>-8176967.6868070075</v>
      </c>
      <c r="T38" s="9">
        <f t="shared" si="18"/>
        <v>3.2681018893284058E-6</v>
      </c>
      <c r="U38" s="287">
        <f t="shared" si="19"/>
        <v>218514444.80679235</v>
      </c>
    </row>
    <row r="39" spans="1:21" x14ac:dyDescent="0.2">
      <c r="A39" s="97">
        <v>7</v>
      </c>
      <c r="B39" s="93">
        <f t="shared" si="15"/>
        <v>262144</v>
      </c>
      <c r="C39" s="1">
        <f t="shared" si="12"/>
        <v>1835008</v>
      </c>
      <c r="D39" s="9">
        <f>SUM($C$33:C39)</f>
        <v>2097151</v>
      </c>
      <c r="E39" s="9">
        <f t="shared" si="13"/>
        <v>-27713603.251588952</v>
      </c>
      <c r="F39" s="9">
        <f t="shared" si="14"/>
        <v>1.1479737644046183E-6</v>
      </c>
      <c r="G39" s="287">
        <f t="shared" si="16"/>
        <v>881694138.26757276</v>
      </c>
      <c r="O39" s="99">
        <v>7</v>
      </c>
      <c r="P39" s="93">
        <f t="shared" si="20"/>
        <v>549025</v>
      </c>
      <c r="Q39" s="1">
        <f t="shared" si="17"/>
        <v>3843196</v>
      </c>
      <c r="R39" s="9">
        <f>SUM($Q$33:Q39)</f>
        <v>4483696</v>
      </c>
      <c r="S39" s="282">
        <f t="shared" si="21"/>
        <v>-59251514.099240534</v>
      </c>
      <c r="T39" s="9">
        <f t="shared" si="18"/>
        <v>5.3693968725687689E-7</v>
      </c>
      <c r="U39" s="287">
        <f t="shared" si="19"/>
        <v>1885056670.2034156</v>
      </c>
    </row>
    <row r="40" spans="1:21" x14ac:dyDescent="0.2">
      <c r="A40" s="97">
        <v>8</v>
      </c>
      <c r="B40" s="93">
        <f t="shared" si="15"/>
        <v>2097152</v>
      </c>
      <c r="C40" s="1">
        <f t="shared" si="12"/>
        <v>14680064</v>
      </c>
      <c r="D40" s="9">
        <f>SUM($C$33:C40)</f>
        <v>16777215</v>
      </c>
      <c r="E40" s="9">
        <f t="shared" si="13"/>
        <v>-225362512.2464267</v>
      </c>
      <c r="F40" s="9">
        <f t="shared" si="14"/>
        <v>1.6392359924859303E-7</v>
      </c>
      <c r="G40" s="287">
        <f t="shared" si="16"/>
        <v>8325394694.4936132</v>
      </c>
      <c r="O40" s="99">
        <v>8</v>
      </c>
      <c r="P40" s="93">
        <f t="shared" si="20"/>
        <v>3843197</v>
      </c>
      <c r="Q40" s="1">
        <f t="shared" si="17"/>
        <v>26902400</v>
      </c>
      <c r="R40" s="9">
        <f>SUM($Q$33:Q40)</f>
        <v>31386096</v>
      </c>
      <c r="S40" s="282">
        <f t="shared" si="21"/>
        <v>-421598545.65656602</v>
      </c>
      <c r="T40" s="9">
        <f t="shared" si="18"/>
        <v>8.7624197293205356E-8</v>
      </c>
      <c r="U40" s="287">
        <f t="shared" si="19"/>
        <v>15574792188.051903</v>
      </c>
    </row>
    <row r="41" spans="1:21" x14ac:dyDescent="0.2">
      <c r="A41" s="97">
        <v>9</v>
      </c>
      <c r="B41" s="93">
        <f t="shared" si="15"/>
        <v>16777216</v>
      </c>
      <c r="C41" s="1">
        <f t="shared" si="12"/>
        <v>117440512</v>
      </c>
      <c r="D41" s="9">
        <f>SUM($C$33:C41)</f>
        <v>134217727</v>
      </c>
      <c r="E41" s="9">
        <f t="shared" si="13"/>
        <v>-1816747786.2706234</v>
      </c>
      <c r="F41" s="9">
        <f t="shared" si="14"/>
        <v>2.3167728378378755E-8</v>
      </c>
      <c r="G41" s="287">
        <f t="shared" si="16"/>
        <v>76466767611.461655</v>
      </c>
      <c r="O41" s="99">
        <v>9</v>
      </c>
      <c r="P41" s="93">
        <f t="shared" si="20"/>
        <v>26902401</v>
      </c>
      <c r="Q41" s="1">
        <f t="shared" si="17"/>
        <v>188316828</v>
      </c>
      <c r="R41" s="9">
        <f>SUM($Q$33:Q41)</f>
        <v>219702924</v>
      </c>
      <c r="S41" s="282">
        <f t="shared" si="21"/>
        <v>-2973860530.4661655</v>
      </c>
      <c r="T41" s="9">
        <f t="shared" si="18"/>
        <v>1.4153292937964689E-8</v>
      </c>
      <c r="U41" s="287">
        <f t="shared" si="19"/>
        <v>125169549571.24716</v>
      </c>
    </row>
    <row r="42" spans="1:21" ht="17" thickBot="1" x14ac:dyDescent="0.25">
      <c r="A42" s="145">
        <v>10</v>
      </c>
      <c r="B42" s="94">
        <f t="shared" si="15"/>
        <v>134217728</v>
      </c>
      <c r="C42" s="111">
        <f t="shared" si="12"/>
        <v>939524096</v>
      </c>
      <c r="D42" s="10">
        <f>SUM($C$33:C42)</f>
        <v>1073741823</v>
      </c>
      <c r="E42" s="9">
        <f t="shared" si="13"/>
        <v>-14585846411.026363</v>
      </c>
      <c r="F42" s="10">
        <f t="shared" si="14"/>
        <v>3.2393241059115397E-9</v>
      </c>
      <c r="G42" s="288">
        <f t="shared" si="16"/>
        <v>689156211921.86194</v>
      </c>
      <c r="O42" s="100">
        <v>10</v>
      </c>
      <c r="P42" s="94">
        <f t="shared" si="20"/>
        <v>188316829</v>
      </c>
      <c r="Q42" s="111">
        <f t="shared" si="17"/>
        <v>1318217824</v>
      </c>
      <c r="R42" s="10">
        <f>SUM($Q$33:Q42)</f>
        <v>1537920748</v>
      </c>
      <c r="S42" s="283">
        <f t="shared" si="21"/>
        <v>-20891312364.069832</v>
      </c>
      <c r="T42" s="10">
        <f t="shared" si="18"/>
        <v>2.2616235428857754E-9</v>
      </c>
      <c r="U42" s="288">
        <f t="shared" si="19"/>
        <v>987078657294.43262</v>
      </c>
    </row>
    <row r="43" spans="1:21" ht="17" thickBot="1" x14ac:dyDescent="0.25">
      <c r="U43" s="285"/>
    </row>
    <row r="44" spans="1:21" ht="17" thickBot="1" x14ac:dyDescent="0.25">
      <c r="A44" s="117" t="s">
        <v>135</v>
      </c>
      <c r="B44" s="118" t="s">
        <v>140</v>
      </c>
      <c r="C44" s="118" t="s">
        <v>139</v>
      </c>
      <c r="D44" s="170" t="s">
        <v>138</v>
      </c>
      <c r="E44" s="167" t="s">
        <v>151</v>
      </c>
      <c r="F44" s="168" t="s">
        <v>152</v>
      </c>
      <c r="G44" s="290" t="s">
        <v>47</v>
      </c>
      <c r="O44" s="29" t="s">
        <v>135</v>
      </c>
      <c r="P44" s="118" t="s">
        <v>140</v>
      </c>
      <c r="Q44" s="118" t="s">
        <v>139</v>
      </c>
      <c r="R44" s="118" t="s">
        <v>138</v>
      </c>
      <c r="S44" s="166" t="s">
        <v>151</v>
      </c>
      <c r="T44" s="168" t="s">
        <v>152</v>
      </c>
      <c r="U44" s="294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7</v>
      </c>
      <c r="D45" s="57">
        <f>SUM(C45:C45)</f>
        <v>7</v>
      </c>
      <c r="E45" s="57">
        <f t="shared" ref="E45:E54" si="23">D45/R7</f>
        <v>-19.085612000943051</v>
      </c>
      <c r="F45" s="8">
        <f t="shared" ref="F45:F54" si="24">U7/E45</f>
        <v>0.18511564795778421</v>
      </c>
      <c r="G45" s="286">
        <f>E45*U7</f>
        <v>67.430334301158794</v>
      </c>
      <c r="O45" s="101">
        <v>1</v>
      </c>
      <c r="P45" s="109">
        <v>1</v>
      </c>
      <c r="Q45" s="110">
        <f>P45*7+21</f>
        <v>28</v>
      </c>
      <c r="R45" s="57">
        <f>SUM($Q$21)</f>
        <v>28</v>
      </c>
      <c r="S45" s="281">
        <f>R45/R7</f>
        <v>-76.342448003772205</v>
      </c>
      <c r="T45" s="8">
        <f>U7/S45</f>
        <v>4.6278911989446052E-2</v>
      </c>
      <c r="U45" s="289">
        <f>S45*U7</f>
        <v>269.72133720463518</v>
      </c>
    </row>
    <row r="46" spans="1:21" x14ac:dyDescent="0.2">
      <c r="A46" s="97">
        <v>2</v>
      </c>
      <c r="B46" s="93">
        <f t="shared" ref="B46:B54" si="25">B45*$O$2*2</f>
        <v>14</v>
      </c>
      <c r="C46" s="1">
        <f t="shared" si="22"/>
        <v>98</v>
      </c>
      <c r="D46" s="9">
        <f>SUM($C$45:C46)</f>
        <v>105</v>
      </c>
      <c r="E46" s="9">
        <f t="shared" si="23"/>
        <v>-547.08848935456956</v>
      </c>
      <c r="F46" s="9">
        <f t="shared" si="24"/>
        <v>1.3872795001272196E-2</v>
      </c>
      <c r="G46" s="287">
        <f t="shared" ref="G46:G54" si="26">E46*U8</f>
        <v>4152.2082167399712</v>
      </c>
      <c r="O46" s="99">
        <v>2</v>
      </c>
      <c r="P46" s="93">
        <f>Q45*2</f>
        <v>56</v>
      </c>
      <c r="Q46" s="1">
        <f t="shared" ref="Q46:Q54" si="27">P46*7+21</f>
        <v>413</v>
      </c>
      <c r="R46" s="9">
        <f>SUM($Q$45:Q46)</f>
        <v>441</v>
      </c>
      <c r="S46" s="282">
        <f t="shared" ref="S46:S54" si="28">R46/R8</f>
        <v>-2297.771655289192</v>
      </c>
      <c r="T46" s="9">
        <f t="shared" ref="T46:T54" si="29">U8/S46</f>
        <v>3.3030464288743328E-3</v>
      </c>
      <c r="U46" s="287">
        <f t="shared" ref="U46:U54" si="30">S46*U8</f>
        <v>17439.274510307878</v>
      </c>
    </row>
    <row r="47" spans="1:21" x14ac:dyDescent="0.2">
      <c r="A47" s="97">
        <v>3</v>
      </c>
      <c r="B47" s="93">
        <f t="shared" si="25"/>
        <v>196</v>
      </c>
      <c r="C47" s="1">
        <f t="shared" si="22"/>
        <v>1372</v>
      </c>
      <c r="D47" s="9">
        <f>SUM($C$45:C47)</f>
        <v>1477</v>
      </c>
      <c r="E47" s="9">
        <f t="shared" si="23"/>
        <v>-11793.879910412064</v>
      </c>
      <c r="F47" s="9">
        <f t="shared" si="24"/>
        <v>1.0213473412783284E-3</v>
      </c>
      <c r="G47" s="287">
        <f t="shared" si="26"/>
        <v>142064.92465606134</v>
      </c>
      <c r="O47" s="99">
        <v>3</v>
      </c>
      <c r="P47" s="93">
        <f t="shared" ref="P47:P54" si="31">Q46*2</f>
        <v>826</v>
      </c>
      <c r="Q47" s="1">
        <f t="shared" si="27"/>
        <v>5803</v>
      </c>
      <c r="R47" s="9">
        <f>SUM($Q$45:Q47)</f>
        <v>6244</v>
      </c>
      <c r="S47" s="282">
        <f t="shared" si="28"/>
        <v>-49858.487583353373</v>
      </c>
      <c r="T47" s="9">
        <f t="shared" si="29"/>
        <v>2.4159673655799025E-4</v>
      </c>
      <c r="U47" s="287">
        <f t="shared" si="30"/>
        <v>600577.78574979492</v>
      </c>
    </row>
    <row r="48" spans="1:21" x14ac:dyDescent="0.2">
      <c r="A48" s="97">
        <v>4</v>
      </c>
      <c r="B48" s="93">
        <f t="shared" si="25"/>
        <v>2744</v>
      </c>
      <c r="C48" s="1">
        <f t="shared" si="22"/>
        <v>19208</v>
      </c>
      <c r="D48" s="9">
        <f>SUM($C$45:C48)</f>
        <v>20685</v>
      </c>
      <c r="E48" s="9">
        <f t="shared" si="23"/>
        <v>-213683.25271730244</v>
      </c>
      <c r="F48" s="9">
        <f t="shared" si="24"/>
        <v>7.8530123878117815E-5</v>
      </c>
      <c r="G48" s="287">
        <f t="shared" si="26"/>
        <v>3585727.2729255329</v>
      </c>
      <c r="O48" s="99">
        <v>4</v>
      </c>
      <c r="P48" s="93">
        <f t="shared" si="31"/>
        <v>11606</v>
      </c>
      <c r="Q48" s="1">
        <f t="shared" si="27"/>
        <v>81263</v>
      </c>
      <c r="R48" s="9">
        <f>SUM($Q$45:Q48)</f>
        <v>87507</v>
      </c>
      <c r="S48" s="282">
        <f t="shared" si="28"/>
        <v>-903977.78078477073</v>
      </c>
      <c r="T48" s="9">
        <f t="shared" si="29"/>
        <v>1.8563036241887704E-5</v>
      </c>
      <c r="U48" s="287">
        <f t="shared" si="30"/>
        <v>15169264.513990551</v>
      </c>
    </row>
    <row r="49" spans="1:21" x14ac:dyDescent="0.2">
      <c r="A49" s="97">
        <v>5</v>
      </c>
      <c r="B49" s="93">
        <f t="shared" si="25"/>
        <v>38416</v>
      </c>
      <c r="C49" s="1">
        <f t="shared" si="22"/>
        <v>268912</v>
      </c>
      <c r="D49" s="9">
        <f>SUM($C$45:C49)</f>
        <v>289597</v>
      </c>
      <c r="E49" s="9">
        <f t="shared" si="23"/>
        <v>-3443044.1161285988</v>
      </c>
      <c r="F49" s="9">
        <f t="shared" si="24"/>
        <v>6.3015463769578632E-6</v>
      </c>
      <c r="G49" s="287">
        <f t="shared" si="26"/>
        <v>74702014.156602353</v>
      </c>
      <c r="O49" s="99">
        <v>5</v>
      </c>
      <c r="P49" s="93">
        <f t="shared" si="31"/>
        <v>162526</v>
      </c>
      <c r="Q49" s="1">
        <f t="shared" si="27"/>
        <v>1137703</v>
      </c>
      <c r="R49" s="9">
        <f>SUM($Q$45:Q49)</f>
        <v>1225210</v>
      </c>
      <c r="S49" s="282">
        <f t="shared" si="28"/>
        <v>-14566629.079451516</v>
      </c>
      <c r="T49" s="9">
        <f t="shared" si="29"/>
        <v>1.4894662352803733E-6</v>
      </c>
      <c r="U49" s="287">
        <f t="shared" si="30"/>
        <v>316044899.51488024</v>
      </c>
    </row>
    <row r="50" spans="1:21" x14ac:dyDescent="0.2">
      <c r="A50" s="97">
        <v>6</v>
      </c>
      <c r="B50" s="93">
        <f t="shared" si="25"/>
        <v>537824</v>
      </c>
      <c r="C50" s="1">
        <f t="shared" si="22"/>
        <v>3764768</v>
      </c>
      <c r="D50" s="9">
        <f>SUM($C$45:C50)</f>
        <v>4054365</v>
      </c>
      <c r="E50" s="9">
        <f t="shared" si="23"/>
        <v>-51760205.457488358</v>
      </c>
      <c r="F50" s="9">
        <f t="shared" si="24"/>
        <v>5.1628781821933738E-7</v>
      </c>
      <c r="G50" s="287">
        <f t="shared" si="26"/>
        <v>1383196435.6269956</v>
      </c>
      <c r="O50" s="99">
        <v>6</v>
      </c>
      <c r="P50" s="93">
        <f t="shared" si="31"/>
        <v>2275406</v>
      </c>
      <c r="Q50" s="1">
        <f t="shared" si="27"/>
        <v>15927863</v>
      </c>
      <c r="R50" s="9">
        <f>SUM($Q$45:Q50)</f>
        <v>17153073</v>
      </c>
      <c r="S50" s="282">
        <f t="shared" si="28"/>
        <v>-218985360.8906194</v>
      </c>
      <c r="T50" s="9">
        <f t="shared" si="29"/>
        <v>1.2203173507830603E-7</v>
      </c>
      <c r="U50" s="287">
        <f t="shared" si="30"/>
        <v>5851981613.3105068</v>
      </c>
    </row>
    <row r="51" spans="1:21" x14ac:dyDescent="0.2">
      <c r="A51" s="97">
        <v>7</v>
      </c>
      <c r="B51" s="93">
        <f t="shared" si="25"/>
        <v>7529536</v>
      </c>
      <c r="C51" s="1">
        <f t="shared" si="22"/>
        <v>52706752</v>
      </c>
      <c r="D51" s="9">
        <f>SUM($C$45:C51)</f>
        <v>56761117</v>
      </c>
      <c r="E51" s="9">
        <f t="shared" si="23"/>
        <v>-750091470.12066424</v>
      </c>
      <c r="F51" s="9">
        <f t="shared" si="24"/>
        <v>4.2414146430467701E-8</v>
      </c>
      <c r="G51" s="287">
        <f t="shared" si="26"/>
        <v>23863777162.64584</v>
      </c>
      <c r="O51" s="99">
        <v>7</v>
      </c>
      <c r="P51" s="93">
        <f t="shared" si="31"/>
        <v>31855726</v>
      </c>
      <c r="Q51" s="1">
        <f t="shared" si="27"/>
        <v>222990103</v>
      </c>
      <c r="R51" s="9">
        <f>SUM($Q$45:Q51)</f>
        <v>240143176</v>
      </c>
      <c r="S51" s="282">
        <f t="shared" si="28"/>
        <v>-3173463762.619143</v>
      </c>
      <c r="T51" s="9">
        <f t="shared" si="29"/>
        <v>1.0025162355622838E-8</v>
      </c>
      <c r="U51" s="287">
        <f t="shared" si="30"/>
        <v>100962129395.62201</v>
      </c>
    </row>
    <row r="52" spans="1:21" x14ac:dyDescent="0.2">
      <c r="A52" s="97">
        <v>8</v>
      </c>
      <c r="B52" s="93">
        <f t="shared" si="25"/>
        <v>105413504</v>
      </c>
      <c r="C52" s="1">
        <f t="shared" si="22"/>
        <v>737894528</v>
      </c>
      <c r="D52" s="9">
        <f>SUM($C$45:C52)</f>
        <v>794655645</v>
      </c>
      <c r="E52" s="9">
        <f t="shared" si="23"/>
        <v>-10674333763.261936</v>
      </c>
      <c r="F52" s="9">
        <f t="shared" si="24"/>
        <v>3.4608468277696355E-9</v>
      </c>
      <c r="G52" s="287">
        <f t="shared" si="26"/>
        <v>394333737204.44067</v>
      </c>
      <c r="O52" s="99">
        <v>8</v>
      </c>
      <c r="P52" s="93">
        <f t="shared" si="31"/>
        <v>445980206</v>
      </c>
      <c r="Q52" s="1">
        <f t="shared" si="27"/>
        <v>3121861463</v>
      </c>
      <c r="R52" s="9">
        <f>SUM($Q$45:Q52)</f>
        <v>3362004639</v>
      </c>
      <c r="S52" s="282">
        <f t="shared" si="28"/>
        <v>-45160642670.978523</v>
      </c>
      <c r="T52" s="9">
        <f t="shared" si="29"/>
        <v>8.1801834425353485E-10</v>
      </c>
      <c r="U52" s="287">
        <f t="shared" si="30"/>
        <v>1668335035605.9404</v>
      </c>
    </row>
    <row r="53" spans="1:21" x14ac:dyDescent="0.2">
      <c r="A53" s="97">
        <v>9</v>
      </c>
      <c r="B53" s="93">
        <f t="shared" si="25"/>
        <v>1475789056</v>
      </c>
      <c r="C53" s="1">
        <f t="shared" si="22"/>
        <v>10330523392</v>
      </c>
      <c r="D53" s="9">
        <f>SUM($C$45:C53)</f>
        <v>11125179037</v>
      </c>
      <c r="E53" s="9">
        <f t="shared" si="23"/>
        <v>-150588486626.16745</v>
      </c>
      <c r="F53" s="9">
        <f t="shared" si="24"/>
        <v>2.7950290349106161E-10</v>
      </c>
      <c r="G53" s="287">
        <f t="shared" si="26"/>
        <v>6338257241222.5664</v>
      </c>
      <c r="O53" s="99">
        <v>9</v>
      </c>
      <c r="P53" s="93">
        <f t="shared" si="31"/>
        <v>6243722926</v>
      </c>
      <c r="Q53" s="1">
        <f t="shared" si="27"/>
        <v>43706060503</v>
      </c>
      <c r="R53" s="9">
        <f>SUM($Q$45:Q53)</f>
        <v>47068065142</v>
      </c>
      <c r="S53" s="282">
        <f t="shared" si="28"/>
        <v>-637105135529.30298</v>
      </c>
      <c r="T53" s="9">
        <f t="shared" si="29"/>
        <v>6.6064322663747886E-11</v>
      </c>
      <c r="U53" s="287">
        <f t="shared" si="30"/>
        <v>26815703704581.828</v>
      </c>
    </row>
    <row r="54" spans="1:21" ht="17" thickBot="1" x14ac:dyDescent="0.25">
      <c r="A54" s="145">
        <v>10</v>
      </c>
      <c r="B54" s="94">
        <f t="shared" si="25"/>
        <v>20661046784</v>
      </c>
      <c r="C54" s="111">
        <f t="shared" si="22"/>
        <v>144627327488</v>
      </c>
      <c r="D54" s="10">
        <f>SUM($C$45:C54)</f>
        <v>155752506525</v>
      </c>
      <c r="E54" s="10">
        <f t="shared" si="23"/>
        <v>-2115761991983.0872</v>
      </c>
      <c r="F54" s="10">
        <f t="shared" si="24"/>
        <v>2.2331568514507423E-11</v>
      </c>
      <c r="G54" s="288">
        <f t="shared" si="26"/>
        <v>99966123228958.062</v>
      </c>
      <c r="O54" s="100">
        <v>10</v>
      </c>
      <c r="P54" s="94">
        <f t="shared" si="31"/>
        <v>87412121006</v>
      </c>
      <c r="Q54" s="111">
        <f t="shared" si="27"/>
        <v>611884847063</v>
      </c>
      <c r="R54" s="10">
        <f>SUM($Q$45:Q54)</f>
        <v>658952912205</v>
      </c>
      <c r="S54" s="283">
        <f t="shared" si="28"/>
        <v>-8951300735093.625</v>
      </c>
      <c r="T54" s="10">
        <f t="shared" si="29"/>
        <v>5.2783707399220594E-12</v>
      </c>
      <c r="U54" s="288">
        <f t="shared" si="30"/>
        <v>422933598265993.06</v>
      </c>
    </row>
  </sheetData>
  <mergeCells count="2">
    <mergeCell ref="A18:F18"/>
    <mergeCell ref="O18:T18"/>
  </mergeCells>
  <conditionalFormatting sqref="F45:F54">
    <cfRule type="cellIs" dxfId="388" priority="53" operator="equal">
      <formula>MAX($F$45:$F$54)</formula>
    </cfRule>
  </conditionalFormatting>
  <conditionalFormatting sqref="F21:F30">
    <cfRule type="cellIs" dxfId="387" priority="51" operator="equal">
      <formula>MAX($F$21:$F$30)</formula>
    </cfRule>
  </conditionalFormatting>
  <conditionalFormatting sqref="F33:F42">
    <cfRule type="cellIs" dxfId="386" priority="32" operator="lessThanOrEqual">
      <formula>0</formula>
    </cfRule>
    <cfRule type="cellIs" dxfId="385" priority="49" operator="equal">
      <formula>MAX($F$33:$F$42)</formula>
    </cfRule>
  </conditionalFormatting>
  <conditionalFormatting sqref="E33:E42">
    <cfRule type="cellIs" dxfId="384" priority="47" stopIfTrue="1" operator="lessThan">
      <formula>0</formula>
    </cfRule>
    <cfRule type="cellIs" dxfId="383" priority="48" operator="equal">
      <formula>MIN($E$33:$E$42)</formula>
    </cfRule>
  </conditionalFormatting>
  <conditionalFormatting sqref="E21:E30">
    <cfRule type="cellIs" dxfId="382" priority="43" stopIfTrue="1" operator="lessThan">
      <formula>0</formula>
    </cfRule>
    <cfRule type="cellIs" dxfId="381" priority="44" operator="equal">
      <formula>MIN($E$21:$E$30)</formula>
    </cfRule>
  </conditionalFormatting>
  <conditionalFormatting sqref="E45:E54">
    <cfRule type="cellIs" dxfId="380" priority="39" stopIfTrue="1" operator="lessThan">
      <formula>0</formula>
    </cfRule>
    <cfRule type="cellIs" dxfId="379" priority="40" operator="equal">
      <formula>MIN($E$45:$E$54)</formula>
    </cfRule>
  </conditionalFormatting>
  <conditionalFormatting sqref="S7:T16">
    <cfRule type="cellIs" dxfId="378" priority="13" operator="lessThanOrEqual">
      <formula>0</formula>
    </cfRule>
    <cfRule type="cellIs" dxfId="377" priority="14" operator="greaterThan">
      <formula>0</formula>
    </cfRule>
  </conditionalFormatting>
  <conditionalFormatting sqref="U7:U16">
    <cfRule type="cellIs" dxfId="376" priority="15" operator="lessThanOrEqual">
      <formula>0</formula>
    </cfRule>
    <cfRule type="cellIs" dxfId="375" priority="16" operator="greaterThan">
      <formula>0</formula>
    </cfRule>
  </conditionalFormatting>
  <conditionalFormatting sqref="R7:R16">
    <cfRule type="cellIs" dxfId="374" priority="17" operator="lessThanOrEqual">
      <formula>0</formula>
    </cfRule>
    <cfRule type="cellIs" dxfId="373" priority="18" operator="greaterThan">
      <formula>0</formula>
    </cfRule>
  </conditionalFormatting>
  <conditionalFormatting sqref="T21:T30">
    <cfRule type="cellIs" dxfId="372" priority="9" operator="equal">
      <formula>MAX($T$21:$T$30)</formula>
    </cfRule>
  </conditionalFormatting>
  <conditionalFormatting sqref="S33:S42">
    <cfRule type="cellIs" dxfId="371" priority="7" stopIfTrue="1" operator="lessThan">
      <formula>0</formula>
    </cfRule>
    <cfRule type="cellIs" dxfId="370" priority="8" operator="equal">
      <formula>MIN($E$21:$E$30)</formula>
    </cfRule>
  </conditionalFormatting>
  <conditionalFormatting sqref="T33:T42">
    <cfRule type="cellIs" dxfId="369" priority="6" operator="equal">
      <formula>MAX($T$21:$T$30)</formula>
    </cfRule>
  </conditionalFormatting>
  <conditionalFormatting sqref="S45:S54">
    <cfRule type="cellIs" dxfId="368" priority="4" stopIfTrue="1" operator="lessThan">
      <formula>0</formula>
    </cfRule>
    <cfRule type="cellIs" dxfId="367" priority="5" operator="equal">
      <formula>MIN($E$21:$E$30)</formula>
    </cfRule>
  </conditionalFormatting>
  <conditionalFormatting sqref="T45:T54">
    <cfRule type="cellIs" dxfId="366" priority="3" operator="equal">
      <formula>MAX($T$21:$T$30)</formula>
    </cfRule>
  </conditionalFormatting>
  <conditionalFormatting sqref="S21:S30">
    <cfRule type="cellIs" dxfId="365" priority="1" stopIfTrue="1" operator="lessThan">
      <formula>0</formula>
    </cfRule>
    <cfRule type="cellIs" dxfId="364" priority="2" operator="equal">
      <formula>MIN($E$21:$E$30)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>
    <pageSetUpPr fitToPage="1"/>
  </sheetPr>
  <dimension ref="A1:W54"/>
  <sheetViews>
    <sheetView workbookViewId="0">
      <selection activeCell="C7" sqref="C7:C16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0.99999999999999933</v>
      </c>
    </row>
    <row r="2" spans="1:23" x14ac:dyDescent="0.2">
      <c r="A2" t="s">
        <v>40</v>
      </c>
      <c r="B2" s="149" t="s">
        <v>125</v>
      </c>
      <c r="C2" s="155">
        <f>Analysis!B31</f>
        <v>0.31839744021522842</v>
      </c>
      <c r="D2" s="149" t="s">
        <v>126</v>
      </c>
      <c r="E2" s="155">
        <f>Analysis!L31</f>
        <v>0.68160255978477091</v>
      </c>
      <c r="F2" s="149" t="s">
        <v>47</v>
      </c>
      <c r="G2" s="155">
        <f>Analysis!S31</f>
        <v>11.020494848753335</v>
      </c>
      <c r="H2" t="s">
        <v>156</v>
      </c>
      <c r="I2" s="169">
        <f>Analysis!T31</f>
        <v>-11.104832701591233</v>
      </c>
      <c r="J2" t="s">
        <v>48</v>
      </c>
      <c r="K2" s="169">
        <f>C2*G2+E2*I2</f>
        <v>-4.0601850456380451</v>
      </c>
      <c r="L2" t="s">
        <v>47</v>
      </c>
      <c r="M2" s="176">
        <v>2</v>
      </c>
      <c r="N2" t="s">
        <v>156</v>
      </c>
      <c r="O2" s="176">
        <v>8</v>
      </c>
    </row>
    <row r="4" spans="1:23" x14ac:dyDescent="0.2">
      <c r="A4" t="s">
        <v>123</v>
      </c>
      <c r="B4">
        <f>$C$2</f>
        <v>0.31839744021522842</v>
      </c>
      <c r="C4" t="s">
        <v>124</v>
      </c>
      <c r="D4">
        <f>$E$2</f>
        <v>0.68160255978477091</v>
      </c>
      <c r="E4" t="s">
        <v>47</v>
      </c>
      <c r="F4">
        <f>G2</f>
        <v>11.020494848753335</v>
      </c>
      <c r="G4" t="s">
        <v>156</v>
      </c>
      <c r="H4">
        <f>I2</f>
        <v>-11.104832701591233</v>
      </c>
      <c r="I4" t="s">
        <v>48</v>
      </c>
      <c r="J4">
        <f>K2</f>
        <v>-4.0601850456380451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60">
        <v>-10</v>
      </c>
      <c r="N6" s="104" t="s">
        <v>136</v>
      </c>
      <c r="R6" s="188" t="s">
        <v>49</v>
      </c>
      <c r="S6" s="164" t="s">
        <v>130</v>
      </c>
      <c r="T6" s="165" t="s">
        <v>137</v>
      </c>
      <c r="U6" s="268" t="s">
        <v>48</v>
      </c>
      <c r="V6" s="175" t="s">
        <v>47</v>
      </c>
      <c r="W6" s="168" t="s">
        <v>156</v>
      </c>
    </row>
    <row r="7" spans="1:23" x14ac:dyDescent="0.2">
      <c r="A7" s="101">
        <v>1</v>
      </c>
      <c r="B7" s="95">
        <f>C7*B4</f>
        <v>0.31839744021522842</v>
      </c>
      <c r="C7" s="95">
        <v>1</v>
      </c>
      <c r="D7" s="22">
        <f>C7*D4</f>
        <v>0.68160255978477091</v>
      </c>
      <c r="E7" s="2"/>
      <c r="F7" s="2"/>
      <c r="G7" s="2"/>
      <c r="H7" s="2"/>
      <c r="I7" s="2"/>
      <c r="J7" s="2"/>
      <c r="K7" s="2"/>
      <c r="L7" s="2"/>
      <c r="M7" s="261"/>
      <c r="N7" s="96">
        <f>B7+D7</f>
        <v>0.99999999999999933</v>
      </c>
      <c r="R7" s="189">
        <f>B7-D7</f>
        <v>-0.36320511956954249</v>
      </c>
      <c r="S7" s="109">
        <f>SUM(C7)*$B$4*$F$4</f>
        <v>3.5088973497481728</v>
      </c>
      <c r="T7" s="263">
        <f>SUM(C7)*$D$4*$H$4</f>
        <v>-7.5690823953862179</v>
      </c>
      <c r="U7" s="265">
        <f>S7+T7</f>
        <v>-4.0601850456380451</v>
      </c>
      <c r="V7" s="109">
        <f>(U7+W7*D7)/B7</f>
        <v>-10.611211206878547</v>
      </c>
      <c r="W7" s="57">
        <f>COUNT(D7:M7)</f>
        <v>1</v>
      </c>
    </row>
    <row r="8" spans="1:23" x14ac:dyDescent="0.2">
      <c r="A8" s="99">
        <v>2</v>
      </c>
      <c r="B8" s="97">
        <f>C8*B4</f>
        <v>0.40664850662810437</v>
      </c>
      <c r="C8" s="97">
        <f>1/(1-B4*D4*C7)</f>
        <v>1.2771726630503704</v>
      </c>
      <c r="D8" s="144">
        <f>C8*D4</f>
        <v>0.87052415642226511</v>
      </c>
      <c r="E8" s="1">
        <f>D8*D4</f>
        <v>0.59335149337189419</v>
      </c>
      <c r="F8" s="1"/>
      <c r="G8" s="1"/>
      <c r="H8" s="1"/>
      <c r="I8" s="1"/>
      <c r="J8" s="1"/>
      <c r="K8" s="1"/>
      <c r="L8" s="1"/>
      <c r="M8" s="262"/>
      <c r="N8" s="97">
        <f>B8+E8</f>
        <v>0.99999999999999856</v>
      </c>
      <c r="R8" s="190">
        <f>B8-E8</f>
        <v>-0.18670298674378982</v>
      </c>
      <c r="S8" s="93">
        <f>SUM(C8:D8)*$B$4*$F$4</f>
        <v>7.5360476779101102</v>
      </c>
      <c r="T8" s="262">
        <f>SUM(C8:D8)*$D$4*$H$4</f>
        <v>-16.256094186897293</v>
      </c>
      <c r="U8" s="266">
        <f>S8+T8</f>
        <v>-8.720046508987183</v>
      </c>
      <c r="V8" s="93">
        <f>(U8+W8*E8)/B8</f>
        <v>-18.525442487688576</v>
      </c>
      <c r="W8" s="9">
        <f>COUNT(D8:M8)</f>
        <v>2</v>
      </c>
    </row>
    <row r="9" spans="1:23" x14ac:dyDescent="0.2">
      <c r="A9" s="99">
        <v>3</v>
      </c>
      <c r="B9" s="97">
        <f>C9*B4</f>
        <v>0.44048892998275746</v>
      </c>
      <c r="C9" s="97">
        <f>1/(1-D4*B4*C8)</f>
        <v>1.3834562541865862</v>
      </c>
      <c r="D9" s="144">
        <f>C9*D4*C8</f>
        <v>1.2043320886228848</v>
      </c>
      <c r="E9" s="1">
        <f>D9*(D4)</f>
        <v>0.82087583443629786</v>
      </c>
      <c r="F9" s="1">
        <f>E9*D4</f>
        <v>0.55951107001724043</v>
      </c>
      <c r="G9" s="1"/>
      <c r="H9" s="1"/>
      <c r="I9" s="1"/>
      <c r="J9" s="1"/>
      <c r="K9" s="1"/>
      <c r="L9" s="1"/>
      <c r="M9" s="262"/>
      <c r="N9" s="97">
        <f>B9+F9</f>
        <v>0.99999999999999789</v>
      </c>
      <c r="R9" s="190">
        <f>B9-F9</f>
        <v>-0.11902214003448297</v>
      </c>
      <c r="S9" s="93">
        <f>SUM(C9:E9)*$B$4*$F$4</f>
        <v>11.960652697719215</v>
      </c>
      <c r="T9" s="262">
        <f>SUM(C9:E9)*$D$4*$H$4</f>
        <v>-25.800460015774593</v>
      </c>
      <c r="U9" s="266">
        <f t="shared" ref="U9:U16" si="0">S9+T9</f>
        <v>-13.839807318055378</v>
      </c>
      <c r="V9" s="93">
        <f>(U9+W9*F9)/B9</f>
        <v>-27.608580557245102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0.45500843734657631</v>
      </c>
      <c r="C10" s="97">
        <f>1/(1-D4*B4*C9)</f>
        <v>1.4290580886548661</v>
      </c>
      <c r="D10" s="144">
        <f>C10*D4*C9</f>
        <v>1.3475550819907156</v>
      </c>
      <c r="E10" s="1">
        <f>D10*D4*C8</f>
        <v>1.1730792509825039</v>
      </c>
      <c r="F10" s="1">
        <f>E10*D4</f>
        <v>0.7995738203000764</v>
      </c>
      <c r="G10" s="1">
        <f>F10*D4</f>
        <v>0.54499156265342052</v>
      </c>
      <c r="H10" s="1"/>
      <c r="I10" s="1"/>
      <c r="J10" s="1"/>
      <c r="K10" s="1"/>
      <c r="L10" s="1"/>
      <c r="M10" s="262"/>
      <c r="N10" s="97">
        <f>B10+G10</f>
        <v>0.99999999999999689</v>
      </c>
      <c r="R10" s="190">
        <f>B10-G10</f>
        <v>-8.9983125306844214E-2</v>
      </c>
      <c r="S10" s="93">
        <f>SUM(C10:F10)*$B$4*$F$4</f>
        <v>16.664687729550192</v>
      </c>
      <c r="T10" s="262">
        <f>SUM(C10:F10)*$D$4*$H$4</f>
        <v>-35.947587502780507</v>
      </c>
      <c r="U10" s="266">
        <f t="shared" si="0"/>
        <v>-19.282899773230316</v>
      </c>
      <c r="V10" s="93">
        <f>(U10+W10*G10)/B10</f>
        <v>-37.588167864213617</v>
      </c>
      <c r="W10" s="9">
        <f t="shared" si="1"/>
        <v>4</v>
      </c>
    </row>
    <row r="11" spans="1:23" x14ac:dyDescent="0.2">
      <c r="A11" s="99">
        <v>5</v>
      </c>
      <c r="B11" s="97">
        <f>C11*B4</f>
        <v>0.46153580957204537</v>
      </c>
      <c r="C11" s="97">
        <f>1/(1-D4*B4*C10)</f>
        <v>1.4495587943799395</v>
      </c>
      <c r="D11" s="144">
        <f>C11*D4*C10</f>
        <v>1.4119422382166436</v>
      </c>
      <c r="E11" s="1">
        <f>D11*D4*C9</f>
        <v>1.3314153943015121</v>
      </c>
      <c r="F11" s="1">
        <f>E11*D4*C8</f>
        <v>1.1590292629719414</v>
      </c>
      <c r="G11" s="1">
        <f>F11*D4</f>
        <v>0.78999731250713168</v>
      </c>
      <c r="H11" s="1">
        <f>G11*D4</f>
        <v>0.53846419042795057</v>
      </c>
      <c r="I11" s="1"/>
      <c r="J11" s="1"/>
      <c r="K11" s="1"/>
      <c r="L11" s="1"/>
      <c r="M11" s="262"/>
      <c r="N11" s="97">
        <f>B11+H11</f>
        <v>0.999999999999996</v>
      </c>
      <c r="R11" s="190">
        <f>B11-H11</f>
        <v>-7.6928380855905198E-2</v>
      </c>
      <c r="S11" s="93">
        <f>SUM(C11:G11)*$B$4*$F$4</f>
        <v>21.551447523345583</v>
      </c>
      <c r="T11" s="262">
        <f>SUM(C11:G11)*$D$4*$H$4</f>
        <v>-46.488872652758587</v>
      </c>
      <c r="U11" s="266">
        <f t="shared" si="0"/>
        <v>-24.937425129413004</v>
      </c>
      <c r="V11" s="93">
        <f>(U11+W11*H11)/B11</f>
        <v>-48.198002659641531</v>
      </c>
      <c r="W11" s="9">
        <f t="shared" si="1"/>
        <v>5</v>
      </c>
    </row>
    <row r="12" spans="1:23" x14ac:dyDescent="0.2">
      <c r="A12" s="99">
        <v>6</v>
      </c>
      <c r="B12" s="97">
        <f>C12*B4</f>
        <v>0.46453166429629322</v>
      </c>
      <c r="C12" s="97">
        <f>1/(1-D4*B4*C11)</f>
        <v>1.4589679614958018</v>
      </c>
      <c r="D12" s="144">
        <f>C12*D4*C11</f>
        <v>1.4414938800561694</v>
      </c>
      <c r="E12" s="1">
        <f>D12*D4*C10</f>
        <v>1.4040866112317441</v>
      </c>
      <c r="F12" s="1">
        <f>E12*D4*C9</f>
        <v>1.324007794743618</v>
      </c>
      <c r="G12" s="1">
        <f>F12*D4*C8</f>
        <v>1.1525807686156917</v>
      </c>
      <c r="H12" s="1">
        <f>G12*D4</f>
        <v>0.78560200224715426</v>
      </c>
      <c r="I12" s="1">
        <f>H12*D4</f>
        <v>0.53546833570370167</v>
      </c>
      <c r="J12" s="1"/>
      <c r="K12" s="1"/>
      <c r="L12" s="1"/>
      <c r="M12" s="262"/>
      <c r="N12" s="97">
        <f>B12+I12</f>
        <v>0.99999999999999489</v>
      </c>
      <c r="R12" s="190">
        <f>B12-I12</f>
        <v>-7.0936671407408447E-2</v>
      </c>
      <c r="S12" s="93">
        <f>SUM(C12:H12)*$B$4*$F$4</f>
        <v>26.550910487865391</v>
      </c>
      <c r="T12" s="262">
        <f>SUM(C12:H12)*$D$4*$H$4</f>
        <v>-57.273271094579094</v>
      </c>
      <c r="U12" s="266">
        <f t="shared" si="0"/>
        <v>-30.722360606713703</v>
      </c>
      <c r="V12" s="93">
        <f>(U12+W12*I12)/B12</f>
        <v>-59.219968641244265</v>
      </c>
      <c r="W12" s="9">
        <f t="shared" si="1"/>
        <v>6</v>
      </c>
    </row>
    <row r="13" spans="1:23" x14ac:dyDescent="0.2">
      <c r="A13" s="99">
        <v>7</v>
      </c>
      <c r="B13" s="97">
        <f>C13*B4</f>
        <v>0.46591972613785332</v>
      </c>
      <c r="C13" s="97">
        <f>1/(1-D4*B4*C12)</f>
        <v>1.4633274872527355</v>
      </c>
      <c r="D13" s="144">
        <f>C13*D4*C12</f>
        <v>1.4551859680138699</v>
      </c>
      <c r="E13" s="1">
        <f>D13*D4*C11</f>
        <v>1.4377571835676271</v>
      </c>
      <c r="F13" s="1">
        <f>E13*D4*C10</f>
        <v>1.4004468833200343</v>
      </c>
      <c r="G13" s="1">
        <f>F13*D4*C9</f>
        <v>1.320575650253883</v>
      </c>
      <c r="H13" s="1">
        <f>G13*D4*C8</f>
        <v>1.1495930039290458</v>
      </c>
      <c r="I13" s="1">
        <f>H13*D4</f>
        <v>0.7835655341887019</v>
      </c>
      <c r="J13" s="1">
        <f>I13*D4</f>
        <v>0.53408027386214063</v>
      </c>
      <c r="K13" s="1"/>
      <c r="L13" s="1"/>
      <c r="M13" s="262"/>
      <c r="N13" s="97">
        <f>B13+J13</f>
        <v>0.999999999999994</v>
      </c>
      <c r="R13" s="190">
        <f>B13-J13</f>
        <v>-6.8160547724287313E-2</v>
      </c>
      <c r="S13" s="93">
        <f>SUM(C13:I13)*$B$4*$F$4</f>
        <v>31.616750127098211</v>
      </c>
      <c r="T13" s="262">
        <f>SUM(C13:I13)*$D$4*$H$4</f>
        <v>-68.200851416619201</v>
      </c>
      <c r="U13" s="266">
        <f t="shared" si="0"/>
        <v>-36.584101289520987</v>
      </c>
      <c r="V13" s="93">
        <f>(U13+W13*J13)/B13</f>
        <v>-70.496133839947944</v>
      </c>
      <c r="W13" s="9">
        <f t="shared" si="1"/>
        <v>7</v>
      </c>
    </row>
    <row r="14" spans="1:23" x14ac:dyDescent="0.2">
      <c r="A14" s="99">
        <v>8</v>
      </c>
      <c r="B14" s="97">
        <f>C14*B4</f>
        <v>0.46656566934912164</v>
      </c>
      <c r="C14" s="97">
        <f>1/(1-D4*B4*C13)</f>
        <v>1.4653562196785732</v>
      </c>
      <c r="D14" s="144">
        <f>C14*D4*C13</f>
        <v>1.461557666305372</v>
      </c>
      <c r="E14" s="1">
        <f>D14*D4*C12</f>
        <v>1.4534259938242675</v>
      </c>
      <c r="F14" s="1">
        <f>E14*D4*C11</f>
        <v>1.4360182886156314</v>
      </c>
      <c r="G14" s="1">
        <f>F14*D4*C10</f>
        <v>1.3987531132983815</v>
      </c>
      <c r="H14" s="1">
        <f>G14*D4*C9</f>
        <v>1.3189784804687483</v>
      </c>
      <c r="I14" s="1">
        <f>H14*D4*C8</f>
        <v>1.1482026290491782</v>
      </c>
      <c r="J14" s="1">
        <f>I14*D4</f>
        <v>0.7826178511115236</v>
      </c>
      <c r="K14" s="1">
        <f>J14*D4</f>
        <v>0.5334343306508712</v>
      </c>
      <c r="L14" s="1"/>
      <c r="M14" s="262"/>
      <c r="N14" s="97">
        <f>B14+K14</f>
        <v>0.99999999999999289</v>
      </c>
      <c r="R14" s="190">
        <f>B14-K14</f>
        <v>-6.6868661301749566E-2</v>
      </c>
      <c r="S14" s="93">
        <f>SUM(C14:J14)*$B$4*$F$4</f>
        <v>36.720295814740311</v>
      </c>
      <c r="T14" s="262">
        <f>SUM(C14:J14)*$D$4*$H$4</f>
        <v>-79.209767884681</v>
      </c>
      <c r="U14" s="266">
        <f t="shared" si="0"/>
        <v>-42.489472069940689</v>
      </c>
      <c r="V14" s="93">
        <f>(U14+W14*K14)/B14</f>
        <v>-81.922009988550997</v>
      </c>
      <c r="W14" s="9">
        <f t="shared" si="1"/>
        <v>8</v>
      </c>
    </row>
    <row r="15" spans="1:23" x14ac:dyDescent="0.2">
      <c r="A15" s="99">
        <v>9</v>
      </c>
      <c r="B15" s="97">
        <f>C15*B4</f>
        <v>0.46686687410389738</v>
      </c>
      <c r="C15" s="97">
        <f>1/(1-D4*B4*C14)</f>
        <v>1.4663022221168218</v>
      </c>
      <c r="D15" s="144">
        <f>C15*D4*C14</f>
        <v>1.4645288033773567</v>
      </c>
      <c r="E15" s="1">
        <f>D15*D4*C13</f>
        <v>1.4607323948648654</v>
      </c>
      <c r="F15" s="1">
        <f>E15*D4*C12</f>
        <v>1.4526053139487858</v>
      </c>
      <c r="G15" s="1">
        <f>F15*D4*C11</f>
        <v>1.435207438035486</v>
      </c>
      <c r="H15" s="1">
        <f>G15*D4*C10</f>
        <v>1.3979633045735276</v>
      </c>
      <c r="I15" s="1">
        <f>H15*D4*C9</f>
        <v>1.31823371664884</v>
      </c>
      <c r="J15" s="1">
        <f>I15*D4*C8</f>
        <v>1.1475542941531187</v>
      </c>
      <c r="K15" s="1">
        <f>J15*D4</f>
        <v>0.78217594438677174</v>
      </c>
      <c r="L15" s="1">
        <f>K15*D4</f>
        <v>0.53313312589609418</v>
      </c>
      <c r="M15" s="262"/>
      <c r="N15" s="97">
        <f>B15+L15</f>
        <v>0.99999999999999156</v>
      </c>
      <c r="R15" s="190">
        <f>B15-L15</f>
        <v>-6.6266251792196806E-2</v>
      </c>
      <c r="S15" s="93">
        <f>SUM(C15:K15)*$B$4*$F$4</f>
        <v>41.84466560785804</v>
      </c>
      <c r="T15" s="262">
        <f>SUM(C15:K15)*$D$4*$H$4</f>
        <v>-90.263604267589145</v>
      </c>
      <c r="U15" s="266">
        <f t="shared" si="0"/>
        <v>-48.418938659731104</v>
      </c>
      <c r="V15" s="93">
        <f>(U15+W15*L15)/B15</f>
        <v>-93.432931197767559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0.46700745954453116</v>
      </c>
      <c r="C16" s="145">
        <f>1/(1-D4*B4*C15)</f>
        <v>1.4667437628545199</v>
      </c>
      <c r="D16" s="153">
        <f>C16*D4*C15</f>
        <v>1.4659155630742919</v>
      </c>
      <c r="E16" s="111">
        <f>D16*D4*C14</f>
        <v>1.4641426119794785</v>
      </c>
      <c r="F16" s="111">
        <f>E16*D4*C13</f>
        <v>1.4603472045673458</v>
      </c>
      <c r="G16" s="111">
        <f>F16*D4*C12</f>
        <v>1.4522222667356031</v>
      </c>
      <c r="H16" s="111">
        <f>G16*D4*C11</f>
        <v>1.4348289785845949</v>
      </c>
      <c r="I16" s="111">
        <f>H16*D4*C10</f>
        <v>1.3975946662773528</v>
      </c>
      <c r="J16" s="111">
        <f>I16*D4*C9</f>
        <v>1.3178861027810973</v>
      </c>
      <c r="K16" s="111">
        <f>J16*D4*C8</f>
        <v>1.1472516878841414</v>
      </c>
      <c r="L16" s="111">
        <f>K16*D4</f>
        <v>0.78196968717922988</v>
      </c>
      <c r="M16" s="264">
        <f>L16*D4</f>
        <v>0.53299254045545963</v>
      </c>
      <c r="N16" s="145">
        <f>B16+M16</f>
        <v>0.99999999999999079</v>
      </c>
      <c r="R16" s="191">
        <f>B16-M16</f>
        <v>-6.5985080910928473E-2</v>
      </c>
      <c r="S16" s="94">
        <f>SUM(C16:L16)*$B$4*$F$4</f>
        <v>46.98028461028246</v>
      </c>
      <c r="T16" s="264">
        <f>SUM(C16:L16)*$D$4*$H$4</f>
        <v>-101.34170644787987</v>
      </c>
      <c r="U16" s="267">
        <f t="shared" si="0"/>
        <v>-54.361421837597412</v>
      </c>
      <c r="V16" s="94">
        <f>(U16+W16*M16)/B16</f>
        <v>-104.99082066239984</v>
      </c>
      <c r="W16" s="10">
        <f t="shared" si="1"/>
        <v>10</v>
      </c>
    </row>
    <row r="18" spans="1:21" x14ac:dyDescent="0.2">
      <c r="A18" s="356" t="s">
        <v>200</v>
      </c>
      <c r="B18" s="356"/>
      <c r="C18" s="356"/>
      <c r="D18" s="356"/>
      <c r="E18" s="356"/>
      <c r="F18" s="356"/>
      <c r="O18" s="356" t="s">
        <v>201</v>
      </c>
      <c r="P18" s="356"/>
      <c r="Q18" s="356"/>
      <c r="R18" s="356"/>
      <c r="S18" s="356"/>
      <c r="T18" s="356"/>
    </row>
    <row r="19" spans="1:21" ht="17" thickBot="1" x14ac:dyDescent="0.25"/>
    <row r="20" spans="1:21" ht="17" thickBot="1" x14ac:dyDescent="0.25">
      <c r="A20" s="29" t="s">
        <v>135</v>
      </c>
      <c r="B20" s="19" t="s">
        <v>140</v>
      </c>
      <c r="C20" s="19" t="s">
        <v>139</v>
      </c>
      <c r="D20" s="19" t="s">
        <v>138</v>
      </c>
      <c r="E20" s="167" t="s">
        <v>151</v>
      </c>
      <c r="F20" s="168" t="s">
        <v>152</v>
      </c>
      <c r="G20" s="166" t="s">
        <v>47</v>
      </c>
      <c r="O20" s="29" t="s">
        <v>135</v>
      </c>
      <c r="P20" s="118" t="s">
        <v>140</v>
      </c>
      <c r="Q20" s="118" t="s">
        <v>139</v>
      </c>
      <c r="R20" s="118" t="s">
        <v>138</v>
      </c>
      <c r="S20" s="166" t="s">
        <v>151</v>
      </c>
      <c r="T20" s="168" t="s">
        <v>152</v>
      </c>
      <c r="U20" s="293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8</v>
      </c>
      <c r="D21" s="57">
        <f>SUM($C$21:C21)</f>
        <v>8</v>
      </c>
      <c r="E21" s="57">
        <f t="shared" ref="E21:E30" si="3">D21/R7</f>
        <v>-22.026121243779023</v>
      </c>
      <c r="F21" s="8">
        <f t="shared" ref="F21:F30" si="4">U7/E21</f>
        <v>0.18433499937192932</v>
      </c>
      <c r="G21" s="286">
        <f>E21*U7</f>
        <v>89.430128087402053</v>
      </c>
      <c r="O21" s="101">
        <v>1</v>
      </c>
      <c r="P21" s="109">
        <v>1</v>
      </c>
      <c r="Q21" s="110">
        <f>P21*8+28</f>
        <v>36</v>
      </c>
      <c r="R21" s="57">
        <f>SUM($Q$21)</f>
        <v>36</v>
      </c>
      <c r="S21" s="281">
        <f>R21/R7</f>
        <v>-99.117545597005602</v>
      </c>
      <c r="T21" s="8">
        <f>U7/S21</f>
        <v>4.0963333193762066E-2</v>
      </c>
      <c r="U21" s="286">
        <f>S21*U7</f>
        <v>402.43557639330919</v>
      </c>
    </row>
    <row r="22" spans="1:21" x14ac:dyDescent="0.2">
      <c r="A22" s="97">
        <v>2</v>
      </c>
      <c r="B22" s="93">
        <f>C21</f>
        <v>8</v>
      </c>
      <c r="C22" s="1">
        <f t="shared" si="2"/>
        <v>64</v>
      </c>
      <c r="D22" s="9">
        <f>SUM($C$21:C22)</f>
        <v>72</v>
      </c>
      <c r="E22" s="9">
        <f t="shared" si="3"/>
        <v>-385.6392511749408</v>
      </c>
      <c r="F22" s="9">
        <f t="shared" si="4"/>
        <v>2.2611926774620341E-2</v>
      </c>
      <c r="G22" s="287">
        <f t="shared" ref="G22:G30" si="5">E22*U8</f>
        <v>3362.7922059364737</v>
      </c>
      <c r="O22" s="99">
        <v>2</v>
      </c>
      <c r="P22" s="93">
        <f>Q21</f>
        <v>36</v>
      </c>
      <c r="Q22" s="1">
        <f t="shared" ref="Q22:Q30" si="6">P22*8+28</f>
        <v>316</v>
      </c>
      <c r="R22" s="9">
        <f>SUM($Q$21:Q22)</f>
        <v>352</v>
      </c>
      <c r="S22" s="282">
        <f t="shared" ref="S22:S30" si="7">R22/R8</f>
        <v>-1885.3474501885994</v>
      </c>
      <c r="T22" s="9">
        <f>U8/S22</f>
        <v>4.6251668402632522E-3</v>
      </c>
      <c r="U22" s="287">
        <f t="shared" ref="U22:U30" si="8">S22*U8</f>
        <v>16440.317451244984</v>
      </c>
    </row>
    <row r="23" spans="1:21" x14ac:dyDescent="0.2">
      <c r="A23" s="97">
        <v>3</v>
      </c>
      <c r="B23" s="93">
        <f t="shared" ref="B23:B30" si="9">C22</f>
        <v>64</v>
      </c>
      <c r="C23" s="1">
        <f t="shared" si="2"/>
        <v>512</v>
      </c>
      <c r="D23" s="9">
        <f>SUM($C$21:C23)</f>
        <v>584</v>
      </c>
      <c r="E23" s="9">
        <f t="shared" si="3"/>
        <v>-4906.6501394682045</v>
      </c>
      <c r="F23" s="9">
        <f t="shared" si="4"/>
        <v>2.8206224052394679E-3</v>
      </c>
      <c r="G23" s="287">
        <f t="shared" si="5"/>
        <v>67907.092507349502</v>
      </c>
      <c r="O23" s="99">
        <v>3</v>
      </c>
      <c r="P23" s="93">
        <f t="shared" ref="P23:P30" si="10">Q22</f>
        <v>316</v>
      </c>
      <c r="Q23" s="1">
        <f t="shared" si="6"/>
        <v>2556</v>
      </c>
      <c r="R23" s="9">
        <f>SUM($Q$21:Q23)</f>
        <v>2908</v>
      </c>
      <c r="S23" s="282">
        <f t="shared" si="7"/>
        <v>-24432.429119132772</v>
      </c>
      <c r="T23" s="9">
        <f t="shared" ref="T23:T30" si="11">U9/S23</f>
        <v>5.6645236748963177E-4</v>
      </c>
      <c r="U23" s="287">
        <f t="shared" si="8"/>
        <v>338140.11132084305</v>
      </c>
    </row>
    <row r="24" spans="1:21" x14ac:dyDescent="0.2">
      <c r="A24" s="97">
        <v>4</v>
      </c>
      <c r="B24" s="93">
        <f t="shared" si="9"/>
        <v>512</v>
      </c>
      <c r="C24" s="1">
        <f t="shared" si="2"/>
        <v>4096</v>
      </c>
      <c r="D24" s="9">
        <f>SUM($C$21:C24)</f>
        <v>4680</v>
      </c>
      <c r="E24" s="9">
        <f t="shared" si="3"/>
        <v>-52009.751651113569</v>
      </c>
      <c r="F24" s="9">
        <f t="shared" si="4"/>
        <v>3.7075546721664559E-4</v>
      </c>
      <c r="G24" s="287">
        <f t="shared" si="5"/>
        <v>1002898.8283190229</v>
      </c>
      <c r="O24" s="99">
        <v>4</v>
      </c>
      <c r="P24" s="93">
        <f t="shared" si="10"/>
        <v>2556</v>
      </c>
      <c r="Q24" s="1">
        <f t="shared" si="6"/>
        <v>20476</v>
      </c>
      <c r="R24" s="9">
        <f>SUM($Q$21:Q24)</f>
        <v>23384</v>
      </c>
      <c r="S24" s="282">
        <f t="shared" si="7"/>
        <v>-259870.9471388119</v>
      </c>
      <c r="T24" s="9">
        <f t="shared" si="11"/>
        <v>7.4201829737166497E-5</v>
      </c>
      <c r="U24" s="287">
        <f t="shared" si="8"/>
        <v>5011065.4276521429</v>
      </c>
    </row>
    <row r="25" spans="1:21" x14ac:dyDescent="0.2">
      <c r="A25" s="97">
        <v>5</v>
      </c>
      <c r="B25" s="93">
        <f t="shared" si="9"/>
        <v>4096</v>
      </c>
      <c r="C25" s="1">
        <f t="shared" si="2"/>
        <v>32768</v>
      </c>
      <c r="D25" s="9">
        <f>SUM($C$21:C25)</f>
        <v>37448</v>
      </c>
      <c r="E25" s="9">
        <f t="shared" si="3"/>
        <v>-486790.43525098974</v>
      </c>
      <c r="F25" s="9">
        <f t="shared" si="4"/>
        <v>5.1228256193150629E-5</v>
      </c>
      <c r="G25" s="287">
        <f t="shared" si="5"/>
        <v>12139300.032785926</v>
      </c>
      <c r="O25" s="99">
        <v>5</v>
      </c>
      <c r="P25" s="93">
        <f t="shared" si="10"/>
        <v>20476</v>
      </c>
      <c r="Q25" s="1">
        <f t="shared" si="6"/>
        <v>163836</v>
      </c>
      <c r="R25" s="9">
        <f>SUM($Q$21:Q25)</f>
        <v>187220</v>
      </c>
      <c r="S25" s="282">
        <f t="shared" si="7"/>
        <v>-2433692.1941810059</v>
      </c>
      <c r="T25" s="9">
        <f t="shared" si="11"/>
        <v>1.0246745742554772E-5</v>
      </c>
      <c r="U25" s="287">
        <f t="shared" si="8"/>
        <v>60690016.880425692</v>
      </c>
    </row>
    <row r="26" spans="1:21" x14ac:dyDescent="0.2">
      <c r="A26" s="97">
        <v>6</v>
      </c>
      <c r="B26" s="93">
        <f t="shared" si="9"/>
        <v>32768</v>
      </c>
      <c r="C26" s="1">
        <f t="shared" si="2"/>
        <v>262144</v>
      </c>
      <c r="D26" s="9">
        <f>SUM($C$21:C26)</f>
        <v>299592</v>
      </c>
      <c r="E26" s="9">
        <f t="shared" si="3"/>
        <v>-4223372.6795462715</v>
      </c>
      <c r="F26" s="9">
        <f t="shared" si="4"/>
        <v>7.2743664691258763E-6</v>
      </c>
      <c r="G26" s="287">
        <f t="shared" si="5"/>
        <v>129751978.43756327</v>
      </c>
      <c r="O26" s="99">
        <v>6</v>
      </c>
      <c r="P26" s="93">
        <f t="shared" si="10"/>
        <v>163836</v>
      </c>
      <c r="Q26" s="1">
        <f t="shared" si="6"/>
        <v>1310716</v>
      </c>
      <c r="R26" s="9">
        <f>SUM($Q$21:Q26)</f>
        <v>1497936</v>
      </c>
      <c r="S26" s="282">
        <f t="shared" si="7"/>
        <v>-21116525.067788273</v>
      </c>
      <c r="T26" s="9">
        <f t="shared" si="11"/>
        <v>1.4548966038725014E-6</v>
      </c>
      <c r="U26" s="287">
        <f t="shared" si="8"/>
        <v>648749497.89330089</v>
      </c>
    </row>
    <row r="27" spans="1:21" x14ac:dyDescent="0.2">
      <c r="A27" s="97">
        <v>7</v>
      </c>
      <c r="B27" s="93">
        <f t="shared" si="9"/>
        <v>262144</v>
      </c>
      <c r="C27" s="1">
        <f t="shared" si="2"/>
        <v>2097152</v>
      </c>
      <c r="D27" s="9">
        <f>SUM($C$21:C27)</f>
        <v>2396744</v>
      </c>
      <c r="E27" s="9">
        <f t="shared" si="3"/>
        <v>-35163215.085872613</v>
      </c>
      <c r="F27" s="9">
        <f t="shared" si="4"/>
        <v>1.04040831306746E-6</v>
      </c>
      <c r="G27" s="287">
        <f t="shared" si="5"/>
        <v>1286414622.366776</v>
      </c>
      <c r="O27" s="99">
        <v>7</v>
      </c>
      <c r="P27" s="93">
        <f t="shared" si="10"/>
        <v>1310716</v>
      </c>
      <c r="Q27" s="1">
        <f t="shared" si="6"/>
        <v>10485756</v>
      </c>
      <c r="R27" s="9">
        <f>SUM($Q$21:Q27)</f>
        <v>11983692</v>
      </c>
      <c r="S27" s="282">
        <f t="shared" si="7"/>
        <v>-175815664.63454211</v>
      </c>
      <c r="T27" s="9">
        <f t="shared" si="11"/>
        <v>2.0808214879809628E-7</v>
      </c>
      <c r="U27" s="287">
        <f t="shared" si="8"/>
        <v>6432058083.2745409</v>
      </c>
    </row>
    <row r="28" spans="1:21" x14ac:dyDescent="0.2">
      <c r="A28" s="97">
        <v>8</v>
      </c>
      <c r="B28" s="93">
        <f t="shared" si="9"/>
        <v>2097152</v>
      </c>
      <c r="C28" s="1">
        <f t="shared" si="2"/>
        <v>16777216</v>
      </c>
      <c r="D28" s="9">
        <f>SUM($C$21:C28)</f>
        <v>19173960</v>
      </c>
      <c r="E28" s="9">
        <f t="shared" si="3"/>
        <v>-286740599.05994153</v>
      </c>
      <c r="F28" s="9">
        <f t="shared" si="4"/>
        <v>1.4818087222123191E-7</v>
      </c>
      <c r="G28" s="287">
        <f t="shared" si="5"/>
        <v>12183456675.075447</v>
      </c>
      <c r="O28" s="99">
        <v>8</v>
      </c>
      <c r="P28" s="93">
        <f t="shared" si="10"/>
        <v>10485756</v>
      </c>
      <c r="Q28" s="1">
        <f t="shared" si="6"/>
        <v>83886076</v>
      </c>
      <c r="R28" s="9">
        <f>SUM($Q$21:Q28)</f>
        <v>95869768</v>
      </c>
      <c r="S28" s="282">
        <f t="shared" si="7"/>
        <v>-1433702516.7496758</v>
      </c>
      <c r="T28" s="9">
        <f t="shared" si="11"/>
        <v>2.9636184336390715E-8</v>
      </c>
      <c r="U28" s="287">
        <f t="shared" si="8"/>
        <v>60917263042.039024</v>
      </c>
    </row>
    <row r="29" spans="1:21" x14ac:dyDescent="0.2">
      <c r="A29" s="97">
        <v>9</v>
      </c>
      <c r="B29" s="93">
        <f t="shared" si="9"/>
        <v>16777216</v>
      </c>
      <c r="C29" s="1">
        <f t="shared" si="2"/>
        <v>134217728</v>
      </c>
      <c r="D29" s="9">
        <f>SUM($C$21:C29)</f>
        <v>153391688</v>
      </c>
      <c r="E29" s="9">
        <f t="shared" si="3"/>
        <v>-2314778395.5099549</v>
      </c>
      <c r="F29" s="9">
        <f t="shared" si="4"/>
        <v>2.091731059597358E-8</v>
      </c>
      <c r="G29" s="287">
        <f t="shared" si="5"/>
        <v>112079113143.06729</v>
      </c>
      <c r="O29" s="99">
        <v>9</v>
      </c>
      <c r="P29" s="93">
        <f t="shared" si="10"/>
        <v>83886076</v>
      </c>
      <c r="Q29" s="1">
        <f t="shared" si="6"/>
        <v>671088636</v>
      </c>
      <c r="R29" s="9">
        <f>SUM($Q$21:Q29)</f>
        <v>766958404</v>
      </c>
      <c r="S29" s="282">
        <f t="shared" si="7"/>
        <v>-11573891434.286816</v>
      </c>
      <c r="T29" s="9">
        <f t="shared" si="11"/>
        <v>4.1834623155608235E-9</v>
      </c>
      <c r="U29" s="287">
        <f t="shared" si="8"/>
        <v>560395539411.12061</v>
      </c>
    </row>
    <row r="30" spans="1:21" ht="17" thickBot="1" x14ac:dyDescent="0.25">
      <c r="A30" s="145">
        <v>10</v>
      </c>
      <c r="B30" s="94">
        <f t="shared" si="9"/>
        <v>134217728</v>
      </c>
      <c r="C30" s="111">
        <f t="shared" si="2"/>
        <v>1073741824</v>
      </c>
      <c r="D30" s="10">
        <f>SUM($C$21:C30)</f>
        <v>1227133512</v>
      </c>
      <c r="E30" s="10">
        <f t="shared" si="3"/>
        <v>-18597135823.118492</v>
      </c>
      <c r="F30" s="10">
        <f t="shared" si="4"/>
        <v>2.923107211488964E-9</v>
      </c>
      <c r="G30" s="288">
        <f t="shared" si="5"/>
        <v>1010966745451.6387</v>
      </c>
      <c r="O30" s="100">
        <v>10</v>
      </c>
      <c r="P30" s="94">
        <f t="shared" si="10"/>
        <v>671088636</v>
      </c>
      <c r="Q30" s="111">
        <f t="shared" si="6"/>
        <v>5368709116</v>
      </c>
      <c r="R30" s="10">
        <f>SUM($Q$21:Q30)</f>
        <v>6135667520</v>
      </c>
      <c r="S30" s="283">
        <f t="shared" si="7"/>
        <v>-92985678509.394821</v>
      </c>
      <c r="T30" s="10">
        <f t="shared" si="11"/>
        <v>5.8462144610909082E-10</v>
      </c>
      <c r="U30" s="288">
        <f t="shared" si="8"/>
        <v>5054833694304.4277</v>
      </c>
    </row>
    <row r="31" spans="1:21" ht="17" thickBot="1" x14ac:dyDescent="0.25"/>
    <row r="32" spans="1:21" ht="17" thickBot="1" x14ac:dyDescent="0.25">
      <c r="A32" s="117" t="s">
        <v>135</v>
      </c>
      <c r="B32" s="118" t="s">
        <v>140</v>
      </c>
      <c r="C32" s="118" t="s">
        <v>139</v>
      </c>
      <c r="D32" s="170" t="s">
        <v>138</v>
      </c>
      <c r="E32" s="167" t="s">
        <v>151</v>
      </c>
      <c r="F32" s="168" t="s">
        <v>152</v>
      </c>
      <c r="G32" s="290" t="s">
        <v>47</v>
      </c>
      <c r="O32" s="29" t="s">
        <v>135</v>
      </c>
      <c r="P32" s="118" t="s">
        <v>140</v>
      </c>
      <c r="Q32" s="118" t="s">
        <v>139</v>
      </c>
      <c r="R32" s="118" t="s">
        <v>138</v>
      </c>
      <c r="S32" s="166" t="s">
        <v>151</v>
      </c>
      <c r="T32" s="168" t="s">
        <v>152</v>
      </c>
      <c r="U32" s="294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8</v>
      </c>
      <c r="D33" s="57">
        <f>SUM($C$33:C33)</f>
        <v>8</v>
      </c>
      <c r="E33" s="9">
        <f t="shared" ref="E33:E42" si="13">D33/R7</f>
        <v>-22.026121243779023</v>
      </c>
      <c r="F33" s="8">
        <f t="shared" ref="F33:F42" si="14">U7/E33</f>
        <v>0.18433499937192932</v>
      </c>
      <c r="G33" s="289">
        <f>E33*U7</f>
        <v>89.430128087402053</v>
      </c>
      <c r="O33" s="101">
        <v>1</v>
      </c>
      <c r="P33" s="109">
        <v>1</v>
      </c>
      <c r="Q33" s="110">
        <f>P33*8+28</f>
        <v>36</v>
      </c>
      <c r="R33" s="57">
        <f>SUM($Q$21)</f>
        <v>36</v>
      </c>
      <c r="S33" s="281">
        <f>R33/R7</f>
        <v>-99.117545597005602</v>
      </c>
      <c r="T33" s="8">
        <f>U7/S33</f>
        <v>4.0963333193762066E-2</v>
      </c>
      <c r="U33" s="289">
        <f>S33*U7</f>
        <v>402.43557639330919</v>
      </c>
    </row>
    <row r="34" spans="1:21" x14ac:dyDescent="0.2">
      <c r="A34" s="97">
        <v>2</v>
      </c>
      <c r="B34" s="93">
        <f t="shared" ref="B34:B42" si="15">B33*($O$2+1)</f>
        <v>9</v>
      </c>
      <c r="C34" s="1">
        <f t="shared" si="12"/>
        <v>72</v>
      </c>
      <c r="D34" s="9">
        <f>SUM($C$33:C34)</f>
        <v>80</v>
      </c>
      <c r="E34" s="9">
        <f t="shared" si="13"/>
        <v>-428.48805686104532</v>
      </c>
      <c r="F34" s="9">
        <f t="shared" si="14"/>
        <v>2.0350734097158308E-2</v>
      </c>
      <c r="G34" s="287">
        <f t="shared" ref="G34:G42" si="16">E34*U8</f>
        <v>3736.4357843738599</v>
      </c>
      <c r="O34" s="99">
        <v>2</v>
      </c>
      <c r="P34" s="93">
        <f>Q33+1</f>
        <v>37</v>
      </c>
      <c r="Q34" s="1">
        <f t="shared" ref="Q34:Q42" si="17">P34*8+28</f>
        <v>324</v>
      </c>
      <c r="R34" s="9">
        <f>SUM($Q$33:Q34)</f>
        <v>360</v>
      </c>
      <c r="S34" s="282">
        <f>R34/R8</f>
        <v>-1928.1962558747039</v>
      </c>
      <c r="T34" s="9">
        <f t="shared" ref="T34:T42" si="18">U8/S34</f>
        <v>4.5223853549240687E-3</v>
      </c>
      <c r="U34" s="287">
        <f t="shared" ref="U34:U42" si="19">S34*U8</f>
        <v>16813.96102968237</v>
      </c>
    </row>
    <row r="35" spans="1:21" x14ac:dyDescent="0.2">
      <c r="A35" s="97">
        <v>3</v>
      </c>
      <c r="B35" s="93">
        <f t="shared" si="15"/>
        <v>81</v>
      </c>
      <c r="C35" s="1">
        <f t="shared" si="12"/>
        <v>648</v>
      </c>
      <c r="D35" s="9">
        <f>SUM($C$33:C35)</f>
        <v>728</v>
      </c>
      <c r="E35" s="9">
        <f t="shared" si="13"/>
        <v>-6116.5090779672137</v>
      </c>
      <c r="F35" s="9">
        <f t="shared" si="14"/>
        <v>2.2626970943129799E-3</v>
      </c>
      <c r="G35" s="287">
        <f t="shared" si="16"/>
        <v>84651.3070982028</v>
      </c>
      <c r="O35" s="99">
        <v>3</v>
      </c>
      <c r="P35" s="93">
        <f t="shared" ref="P35:P42" si="20">Q34+1</f>
        <v>325</v>
      </c>
      <c r="Q35" s="1">
        <f t="shared" si="17"/>
        <v>2628</v>
      </c>
      <c r="R35" s="9">
        <f>SUM($Q$33:Q35)</f>
        <v>2988</v>
      </c>
      <c r="S35" s="282">
        <f t="shared" ref="S35:S42" si="21">R35/R9</f>
        <v>-25104.572973854443</v>
      </c>
      <c r="T35" s="9">
        <f t="shared" si="18"/>
        <v>5.5128630678040469E-4</v>
      </c>
      <c r="U35" s="287">
        <f t="shared" si="19"/>
        <v>347442.45276020601</v>
      </c>
    </row>
    <row r="36" spans="1:21" x14ac:dyDescent="0.2">
      <c r="A36" s="97">
        <v>4</v>
      </c>
      <c r="B36" s="93">
        <f t="shared" si="15"/>
        <v>729</v>
      </c>
      <c r="C36" s="1">
        <f t="shared" si="12"/>
        <v>5832</v>
      </c>
      <c r="D36" s="9">
        <f>SUM($C$33:C36)</f>
        <v>6560</v>
      </c>
      <c r="E36" s="9">
        <f t="shared" si="13"/>
        <v>-72902.557869936965</v>
      </c>
      <c r="F36" s="9">
        <f t="shared" si="14"/>
        <v>2.645023760021191E-4</v>
      </c>
      <c r="G36" s="287">
        <f t="shared" si="16"/>
        <v>1405772.7166181174</v>
      </c>
      <c r="O36" s="99">
        <v>4</v>
      </c>
      <c r="P36" s="93">
        <f t="shared" si="20"/>
        <v>2629</v>
      </c>
      <c r="Q36" s="1">
        <f t="shared" si="17"/>
        <v>21060</v>
      </c>
      <c r="R36" s="9">
        <f>SUM($Q$33:Q36)</f>
        <v>24048</v>
      </c>
      <c r="S36" s="282">
        <f t="shared" si="21"/>
        <v>-267250.10848418355</v>
      </c>
      <c r="T36" s="9">
        <f t="shared" si="18"/>
        <v>7.2153010087071747E-5</v>
      </c>
      <c r="U36" s="287">
        <f t="shared" si="19"/>
        <v>5153357.05628544</v>
      </c>
    </row>
    <row r="37" spans="1:21" x14ac:dyDescent="0.2">
      <c r="A37" s="97">
        <v>5</v>
      </c>
      <c r="B37" s="93">
        <f t="shared" si="15"/>
        <v>6561</v>
      </c>
      <c r="C37" s="1">
        <f t="shared" si="12"/>
        <v>52488</v>
      </c>
      <c r="D37" s="9">
        <f>SUM($C$33:C37)</f>
        <v>59048</v>
      </c>
      <c r="E37" s="9">
        <f t="shared" si="13"/>
        <v>-767571.07510949695</v>
      </c>
      <c r="F37" s="9">
        <f t="shared" si="14"/>
        <v>3.248875047285437E-5</v>
      </c>
      <c r="G37" s="287">
        <f t="shared" si="16"/>
        <v>19141246.217046127</v>
      </c>
      <c r="O37" s="99">
        <v>5</v>
      </c>
      <c r="P37" s="93">
        <f t="shared" si="20"/>
        <v>21061</v>
      </c>
      <c r="Q37" s="1">
        <f t="shared" si="17"/>
        <v>168516</v>
      </c>
      <c r="R37" s="9">
        <f>SUM($Q$33:Q37)</f>
        <v>192564</v>
      </c>
      <c r="S37" s="282">
        <f t="shared" si="21"/>
        <v>-2503159.4043385922</v>
      </c>
      <c r="T37" s="9">
        <f t="shared" si="18"/>
        <v>9.9623799771561889E-6</v>
      </c>
      <c r="U37" s="287">
        <f t="shared" si="19"/>
        <v>62422350.232679695</v>
      </c>
    </row>
    <row r="38" spans="1:21" x14ac:dyDescent="0.2">
      <c r="A38" s="97">
        <v>6</v>
      </c>
      <c r="B38" s="93">
        <f t="shared" si="15"/>
        <v>59049</v>
      </c>
      <c r="C38" s="1">
        <f t="shared" si="12"/>
        <v>472392</v>
      </c>
      <c r="D38" s="9">
        <f>SUM($C$33:C38)</f>
        <v>531440</v>
      </c>
      <c r="E38" s="9">
        <f t="shared" si="13"/>
        <v>-7491752.7064076159</v>
      </c>
      <c r="F38" s="9">
        <f t="shared" si="14"/>
        <v>4.1008241743533792E-6</v>
      </c>
      <c r="G38" s="287">
        <f t="shared" si="16"/>
        <v>230164328.22257811</v>
      </c>
      <c r="O38" s="99">
        <v>6</v>
      </c>
      <c r="P38" s="93">
        <f t="shared" si="20"/>
        <v>168517</v>
      </c>
      <c r="Q38" s="1">
        <f t="shared" si="17"/>
        <v>1348164</v>
      </c>
      <c r="R38" s="9">
        <f>SUM($Q$33:Q38)</f>
        <v>1540728</v>
      </c>
      <c r="S38" s="282">
        <f t="shared" si="21"/>
        <v>-21719767.356311142</v>
      </c>
      <c r="T38" s="9">
        <f t="shared" si="18"/>
        <v>1.41448847507046E-6</v>
      </c>
      <c r="U38" s="287">
        <f t="shared" si="19"/>
        <v>667282525.01451969</v>
      </c>
    </row>
    <row r="39" spans="1:21" x14ac:dyDescent="0.2">
      <c r="A39" s="97">
        <v>7</v>
      </c>
      <c r="B39" s="93">
        <f t="shared" si="15"/>
        <v>531441</v>
      </c>
      <c r="C39" s="1">
        <f t="shared" si="12"/>
        <v>4251528</v>
      </c>
      <c r="D39" s="9">
        <f>SUM($C$33:C39)</f>
        <v>4782968</v>
      </c>
      <c r="E39" s="9">
        <f t="shared" si="13"/>
        <v>-70172088.689007238</v>
      </c>
      <c r="F39" s="9">
        <f t="shared" si="14"/>
        <v>5.2134833055428266E-7</v>
      </c>
      <c r="G39" s="287">
        <f t="shared" si="16"/>
        <v>2567182800.2958908</v>
      </c>
      <c r="O39" s="99">
        <v>7</v>
      </c>
      <c r="P39" s="93">
        <f t="shared" si="20"/>
        <v>1348165</v>
      </c>
      <c r="Q39" s="1">
        <f t="shared" si="17"/>
        <v>10785348</v>
      </c>
      <c r="R39" s="9">
        <f>SUM($Q$33:Q39)</f>
        <v>12326076</v>
      </c>
      <c r="S39" s="282">
        <f t="shared" si="21"/>
        <v>-180838863.70543221</v>
      </c>
      <c r="T39" s="9">
        <f t="shared" si="18"/>
        <v>2.0230220727947451E-7</v>
      </c>
      <c r="U39" s="287">
        <f t="shared" si="19"/>
        <v>6615827306.8814125</v>
      </c>
    </row>
    <row r="40" spans="1:21" x14ac:dyDescent="0.2">
      <c r="A40" s="97">
        <v>8</v>
      </c>
      <c r="B40" s="93">
        <f t="shared" si="15"/>
        <v>4782969</v>
      </c>
      <c r="C40" s="1">
        <f t="shared" si="12"/>
        <v>38263752</v>
      </c>
      <c r="D40" s="9">
        <f>SUM($C$33:C40)</f>
        <v>43046720</v>
      </c>
      <c r="E40" s="9">
        <f t="shared" si="13"/>
        <v>-643750288.43105781</v>
      </c>
      <c r="F40" s="9">
        <f t="shared" si="14"/>
        <v>6.6003033837073123E-8</v>
      </c>
      <c r="G40" s="287">
        <f t="shared" si="16"/>
        <v>27352609900.307693</v>
      </c>
      <c r="O40" s="99">
        <v>8</v>
      </c>
      <c r="P40" s="93">
        <f t="shared" si="20"/>
        <v>10785349</v>
      </c>
      <c r="Q40" s="1">
        <f t="shared" si="17"/>
        <v>86282820</v>
      </c>
      <c r="R40" s="9">
        <f>SUM($Q$33:Q40)</f>
        <v>98608896</v>
      </c>
      <c r="S40" s="282">
        <f t="shared" si="21"/>
        <v>-1474665322.7439439</v>
      </c>
      <c r="T40" s="9">
        <f t="shared" si="18"/>
        <v>2.8812959398054837E-8</v>
      </c>
      <c r="U40" s="287">
        <f t="shared" si="19"/>
        <v>62657751043.238876</v>
      </c>
    </row>
    <row r="41" spans="1:21" x14ac:dyDescent="0.2">
      <c r="A41" s="97">
        <v>9</v>
      </c>
      <c r="B41" s="93">
        <f t="shared" si="15"/>
        <v>43046721</v>
      </c>
      <c r="C41" s="1">
        <f t="shared" si="12"/>
        <v>344373768</v>
      </c>
      <c r="D41" s="9">
        <f>SUM($C$33:C41)</f>
        <v>387420488</v>
      </c>
      <c r="E41" s="9">
        <f t="shared" si="13"/>
        <v>-5846422236.3882179</v>
      </c>
      <c r="F41" s="9">
        <f t="shared" si="14"/>
        <v>8.2818066677379069E-9</v>
      </c>
      <c r="G41" s="287">
        <f t="shared" si="16"/>
        <v>283077559642.56909</v>
      </c>
      <c r="O41" s="99">
        <v>9</v>
      </c>
      <c r="P41" s="93">
        <f t="shared" si="20"/>
        <v>86282821</v>
      </c>
      <c r="Q41" s="1">
        <f t="shared" si="17"/>
        <v>690262596</v>
      </c>
      <c r="R41" s="9">
        <f>SUM($Q$33:Q41)</f>
        <v>788871492</v>
      </c>
      <c r="S41" s="282">
        <f t="shared" si="21"/>
        <v>-11904573906.998821</v>
      </c>
      <c r="T41" s="9">
        <f t="shared" si="18"/>
        <v>4.0672550767453436E-9</v>
      </c>
      <c r="U41" s="287">
        <f t="shared" si="19"/>
        <v>576406833773.21143</v>
      </c>
    </row>
    <row r="42" spans="1:21" ht="17" thickBot="1" x14ac:dyDescent="0.25">
      <c r="A42" s="145">
        <v>10</v>
      </c>
      <c r="B42" s="94">
        <f t="shared" si="15"/>
        <v>387420489</v>
      </c>
      <c r="C42" s="111">
        <f t="shared" si="12"/>
        <v>3099363912</v>
      </c>
      <c r="D42" s="10">
        <f>SUM($C$33:C42)</f>
        <v>3486784400</v>
      </c>
      <c r="E42" s="9">
        <f t="shared" si="13"/>
        <v>-52842011434.474388</v>
      </c>
      <c r="F42" s="10">
        <f t="shared" si="14"/>
        <v>1.0287538335857472E-9</v>
      </c>
      <c r="G42" s="288">
        <f t="shared" si="16"/>
        <v>2872566874336.6079</v>
      </c>
      <c r="O42" s="100">
        <v>10</v>
      </c>
      <c r="P42" s="94">
        <f t="shared" si="20"/>
        <v>690262597</v>
      </c>
      <c r="Q42" s="111">
        <f t="shared" si="17"/>
        <v>5522100804</v>
      </c>
      <c r="R42" s="10">
        <f>SUM($Q$33:Q42)</f>
        <v>6310972296</v>
      </c>
      <c r="S42" s="283">
        <f t="shared" si="21"/>
        <v>-95642412025.212418</v>
      </c>
      <c r="T42" s="10">
        <f t="shared" si="18"/>
        <v>5.6838196242130665E-10</v>
      </c>
      <c r="U42" s="288">
        <f t="shared" si="19"/>
        <v>5199257505667.8721</v>
      </c>
    </row>
    <row r="43" spans="1:21" ht="17" thickBot="1" x14ac:dyDescent="0.25">
      <c r="U43" s="285"/>
    </row>
    <row r="44" spans="1:21" ht="17" thickBot="1" x14ac:dyDescent="0.25">
      <c r="A44" s="117" t="s">
        <v>135</v>
      </c>
      <c r="B44" s="118" t="s">
        <v>140</v>
      </c>
      <c r="C44" s="118" t="s">
        <v>139</v>
      </c>
      <c r="D44" s="170" t="s">
        <v>138</v>
      </c>
      <c r="E44" s="167" t="s">
        <v>151</v>
      </c>
      <c r="F44" s="168" t="s">
        <v>152</v>
      </c>
      <c r="G44" s="290" t="s">
        <v>47</v>
      </c>
      <c r="O44" s="29" t="s">
        <v>135</v>
      </c>
      <c r="P44" s="118" t="s">
        <v>140</v>
      </c>
      <c r="Q44" s="118" t="s">
        <v>139</v>
      </c>
      <c r="R44" s="118" t="s">
        <v>138</v>
      </c>
      <c r="S44" s="166" t="s">
        <v>151</v>
      </c>
      <c r="T44" s="168" t="s">
        <v>152</v>
      </c>
      <c r="U44" s="294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8</v>
      </c>
      <c r="D45" s="57">
        <f>SUM(C45:C45)</f>
        <v>8</v>
      </c>
      <c r="E45" s="57">
        <f t="shared" ref="E45:E54" si="23">D45/R7</f>
        <v>-22.026121243779023</v>
      </c>
      <c r="F45" s="8">
        <f t="shared" ref="F45:F54" si="24">U7/E45</f>
        <v>0.18433499937192932</v>
      </c>
      <c r="G45" s="286">
        <f>E45*U7</f>
        <v>89.430128087402053</v>
      </c>
      <c r="O45" s="101">
        <v>1</v>
      </c>
      <c r="P45" s="109">
        <v>1</v>
      </c>
      <c r="Q45" s="110">
        <f>P45*8+28</f>
        <v>36</v>
      </c>
      <c r="R45" s="57">
        <f>SUM($Q$21)</f>
        <v>36</v>
      </c>
      <c r="S45" s="281">
        <f>R45/R7</f>
        <v>-99.117545597005602</v>
      </c>
      <c r="T45" s="8">
        <f>U7/S45</f>
        <v>4.0963333193762066E-2</v>
      </c>
      <c r="U45" s="289">
        <f>S45*U7</f>
        <v>402.43557639330919</v>
      </c>
    </row>
    <row r="46" spans="1:21" x14ac:dyDescent="0.2">
      <c r="A46" s="97">
        <v>2</v>
      </c>
      <c r="B46" s="93">
        <f t="shared" ref="B46:B54" si="25">B45*$O$2*2</f>
        <v>16</v>
      </c>
      <c r="C46" s="1">
        <f t="shared" si="22"/>
        <v>128</v>
      </c>
      <c r="D46" s="9">
        <f>SUM($C$45:C46)</f>
        <v>136</v>
      </c>
      <c r="E46" s="9">
        <f t="shared" si="23"/>
        <v>-728.42969666377701</v>
      </c>
      <c r="F46" s="9">
        <f t="shared" si="24"/>
        <v>1.1971020057151947E-2</v>
      </c>
      <c r="G46" s="287">
        <f t="shared" ref="G46:G54" si="26">E46*U8</f>
        <v>6351.9408334355612</v>
      </c>
      <c r="O46" s="99">
        <v>2</v>
      </c>
      <c r="P46" s="93">
        <f>Q45*2</f>
        <v>72</v>
      </c>
      <c r="Q46" s="1">
        <f t="shared" ref="Q46:Q54" si="27">P46*8+28</f>
        <v>604</v>
      </c>
      <c r="R46" s="9">
        <f>SUM($Q$45:Q46)</f>
        <v>640</v>
      </c>
      <c r="S46" s="282">
        <f t="shared" ref="S46:S54" si="28">R46/R8</f>
        <v>-3427.9044548883626</v>
      </c>
      <c r="T46" s="9">
        <f t="shared" ref="T46:T54" si="29">U8/S46</f>
        <v>2.5438417621447885E-3</v>
      </c>
      <c r="U46" s="287">
        <f t="shared" ref="U46:U54" si="30">S46*U8</f>
        <v>29891.486274990879</v>
      </c>
    </row>
    <row r="47" spans="1:21" x14ac:dyDescent="0.2">
      <c r="A47" s="97">
        <v>3</v>
      </c>
      <c r="B47" s="93">
        <f t="shared" si="25"/>
        <v>256</v>
      </c>
      <c r="C47" s="1">
        <f t="shared" si="22"/>
        <v>2048</v>
      </c>
      <c r="D47" s="9">
        <f>SUM($C$45:C47)</f>
        <v>2184</v>
      </c>
      <c r="E47" s="9">
        <f t="shared" si="23"/>
        <v>-18349.527233901641</v>
      </c>
      <c r="F47" s="9">
        <f t="shared" si="24"/>
        <v>7.5423236477099333E-4</v>
      </c>
      <c r="G47" s="287">
        <f t="shared" si="26"/>
        <v>253953.92129460839</v>
      </c>
      <c r="O47" s="99">
        <v>3</v>
      </c>
      <c r="P47" s="93">
        <f t="shared" ref="P47:P54" si="31">Q46*2</f>
        <v>1208</v>
      </c>
      <c r="Q47" s="1">
        <f t="shared" si="27"/>
        <v>9692</v>
      </c>
      <c r="R47" s="9">
        <f>SUM($Q$45:Q47)</f>
        <v>10332</v>
      </c>
      <c r="S47" s="282">
        <f t="shared" si="28"/>
        <v>-86807.378837303913</v>
      </c>
      <c r="T47" s="9">
        <f t="shared" si="29"/>
        <v>1.5943123157760835E-4</v>
      </c>
      <c r="U47" s="287">
        <f t="shared" si="30"/>
        <v>1201397.3968937243</v>
      </c>
    </row>
    <row r="48" spans="1:21" x14ac:dyDescent="0.2">
      <c r="A48" s="97">
        <v>4</v>
      </c>
      <c r="B48" s="93">
        <f t="shared" si="25"/>
        <v>4096</v>
      </c>
      <c r="C48" s="1">
        <f t="shared" si="22"/>
        <v>32768</v>
      </c>
      <c r="D48" s="9">
        <f>SUM($C$45:C48)</f>
        <v>34952</v>
      </c>
      <c r="E48" s="9">
        <f t="shared" si="23"/>
        <v>-388428.3845533593</v>
      </c>
      <c r="F48" s="9">
        <f t="shared" si="24"/>
        <v>4.9643384829878154E-5</v>
      </c>
      <c r="G48" s="287">
        <f t="shared" si="26"/>
        <v>7490025.6084201895</v>
      </c>
      <c r="O48" s="99">
        <v>4</v>
      </c>
      <c r="P48" s="93">
        <f t="shared" si="31"/>
        <v>19384</v>
      </c>
      <c r="Q48" s="1">
        <f t="shared" si="27"/>
        <v>155100</v>
      </c>
      <c r="R48" s="9">
        <f>SUM($Q$45:Q48)</f>
        <v>165432</v>
      </c>
      <c r="S48" s="282">
        <f t="shared" si="28"/>
        <v>-1838478.0416980812</v>
      </c>
      <c r="T48" s="9">
        <f t="shared" si="29"/>
        <v>1.0488512419446669E-5</v>
      </c>
      <c r="U48" s="287">
        <f t="shared" si="30"/>
        <v>35451187.813348845</v>
      </c>
    </row>
    <row r="49" spans="1:21" x14ac:dyDescent="0.2">
      <c r="A49" s="97">
        <v>5</v>
      </c>
      <c r="B49" s="93">
        <f t="shared" si="25"/>
        <v>65536</v>
      </c>
      <c r="C49" s="1">
        <f t="shared" si="22"/>
        <v>524288</v>
      </c>
      <c r="D49" s="9">
        <f>SUM($C$45:C49)</f>
        <v>559240</v>
      </c>
      <c r="E49" s="9">
        <f t="shared" si="23"/>
        <v>-7269618.7515959069</v>
      </c>
      <c r="F49" s="9">
        <f t="shared" si="24"/>
        <v>3.430362166370618E-6</v>
      </c>
      <c r="G49" s="287">
        <f t="shared" si="26"/>
        <v>181285573.33729976</v>
      </c>
      <c r="O49" s="99">
        <v>5</v>
      </c>
      <c r="P49" s="93">
        <f t="shared" si="31"/>
        <v>310200</v>
      </c>
      <c r="Q49" s="1">
        <f t="shared" si="27"/>
        <v>2481628</v>
      </c>
      <c r="R49" s="9">
        <f>SUM($Q$45:Q49)</f>
        <v>2647060</v>
      </c>
      <c r="S49" s="282">
        <f t="shared" si="28"/>
        <v>-34409407.432586119</v>
      </c>
      <c r="T49" s="9">
        <f t="shared" si="29"/>
        <v>7.2472695666932541E-7</v>
      </c>
      <c r="U49" s="287">
        <f t="shared" si="30"/>
        <v>858082021.59758365</v>
      </c>
    </row>
    <row r="50" spans="1:21" x14ac:dyDescent="0.2">
      <c r="A50" s="97">
        <v>6</v>
      </c>
      <c r="B50" s="93">
        <f t="shared" si="25"/>
        <v>1048576</v>
      </c>
      <c r="C50" s="1">
        <f t="shared" si="22"/>
        <v>8388608</v>
      </c>
      <c r="D50" s="9">
        <f>SUM($C$45:C50)</f>
        <v>8947848</v>
      </c>
      <c r="E50" s="9">
        <f t="shared" si="23"/>
        <v>-126138537.69103563</v>
      </c>
      <c r="F50" s="9">
        <f t="shared" si="24"/>
        <v>2.4356046271889727E-7</v>
      </c>
      <c r="G50" s="287">
        <f t="shared" si="26"/>
        <v>3875273641.3475447</v>
      </c>
      <c r="O50" s="99">
        <v>6</v>
      </c>
      <c r="P50" s="93">
        <f t="shared" si="31"/>
        <v>4963256</v>
      </c>
      <c r="Q50" s="1">
        <f t="shared" si="27"/>
        <v>39706076</v>
      </c>
      <c r="R50" s="9">
        <f>SUM($Q$45:Q50)</f>
        <v>42353136</v>
      </c>
      <c r="S50" s="282">
        <f t="shared" si="28"/>
        <v>-597055587.18359518</v>
      </c>
      <c r="T50" s="9">
        <f t="shared" si="29"/>
        <v>5.1456449392988508E-8</v>
      </c>
      <c r="U50" s="287">
        <f t="shared" si="30"/>
        <v>18342957051.707603</v>
      </c>
    </row>
    <row r="51" spans="1:21" x14ac:dyDescent="0.2">
      <c r="A51" s="97">
        <v>7</v>
      </c>
      <c r="B51" s="93">
        <f t="shared" si="25"/>
        <v>16777216</v>
      </c>
      <c r="C51" s="1">
        <f t="shared" si="22"/>
        <v>134217728</v>
      </c>
      <c r="D51" s="9">
        <f>SUM($C$45:C51)</f>
        <v>143165576</v>
      </c>
      <c r="E51" s="9">
        <f t="shared" si="23"/>
        <v>-2100417041.5283577</v>
      </c>
      <c r="F51" s="9">
        <f t="shared" si="24"/>
        <v>1.7417541643492264E-8</v>
      </c>
      <c r="G51" s="287">
        <f t="shared" si="26"/>
        <v>76841869797.509445</v>
      </c>
      <c r="O51" s="99">
        <v>7</v>
      </c>
      <c r="P51" s="93">
        <f t="shared" si="31"/>
        <v>79412152</v>
      </c>
      <c r="Q51" s="1">
        <f t="shared" si="27"/>
        <v>635297244</v>
      </c>
      <c r="R51" s="9">
        <f>SUM($Q$45:Q51)</f>
        <v>677650380</v>
      </c>
      <c r="S51" s="282">
        <f t="shared" si="28"/>
        <v>-9941973804.8633099</v>
      </c>
      <c r="T51" s="9">
        <f t="shared" si="29"/>
        <v>3.6797623900019896E-9</v>
      </c>
      <c r="U51" s="287">
        <f t="shared" si="30"/>
        <v>363718176694.88367</v>
      </c>
    </row>
    <row r="52" spans="1:21" x14ac:dyDescent="0.2">
      <c r="A52" s="97">
        <v>8</v>
      </c>
      <c r="B52" s="93">
        <f t="shared" si="25"/>
        <v>268435456</v>
      </c>
      <c r="C52" s="1">
        <f t="shared" si="22"/>
        <v>2147483648</v>
      </c>
      <c r="D52" s="9">
        <f>SUM($C$45:C52)</f>
        <v>2290649224</v>
      </c>
      <c r="E52" s="9">
        <f t="shared" si="23"/>
        <v>-34255945601.531982</v>
      </c>
      <c r="F52" s="9">
        <f t="shared" si="24"/>
        <v>1.2403532094598051E-9</v>
      </c>
      <c r="G52" s="287">
        <f t="shared" si="26"/>
        <v>1455517043865.7007</v>
      </c>
      <c r="O52" s="99">
        <v>8</v>
      </c>
      <c r="P52" s="93">
        <f t="shared" si="31"/>
        <v>1270594488</v>
      </c>
      <c r="Q52" s="1">
        <f t="shared" si="27"/>
        <v>10164755932</v>
      </c>
      <c r="R52" s="9">
        <f>SUM($Q$45:Q52)</f>
        <v>10842406312</v>
      </c>
      <c r="S52" s="282">
        <f t="shared" si="28"/>
        <v>-162144808957.26138</v>
      </c>
      <c r="T52" s="9">
        <f t="shared" si="29"/>
        <v>2.6204645306369438E-10</v>
      </c>
      <c r="U52" s="287">
        <f t="shared" si="30"/>
        <v>6889447331475.4268</v>
      </c>
    </row>
    <row r="53" spans="1:21" x14ac:dyDescent="0.2">
      <c r="A53" s="97">
        <v>9</v>
      </c>
      <c r="B53" s="93">
        <f t="shared" si="25"/>
        <v>4294967296</v>
      </c>
      <c r="C53" s="1">
        <f t="shared" si="22"/>
        <v>34359738368</v>
      </c>
      <c r="D53" s="9">
        <f>SUM($C$45:C53)</f>
        <v>36650387592</v>
      </c>
      <c r="E53" s="9">
        <f t="shared" si="23"/>
        <v>-553077722079.88037</v>
      </c>
      <c r="F53" s="9">
        <f t="shared" si="24"/>
        <v>8.7544547044218164E-11</v>
      </c>
      <c r="G53" s="287">
        <f t="shared" si="26"/>
        <v>26779436299449.535</v>
      </c>
      <c r="O53" s="99">
        <v>9</v>
      </c>
      <c r="P53" s="93">
        <f t="shared" si="31"/>
        <v>20329511864</v>
      </c>
      <c r="Q53" s="1">
        <f t="shared" si="27"/>
        <v>162636094940</v>
      </c>
      <c r="R53" s="9">
        <f>SUM($Q$45:Q53)</f>
        <v>173478501252</v>
      </c>
      <c r="S53" s="282">
        <f t="shared" si="28"/>
        <v>-2617901217591.2446</v>
      </c>
      <c r="T53" s="9">
        <f t="shared" si="29"/>
        <v>1.8495326842118904E-11</v>
      </c>
      <c r="U53" s="287">
        <f t="shared" si="30"/>
        <v>126755998471785.84</v>
      </c>
    </row>
    <row r="54" spans="1:21" ht="17" thickBot="1" x14ac:dyDescent="0.25">
      <c r="A54" s="145">
        <v>10</v>
      </c>
      <c r="B54" s="94">
        <f t="shared" si="25"/>
        <v>68719476736</v>
      </c>
      <c r="C54" s="111">
        <f t="shared" si="22"/>
        <v>549755813888</v>
      </c>
      <c r="D54" s="10">
        <f>SUM($C$45:C54)</f>
        <v>586406201480</v>
      </c>
      <c r="E54" s="10">
        <f t="shared" si="23"/>
        <v>-8886951313609.4258</v>
      </c>
      <c r="F54" s="10">
        <f t="shared" si="24"/>
        <v>6.1169933219222937E-12</v>
      </c>
      <c r="G54" s="288">
        <f t="shared" si="26"/>
        <v>483107309209312.44</v>
      </c>
      <c r="O54" s="100">
        <v>10</v>
      </c>
      <c r="P54" s="94">
        <f t="shared" si="31"/>
        <v>325272189880</v>
      </c>
      <c r="Q54" s="111">
        <f t="shared" si="27"/>
        <v>2602177519068</v>
      </c>
      <c r="R54" s="10">
        <f>SUM($Q$45:Q54)</f>
        <v>2775656020320</v>
      </c>
      <c r="S54" s="283">
        <f t="shared" si="28"/>
        <v>-42064902884135.055</v>
      </c>
      <c r="T54" s="10">
        <f t="shared" si="29"/>
        <v>1.2923225328091756E-12</v>
      </c>
      <c r="U54" s="288">
        <f t="shared" si="30"/>
        <v>2286707930242033.5</v>
      </c>
    </row>
  </sheetData>
  <mergeCells count="2">
    <mergeCell ref="A18:F18"/>
    <mergeCell ref="O18:T18"/>
  </mergeCells>
  <conditionalFormatting sqref="F45:F54">
    <cfRule type="cellIs" dxfId="363" priority="53" operator="equal">
      <formula>MAX($F$45:$F$54)</formula>
    </cfRule>
  </conditionalFormatting>
  <conditionalFormatting sqref="F21:F30">
    <cfRule type="cellIs" dxfId="362" priority="51" operator="equal">
      <formula>MAX($F$21:$F$30)</formula>
    </cfRule>
  </conditionalFormatting>
  <conditionalFormatting sqref="F33:F42">
    <cfRule type="cellIs" dxfId="361" priority="32" operator="lessThanOrEqual">
      <formula>0</formula>
    </cfRule>
    <cfRule type="cellIs" dxfId="360" priority="49" operator="equal">
      <formula>MAX($F$33:$F$42)</formula>
    </cfRule>
  </conditionalFormatting>
  <conditionalFormatting sqref="E33:E42">
    <cfRule type="cellIs" dxfId="359" priority="47" stopIfTrue="1" operator="lessThan">
      <formula>0</formula>
    </cfRule>
    <cfRule type="cellIs" dxfId="358" priority="48" operator="equal">
      <formula>MIN($E$33:$E$42)</formula>
    </cfRule>
  </conditionalFormatting>
  <conditionalFormatting sqref="E21:E30">
    <cfRule type="cellIs" dxfId="357" priority="43" stopIfTrue="1" operator="lessThan">
      <formula>0</formula>
    </cfRule>
    <cfRule type="cellIs" dxfId="356" priority="44" operator="equal">
      <formula>MIN($E$21:$E$30)</formula>
    </cfRule>
  </conditionalFormatting>
  <conditionalFormatting sqref="E45:E54">
    <cfRule type="cellIs" dxfId="355" priority="39" stopIfTrue="1" operator="lessThan">
      <formula>0</formula>
    </cfRule>
    <cfRule type="cellIs" dxfId="354" priority="40" operator="equal">
      <formula>MIN($E$45:$E$54)</formula>
    </cfRule>
  </conditionalFormatting>
  <conditionalFormatting sqref="S7:T16">
    <cfRule type="cellIs" dxfId="353" priority="13" operator="lessThanOrEqual">
      <formula>0</formula>
    </cfRule>
    <cfRule type="cellIs" dxfId="352" priority="14" operator="greaterThan">
      <formula>0</formula>
    </cfRule>
  </conditionalFormatting>
  <conditionalFormatting sqref="U7:U16">
    <cfRule type="cellIs" dxfId="351" priority="15" operator="lessThanOrEqual">
      <formula>0</formula>
    </cfRule>
    <cfRule type="cellIs" dxfId="350" priority="16" operator="greaterThan">
      <formula>0</formula>
    </cfRule>
  </conditionalFormatting>
  <conditionalFormatting sqref="R7:R16">
    <cfRule type="cellIs" dxfId="349" priority="17" operator="lessThanOrEqual">
      <formula>0</formula>
    </cfRule>
    <cfRule type="cellIs" dxfId="348" priority="18" operator="greaterThan">
      <formula>0</formula>
    </cfRule>
  </conditionalFormatting>
  <conditionalFormatting sqref="T21:T30">
    <cfRule type="cellIs" dxfId="347" priority="9" operator="equal">
      <formula>MAX($T$21:$T$30)</formula>
    </cfRule>
  </conditionalFormatting>
  <conditionalFormatting sqref="S33:S42">
    <cfRule type="cellIs" dxfId="346" priority="7" stopIfTrue="1" operator="lessThan">
      <formula>0</formula>
    </cfRule>
    <cfRule type="cellIs" dxfId="345" priority="8" operator="equal">
      <formula>MIN($E$21:$E$30)</formula>
    </cfRule>
  </conditionalFormatting>
  <conditionalFormatting sqref="T33:T42">
    <cfRule type="cellIs" dxfId="344" priority="6" operator="equal">
      <formula>MAX($T$21:$T$30)</formula>
    </cfRule>
  </conditionalFormatting>
  <conditionalFormatting sqref="S45:S54">
    <cfRule type="cellIs" dxfId="343" priority="4" stopIfTrue="1" operator="lessThan">
      <formula>0</formula>
    </cfRule>
    <cfRule type="cellIs" dxfId="342" priority="5" operator="equal">
      <formula>MIN($E$21:$E$30)</formula>
    </cfRule>
  </conditionalFormatting>
  <conditionalFormatting sqref="T45:T54">
    <cfRule type="cellIs" dxfId="341" priority="3" operator="equal">
      <formula>MAX($T$21:$T$30)</formula>
    </cfRule>
  </conditionalFormatting>
  <conditionalFormatting sqref="S21:S30">
    <cfRule type="cellIs" dxfId="340" priority="1" stopIfTrue="1" operator="lessThan">
      <formula>0</formula>
    </cfRule>
    <cfRule type="cellIs" dxfId="339" priority="2" operator="equal">
      <formula>MIN($E$21:$E$30)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>
    <pageSetUpPr fitToPage="1"/>
  </sheetPr>
  <dimension ref="A1:W54"/>
  <sheetViews>
    <sheetView workbookViewId="0">
      <selection activeCell="C7" sqref="C7:C16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0.99999999999999956</v>
      </c>
    </row>
    <row r="2" spans="1:23" x14ac:dyDescent="0.2">
      <c r="A2" t="s">
        <v>40</v>
      </c>
      <c r="B2" s="149" t="s">
        <v>125</v>
      </c>
      <c r="C2" s="155">
        <f>Analysis!B32</f>
        <v>0.31940230071408621</v>
      </c>
      <c r="D2" s="149" t="s">
        <v>126</v>
      </c>
      <c r="E2" s="155">
        <f>Analysis!M32</f>
        <v>0.68059769928591329</v>
      </c>
      <c r="F2" s="149" t="s">
        <v>47</v>
      </c>
      <c r="G2" s="155">
        <f>Analysis!S32</f>
        <v>12.554910040159815</v>
      </c>
      <c r="H2" t="s">
        <v>156</v>
      </c>
      <c r="I2" s="169">
        <f>Analysis!T32</f>
        <v>-12.650990494793831</v>
      </c>
      <c r="J2" t="s">
        <v>48</v>
      </c>
      <c r="K2" s="169">
        <f>C2*G2+E2*I2</f>
        <v>-4.6001678723592141</v>
      </c>
      <c r="L2" t="s">
        <v>47</v>
      </c>
      <c r="M2" s="176">
        <v>2</v>
      </c>
      <c r="N2" t="s">
        <v>156</v>
      </c>
      <c r="O2" s="176">
        <v>9</v>
      </c>
    </row>
    <row r="4" spans="1:23" x14ac:dyDescent="0.2">
      <c r="A4" t="s">
        <v>123</v>
      </c>
      <c r="B4">
        <f>$C$2</f>
        <v>0.31940230071408621</v>
      </c>
      <c r="C4" t="s">
        <v>124</v>
      </c>
      <c r="D4">
        <f>$E$2</f>
        <v>0.68059769928591329</v>
      </c>
      <c r="E4" t="s">
        <v>47</v>
      </c>
      <c r="F4">
        <f>G2</f>
        <v>12.554910040159815</v>
      </c>
      <c r="G4" t="s">
        <v>156</v>
      </c>
      <c r="H4">
        <f>I2</f>
        <v>-12.650990494793831</v>
      </c>
      <c r="I4" t="s">
        <v>48</v>
      </c>
      <c r="J4">
        <f>K2</f>
        <v>-4.6001678723592141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60">
        <v>-10</v>
      </c>
      <c r="N6" s="104" t="s">
        <v>136</v>
      </c>
      <c r="R6" s="188" t="s">
        <v>49</v>
      </c>
      <c r="S6" s="164" t="s">
        <v>130</v>
      </c>
      <c r="T6" s="165" t="s">
        <v>137</v>
      </c>
      <c r="U6" s="268" t="s">
        <v>48</v>
      </c>
      <c r="V6" s="175" t="s">
        <v>47</v>
      </c>
      <c r="W6" s="168" t="s">
        <v>156</v>
      </c>
    </row>
    <row r="7" spans="1:23" x14ac:dyDescent="0.2">
      <c r="A7" s="101">
        <v>1</v>
      </c>
      <c r="B7" s="95">
        <f>C7*B4</f>
        <v>0.31940230071408621</v>
      </c>
      <c r="C7" s="95">
        <v>1</v>
      </c>
      <c r="D7" s="22">
        <f>C7*D4</f>
        <v>0.68059769928591329</v>
      </c>
      <c r="E7" s="2"/>
      <c r="F7" s="2"/>
      <c r="G7" s="2"/>
      <c r="H7" s="2"/>
      <c r="I7" s="2"/>
      <c r="J7" s="2"/>
      <c r="K7" s="2"/>
      <c r="L7" s="2"/>
      <c r="M7" s="261"/>
      <c r="N7" s="96">
        <f>B7+D7</f>
        <v>0.99999999999999956</v>
      </c>
      <c r="R7" s="189">
        <f>B7-D7</f>
        <v>-0.36119539857182709</v>
      </c>
      <c r="S7" s="109">
        <f>SUM(C7)*$B$4*$F$4</f>
        <v>4.0100671520854254</v>
      </c>
      <c r="T7" s="263">
        <f>SUM(C7)*$D$4*$H$4</f>
        <v>-8.6102350244446395</v>
      </c>
      <c r="U7" s="265">
        <f>S7+T7</f>
        <v>-4.6001678723592141</v>
      </c>
      <c r="V7" s="109">
        <f>(U7+W7*D7)/B7</f>
        <v>-12.271577769822999</v>
      </c>
      <c r="W7" s="57">
        <f>COUNT(D7:M7)</f>
        <v>1</v>
      </c>
    </row>
    <row r="8" spans="1:23" x14ac:dyDescent="0.2">
      <c r="A8" s="99">
        <v>2</v>
      </c>
      <c r="B8" s="97">
        <f>C8*B4</f>
        <v>0.40812159851640584</v>
      </c>
      <c r="C8" s="97">
        <f>1/(1-B4*D4*C7)</f>
        <v>1.2777666209791549</v>
      </c>
      <c r="D8" s="144">
        <f>C8*D4</f>
        <v>0.86964502246274844</v>
      </c>
      <c r="E8" s="1">
        <f>D8*D4</f>
        <v>0.59187840148359294</v>
      </c>
      <c r="F8" s="1"/>
      <c r="G8" s="1"/>
      <c r="H8" s="1"/>
      <c r="I8" s="1"/>
      <c r="J8" s="1"/>
      <c r="K8" s="1"/>
      <c r="L8" s="1"/>
      <c r="M8" s="262"/>
      <c r="N8" s="97">
        <f>B8+E8</f>
        <v>0.99999999999999878</v>
      </c>
      <c r="R8" s="190">
        <f>B8-E8</f>
        <v>-0.18375680296718711</v>
      </c>
      <c r="S8" s="93">
        <f>SUM(C8:D8)*$B$4*$F$4</f>
        <v>8.6112648933721569</v>
      </c>
      <c r="T8" s="262">
        <f>SUM(C8:D8)*$D$4*$H$4</f>
        <v>-18.489718944263696</v>
      </c>
      <c r="U8" s="266">
        <f>S8+T8</f>
        <v>-9.8784540508915395</v>
      </c>
      <c r="V8" s="93">
        <f>(U8+W8*E8)/B8</f>
        <v>-21.304183065858592</v>
      </c>
      <c r="W8" s="9">
        <f>COUNT(D8:M8)</f>
        <v>2</v>
      </c>
    </row>
    <row r="9" spans="1:23" x14ac:dyDescent="0.2">
      <c r="A9" s="99">
        <v>3</v>
      </c>
      <c r="B9" s="97">
        <f>C9*B4</f>
        <v>0.44224250774328683</v>
      </c>
      <c r="C9" s="97">
        <f>1/(1-D4*B4*C8)</f>
        <v>1.384593995580393</v>
      </c>
      <c r="D9" s="144">
        <f>C9*D4*C8</f>
        <v>1.2041052763882973</v>
      </c>
      <c r="E9" s="1">
        <f>D9*(D4)</f>
        <v>0.81951128080790392</v>
      </c>
      <c r="F9" s="1">
        <f>E9*D4</f>
        <v>0.55775749225671145</v>
      </c>
      <c r="G9" s="1"/>
      <c r="H9" s="1"/>
      <c r="I9" s="1"/>
      <c r="J9" s="1"/>
      <c r="K9" s="1"/>
      <c r="L9" s="1"/>
      <c r="M9" s="262"/>
      <c r="N9" s="97">
        <f>B9+F9</f>
        <v>0.99999999999999822</v>
      </c>
      <c r="R9" s="190">
        <f>B9-F9</f>
        <v>-0.11551498451342462</v>
      </c>
      <c r="S9" s="93">
        <f>SUM(C9:E9)*$B$4*$F$4</f>
        <v>13.667153185080331</v>
      </c>
      <c r="T9" s="262">
        <f>SUM(C9:E9)*$D$4*$H$4</f>
        <v>-29.345493872198855</v>
      </c>
      <c r="U9" s="266">
        <f t="shared" ref="U9:U16" si="0">S9+T9</f>
        <v>-15.678340687118524</v>
      </c>
      <c r="V9" s="93">
        <f>(U9+W9*F9)/B9</f>
        <v>-31.668299553144855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0.45693473681439534</v>
      </c>
      <c r="C10" s="97">
        <f>1/(1-D4*B4*C9)</f>
        <v>1.4305931290815017</v>
      </c>
      <c r="D10" s="144">
        <f>C10*D4*C9</f>
        <v>1.3481215636794934</v>
      </c>
      <c r="E10" s="1">
        <f>D10*D4*C8</f>
        <v>1.1723872075285686</v>
      </c>
      <c r="F10" s="1">
        <f>E10*D4</f>
        <v>0.79792403611618035</v>
      </c>
      <c r="G10" s="1">
        <f>F10*D4</f>
        <v>0.54306526318560233</v>
      </c>
      <c r="H10" s="1"/>
      <c r="I10" s="1"/>
      <c r="J10" s="1"/>
      <c r="K10" s="1"/>
      <c r="L10" s="1"/>
      <c r="M10" s="262"/>
      <c r="N10" s="97">
        <f>B10+G10</f>
        <v>0.99999999999999767</v>
      </c>
      <c r="R10" s="190">
        <f>B10-G10</f>
        <v>-8.6130526371206995E-2</v>
      </c>
      <c r="S10" s="93">
        <f>SUM(C10:F10)*$B$4*$F$4</f>
        <v>19.0439129119824</v>
      </c>
      <c r="T10" s="262">
        <f>SUM(C10:F10)*$D$4*$H$4</f>
        <v>-40.890229449636735</v>
      </c>
      <c r="U10" s="266">
        <f t="shared" si="0"/>
        <v>-21.846316537654335</v>
      </c>
      <c r="V10" s="93">
        <f>(U10+W10*G10)/B10</f>
        <v>-43.056598458837307</v>
      </c>
      <c r="W10" s="9">
        <f t="shared" si="1"/>
        <v>4</v>
      </c>
    </row>
    <row r="11" spans="1:23" x14ac:dyDescent="0.2">
      <c r="A11" s="99">
        <v>5</v>
      </c>
      <c r="B11" s="97">
        <f>C11*B4</f>
        <v>0.46356614891376596</v>
      </c>
      <c r="C11" s="97">
        <f>1/(1-D4*B4*C10)</f>
        <v>1.451355071260831</v>
      </c>
      <c r="D11" s="144">
        <f>C11*D4*C10</f>
        <v>1.4131240452925311</v>
      </c>
      <c r="E11" s="1">
        <f>D11*D4*C9</f>
        <v>1.3316595465798058</v>
      </c>
      <c r="F11" s="1">
        <f>E11*D4*C8</f>
        <v>1.1580710962981287</v>
      </c>
      <c r="G11" s="1">
        <f>F11*D4</f>
        <v>0.78818052375002168</v>
      </c>
      <c r="H11" s="1">
        <f>G11*D4</f>
        <v>0.53643385108623087</v>
      </c>
      <c r="I11" s="1"/>
      <c r="J11" s="1"/>
      <c r="K11" s="1"/>
      <c r="L11" s="1"/>
      <c r="M11" s="262"/>
      <c r="N11" s="97">
        <f>B11+H11</f>
        <v>0.99999999999999689</v>
      </c>
      <c r="R11" s="190">
        <f>B11-H11</f>
        <v>-7.286770217246491E-2</v>
      </c>
      <c r="S11" s="93">
        <f>SUM(C11:G11)*$B$4*$F$4</f>
        <v>24.631397509874091</v>
      </c>
      <c r="T11" s="262">
        <f>SUM(C11:G11)*$D$4*$H$4</f>
        <v>-52.887423950056203</v>
      </c>
      <c r="U11" s="266">
        <f t="shared" si="0"/>
        <v>-28.256026440182112</v>
      </c>
      <c r="V11" s="93">
        <f>(U11+W11*H11)/B11</f>
        <v>-55.167654594011964</v>
      </c>
      <c r="W11" s="9">
        <f t="shared" si="1"/>
        <v>5</v>
      </c>
    </row>
    <row r="12" spans="1:23" x14ac:dyDescent="0.2">
      <c r="A12" s="99">
        <v>6</v>
      </c>
      <c r="B12" s="97">
        <f>C12*B4</f>
        <v>0.46662273097444756</v>
      </c>
      <c r="C12" s="97">
        <f>1/(1-D4*B4*C11)</f>
        <v>1.4609247645718937</v>
      </c>
      <c r="D12" s="144">
        <f>C12*D4*C11</f>
        <v>1.4430852988266094</v>
      </c>
      <c r="E12" s="1">
        <f>D12*D4*C10</f>
        <v>1.4050721119598122</v>
      </c>
      <c r="F12" s="1">
        <f>E12*D4*C9</f>
        <v>1.3240717952237531</v>
      </c>
      <c r="G12" s="1">
        <f>F12*D4*C8</f>
        <v>1.1514724460996524</v>
      </c>
      <c r="H12" s="1">
        <f>G12*D4</f>
        <v>0.78368949760654616</v>
      </c>
      <c r="I12" s="1">
        <f>H12*D4</f>
        <v>0.53337726902554861</v>
      </c>
      <c r="J12" s="1"/>
      <c r="K12" s="1"/>
      <c r="L12" s="1"/>
      <c r="M12" s="262"/>
      <c r="N12" s="97">
        <f>B12+I12</f>
        <v>0.99999999999999623</v>
      </c>
      <c r="R12" s="190">
        <f>B12-I12</f>
        <v>-6.6754538051101042E-2</v>
      </c>
      <c r="S12" s="93">
        <f>SUM(C12:H12)*$B$4*$F$4</f>
        <v>30.349455044492746</v>
      </c>
      <c r="T12" s="262">
        <f>SUM(C12:H12)*$D$4*$H$4</f>
        <v>-65.164978761266582</v>
      </c>
      <c r="U12" s="266">
        <f t="shared" si="0"/>
        <v>-34.815523716773839</v>
      </c>
      <c r="V12" s="93">
        <f>(U12+W12*I12)/B12</f>
        <v>-67.753364772004232</v>
      </c>
      <c r="W12" s="9">
        <f t="shared" si="1"/>
        <v>6</v>
      </c>
    </row>
    <row r="13" spans="1:23" x14ac:dyDescent="0.2">
      <c r="A13" s="99">
        <v>7</v>
      </c>
      <c r="B13" s="97">
        <f>C13*B4</f>
        <v>0.46804519791351396</v>
      </c>
      <c r="C13" s="97">
        <f>1/(1-D4*B4*C12)</f>
        <v>1.4653782921009257</v>
      </c>
      <c r="D13" s="144">
        <f>C13*D4*C12</f>
        <v>1.4570286158255019</v>
      </c>
      <c r="E13" s="1">
        <f>D13*D4*C11</f>
        <v>1.4392367262551071</v>
      </c>
      <c r="F13" s="1">
        <f>E13*D4*C10</f>
        <v>1.4013249169773199</v>
      </c>
      <c r="G13" s="1">
        <f>F13*D4*C9</f>
        <v>1.3205406204567858</v>
      </c>
      <c r="H13" s="1">
        <f>G13*D4*C8</f>
        <v>1.1484015775401133</v>
      </c>
      <c r="I13" s="1">
        <f>H13*D4</f>
        <v>0.78159947153011444</v>
      </c>
      <c r="J13" s="1">
        <f>I13*D4</f>
        <v>0.5319548020864816</v>
      </c>
      <c r="K13" s="1"/>
      <c r="L13" s="1"/>
      <c r="M13" s="262"/>
      <c r="N13" s="97">
        <f>B13+J13</f>
        <v>0.99999999999999556</v>
      </c>
      <c r="R13" s="190">
        <f>B13-J13</f>
        <v>-6.3909604172967649E-2</v>
      </c>
      <c r="S13" s="93">
        <f>SUM(C13:I13)*$B$4*$F$4</f>
        <v>36.144781260958652</v>
      </c>
      <c r="T13" s="262">
        <f>SUM(C13:I13)*$D$4*$H$4</f>
        <v>-77.608441395339185</v>
      </c>
      <c r="U13" s="266">
        <f t="shared" si="0"/>
        <v>-41.463660134380532</v>
      </c>
      <c r="V13" s="93">
        <f>(U13+W13*J13)/B13</f>
        <v>-80.633188179293754</v>
      </c>
      <c r="W13" s="9">
        <f t="shared" si="1"/>
        <v>7</v>
      </c>
    </row>
    <row r="14" spans="1:23" x14ac:dyDescent="0.2">
      <c r="A14" s="99">
        <v>8</v>
      </c>
      <c r="B14" s="97">
        <f>C14*B4</f>
        <v>0.46871014450614223</v>
      </c>
      <c r="C14" s="97">
        <f>1/(1-D4*B4*C13)</f>
        <v>1.4674601386973394</v>
      </c>
      <c r="D14" s="144">
        <f>C14*D4*C13</f>
        <v>1.4635465607237048</v>
      </c>
      <c r="E14" s="1">
        <f>D14*D4*C12</f>
        <v>1.4552073215921266</v>
      </c>
      <c r="F14" s="1">
        <f>E14*D4*C11</f>
        <v>1.4374376719870445</v>
      </c>
      <c r="G14" s="1">
        <f>F14*D4*C10</f>
        <v>1.3995732526910769</v>
      </c>
      <c r="H14" s="1">
        <f>G14*D4*C9</f>
        <v>1.3188899370104534</v>
      </c>
      <c r="I14" s="1">
        <f>H14*D4*C8</f>
        <v>1.1469660688973486</v>
      </c>
      <c r="J14" s="1">
        <f>I14*D4</f>
        <v>0.78062246765054377</v>
      </c>
      <c r="K14" s="1">
        <f>J14*D4</f>
        <v>0.53128985549385233</v>
      </c>
      <c r="L14" s="1"/>
      <c r="M14" s="262"/>
      <c r="N14" s="97">
        <f>B14+K14</f>
        <v>0.99999999999999456</v>
      </c>
      <c r="R14" s="190">
        <f>B14-K14</f>
        <v>-6.2579710987710091E-2</v>
      </c>
      <c r="S14" s="93">
        <f>SUM(C14:J14)*$B$4*$F$4</f>
        <v>41.98421377360944</v>
      </c>
      <c r="T14" s="262">
        <f>SUM(C14:J14)*$D$4*$H$4</f>
        <v>-90.146607075971033</v>
      </c>
      <c r="U14" s="266">
        <f t="shared" si="0"/>
        <v>-48.162393302361593</v>
      </c>
      <c r="V14" s="93">
        <f>(U14+W14*K14)/B14</f>
        <v>-93.687057925061239</v>
      </c>
      <c r="W14" s="9">
        <f t="shared" si="1"/>
        <v>8</v>
      </c>
    </row>
    <row r="15" spans="1:23" x14ac:dyDescent="0.2">
      <c r="A15" s="99">
        <v>9</v>
      </c>
      <c r="B15" s="97">
        <f>C15*B4</f>
        <v>0.46902162899548255</v>
      </c>
      <c r="C15" s="97">
        <f>1/(1-D4*B4*C14)</f>
        <v>1.4684353492347837</v>
      </c>
      <c r="D15" s="144">
        <f>C15*D4*C14</f>
        <v>1.4665997965183877</v>
      </c>
      <c r="E15" s="1">
        <f>D15*D4*C13</f>
        <v>1.462688512996311</v>
      </c>
      <c r="F15" s="1">
        <f>E15*D4*C12</f>
        <v>1.4543541629918555</v>
      </c>
      <c r="G15" s="1">
        <f>F15*D4*C11</f>
        <v>1.4365949313726916</v>
      </c>
      <c r="H15" s="1">
        <f>G15*D4*C10</f>
        <v>1.3987527112194078</v>
      </c>
      <c r="I15" s="1">
        <f>H15*D4*C9</f>
        <v>1.318116698533794</v>
      </c>
      <c r="J15" s="1">
        <f>I15*D4*C8</f>
        <v>1.1462936259049452</v>
      </c>
      <c r="K15" s="1">
        <f>J15*D4</f>
        <v>0.78016480449701309</v>
      </c>
      <c r="L15" s="1">
        <f>K15*D4</f>
        <v>0.5309783710045114</v>
      </c>
      <c r="M15" s="262"/>
      <c r="N15" s="97">
        <f>B15+L15</f>
        <v>0.999999999999994</v>
      </c>
      <c r="R15" s="190">
        <f>B15-L15</f>
        <v>-6.1956742009028842E-2</v>
      </c>
      <c r="S15" s="93">
        <f>SUM(C15:K15)*$B$4*$F$4</f>
        <v>47.848123637732591</v>
      </c>
      <c r="T15" s="262">
        <f>SUM(C15:K15)*$D$4*$H$4</f>
        <v>-102.73732941986059</v>
      </c>
      <c r="U15" s="266">
        <f t="shared" si="0"/>
        <v>-54.889205782127995</v>
      </c>
      <c r="V15" s="93">
        <f>(U15+W15*L15)/B15</f>
        <v>-106.8402763224594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0.46916768177323587</v>
      </c>
      <c r="C16" s="145">
        <f>1/(1-D4*B4*C15)</f>
        <v>1.4688926182570379</v>
      </c>
      <c r="D16" s="153">
        <f>C16*D4*C15</f>
        <v>1.4680314362443128</v>
      </c>
      <c r="E16" s="111">
        <f>D16*D4*C14</f>
        <v>1.4661963884215012</v>
      </c>
      <c r="F16" s="111">
        <f>E16*D4*C13</f>
        <v>1.4622861807508232</v>
      </c>
      <c r="G16" s="111">
        <f>F16*D4*C12</f>
        <v>1.453954123221985</v>
      </c>
      <c r="H16" s="111">
        <f>G16*D4*C11</f>
        <v>1.4361997765195151</v>
      </c>
      <c r="I16" s="111">
        <f>H16*D4*C10</f>
        <v>1.3983679653803676</v>
      </c>
      <c r="J16" s="111">
        <f>I16*D4*C9</f>
        <v>1.3177541327199354</v>
      </c>
      <c r="K16" s="111">
        <f>J16*D4*C8</f>
        <v>1.1459783223496078</v>
      </c>
      <c r="L16" s="111">
        <f>K16*D4</f>
        <v>0.77995020962267381</v>
      </c>
      <c r="M16" s="264">
        <f>L16*D4</f>
        <v>0.53083231822675758</v>
      </c>
      <c r="N16" s="145">
        <f>B16+M16</f>
        <v>0.99999999999999345</v>
      </c>
      <c r="R16" s="191">
        <f>B16-M16</f>
        <v>-6.1664636453521715E-2</v>
      </c>
      <c r="S16" s="94">
        <f>SUM(C16:L16)*$B$4*$F$4</f>
        <v>53.725320403014592</v>
      </c>
      <c r="T16" s="264">
        <f>SUM(C16:L16)*$D$4*$H$4</f>
        <v>-115.35658079765047</v>
      </c>
      <c r="U16" s="267">
        <f t="shared" si="0"/>
        <v>-61.631260394635873</v>
      </c>
      <c r="V16" s="94">
        <f>(U16+W16*M16)/B16</f>
        <v>-120.04862952088635</v>
      </c>
      <c r="W16" s="10">
        <f t="shared" si="1"/>
        <v>10</v>
      </c>
    </row>
    <row r="18" spans="1:21" x14ac:dyDescent="0.2">
      <c r="A18" s="356" t="s">
        <v>200</v>
      </c>
      <c r="B18" s="356"/>
      <c r="C18" s="356"/>
      <c r="D18" s="356"/>
      <c r="E18" s="356"/>
      <c r="F18" s="356"/>
      <c r="O18" s="356" t="s">
        <v>201</v>
      </c>
      <c r="P18" s="356"/>
      <c r="Q18" s="356"/>
      <c r="R18" s="356"/>
      <c r="S18" s="356"/>
      <c r="T18" s="356"/>
    </row>
    <row r="19" spans="1:21" ht="17" thickBot="1" x14ac:dyDescent="0.25"/>
    <row r="20" spans="1:21" ht="17" thickBot="1" x14ac:dyDescent="0.25">
      <c r="A20" s="29" t="s">
        <v>135</v>
      </c>
      <c r="B20" s="19" t="s">
        <v>140</v>
      </c>
      <c r="C20" s="19" t="s">
        <v>139</v>
      </c>
      <c r="D20" s="19" t="s">
        <v>138</v>
      </c>
      <c r="E20" s="167" t="s">
        <v>151</v>
      </c>
      <c r="F20" s="168" t="s">
        <v>152</v>
      </c>
      <c r="G20" s="166" t="s">
        <v>47</v>
      </c>
      <c r="O20" s="29" t="s">
        <v>135</v>
      </c>
      <c r="P20" s="118" t="s">
        <v>140</v>
      </c>
      <c r="Q20" s="118" t="s">
        <v>139</v>
      </c>
      <c r="R20" s="118" t="s">
        <v>138</v>
      </c>
      <c r="S20" s="166" t="s">
        <v>151</v>
      </c>
      <c r="T20" s="168" t="s">
        <v>152</v>
      </c>
      <c r="U20" s="293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9</v>
      </c>
      <c r="D21" s="57">
        <f>SUM($C$21:C21)</f>
        <v>9</v>
      </c>
      <c r="E21" s="57">
        <f t="shared" ref="E21:E30" si="3">D21/R7</f>
        <v>-24.917260949575098</v>
      </c>
      <c r="F21" s="8">
        <f t="shared" ref="F21:F30" si="4">U7/E21</f>
        <v>0.1846177186837889</v>
      </c>
      <c r="G21" s="286">
        <f>E21*U7</f>
        <v>114.62358328742621</v>
      </c>
      <c r="O21" s="101">
        <v>1</v>
      </c>
      <c r="P21" s="109">
        <v>1</v>
      </c>
      <c r="Q21" s="110">
        <f>P21*9+36</f>
        <v>45</v>
      </c>
      <c r="R21" s="57">
        <f>SUM($Q$21)</f>
        <v>45</v>
      </c>
      <c r="S21" s="281">
        <f>R21/R7</f>
        <v>-124.58630474787549</v>
      </c>
      <c r="T21" s="8">
        <f>U7/S21</f>
        <v>3.6923543736757783E-2</v>
      </c>
      <c r="U21" s="286">
        <f>S21*U7</f>
        <v>573.11791643713104</v>
      </c>
    </row>
    <row r="22" spans="1:21" x14ac:dyDescent="0.2">
      <c r="A22" s="97">
        <v>2</v>
      </c>
      <c r="B22" s="93">
        <f>C21</f>
        <v>9</v>
      </c>
      <c r="C22" s="1">
        <f t="shared" si="2"/>
        <v>81</v>
      </c>
      <c r="D22" s="9">
        <f>SUM($C$21:C22)</f>
        <v>90</v>
      </c>
      <c r="E22" s="9">
        <f t="shared" si="3"/>
        <v>-489.77778534855673</v>
      </c>
      <c r="F22" s="9">
        <f t="shared" si="4"/>
        <v>2.0169257051667645E-2</v>
      </c>
      <c r="G22" s="287">
        <f t="shared" ref="G22:G30" si="5">E22*U8</f>
        <v>4838.2473477131371</v>
      </c>
      <c r="O22" s="99">
        <v>2</v>
      </c>
      <c r="P22" s="93">
        <f>Q21</f>
        <v>45</v>
      </c>
      <c r="Q22" s="1">
        <f t="shared" ref="Q22:Q30" si="6">P22*9+36</f>
        <v>441</v>
      </c>
      <c r="R22" s="9">
        <f>SUM($Q$21:Q22)</f>
        <v>486</v>
      </c>
      <c r="S22" s="282">
        <f t="shared" ref="S22:S30" si="7">R22/R8</f>
        <v>-2644.8000408822063</v>
      </c>
      <c r="T22" s="9">
        <f>U8/S22</f>
        <v>3.7350476021606751E-3</v>
      </c>
      <c r="U22" s="287">
        <f t="shared" ref="U22:U30" si="8">S22*U8</f>
        <v>26126.53567765094</v>
      </c>
    </row>
    <row r="23" spans="1:21" x14ac:dyDescent="0.2">
      <c r="A23" s="97">
        <v>3</v>
      </c>
      <c r="B23" s="93">
        <f t="shared" ref="B23:B30" si="9">C22</f>
        <v>81</v>
      </c>
      <c r="C23" s="1">
        <f t="shared" si="2"/>
        <v>729</v>
      </c>
      <c r="D23" s="9">
        <f>SUM($C$21:C23)</f>
        <v>819</v>
      </c>
      <c r="E23" s="9">
        <f t="shared" si="3"/>
        <v>-7089.9892637289804</v>
      </c>
      <c r="F23" s="9">
        <f t="shared" si="4"/>
        <v>2.2113348982523706E-3</v>
      </c>
      <c r="G23" s="287">
        <f t="shared" si="5"/>
        <v>111159.26714475558</v>
      </c>
      <c r="O23" s="99">
        <v>3</v>
      </c>
      <c r="P23" s="93">
        <f t="shared" ref="P23:P30" si="10">Q22</f>
        <v>441</v>
      </c>
      <c r="Q23" s="1">
        <f t="shared" si="6"/>
        <v>4005</v>
      </c>
      <c r="R23" s="9">
        <f>SUM($Q$21:Q23)</f>
        <v>4491</v>
      </c>
      <c r="S23" s="282">
        <f t="shared" si="7"/>
        <v>-38878.072995612762</v>
      </c>
      <c r="T23" s="9">
        <f t="shared" ref="T23:T30" si="11">U9/S23</f>
        <v>4.0326949046285711E-4</v>
      </c>
      <c r="U23" s="287">
        <f t="shared" si="8"/>
        <v>609543.67368387955</v>
      </c>
    </row>
    <row r="24" spans="1:21" x14ac:dyDescent="0.2">
      <c r="A24" s="97">
        <v>4</v>
      </c>
      <c r="B24" s="93">
        <f t="shared" si="9"/>
        <v>729</v>
      </c>
      <c r="C24" s="1">
        <f t="shared" si="2"/>
        <v>6561</v>
      </c>
      <c r="D24" s="9">
        <f>SUM($C$21:C24)</f>
        <v>7380</v>
      </c>
      <c r="E24" s="9">
        <f t="shared" si="3"/>
        <v>-85683.906867044265</v>
      </c>
      <c r="F24" s="9">
        <f t="shared" si="4"/>
        <v>2.5496405727102602E-4</v>
      </c>
      <c r="G24" s="287">
        <f t="shared" si="5"/>
        <v>1871877.751600343</v>
      </c>
      <c r="O24" s="99">
        <v>4</v>
      </c>
      <c r="P24" s="93">
        <f t="shared" si="10"/>
        <v>4005</v>
      </c>
      <c r="Q24" s="1">
        <f t="shared" si="6"/>
        <v>36081</v>
      </c>
      <c r="R24" s="9">
        <f>SUM($Q$21:Q24)</f>
        <v>40572</v>
      </c>
      <c r="S24" s="282">
        <f t="shared" si="7"/>
        <v>-471052.50263004337</v>
      </c>
      <c r="T24" s="9">
        <f t="shared" si="11"/>
        <v>4.6377667915315293E-5</v>
      </c>
      <c r="U24" s="287">
        <f t="shared" si="8"/>
        <v>10290762.078310179</v>
      </c>
    </row>
    <row r="25" spans="1:21" x14ac:dyDescent="0.2">
      <c r="A25" s="97">
        <v>5</v>
      </c>
      <c r="B25" s="93">
        <f t="shared" si="9"/>
        <v>6561</v>
      </c>
      <c r="C25" s="1">
        <f t="shared" si="2"/>
        <v>59049</v>
      </c>
      <c r="D25" s="9">
        <f>SUM($C$21:C25)</f>
        <v>66429</v>
      </c>
      <c r="E25" s="9">
        <f t="shared" si="3"/>
        <v>-911638.46285113192</v>
      </c>
      <c r="F25" s="9">
        <f t="shared" si="4"/>
        <v>3.099477215102567E-5</v>
      </c>
      <c r="G25" s="287">
        <f t="shared" si="5"/>
        <v>25759280.510208562</v>
      </c>
      <c r="O25" s="99">
        <v>5</v>
      </c>
      <c r="P25" s="93">
        <f t="shared" si="10"/>
        <v>36081</v>
      </c>
      <c r="Q25" s="1">
        <f t="shared" si="6"/>
        <v>324765</v>
      </c>
      <c r="R25" s="9">
        <f>SUM($Q$21:Q25)</f>
        <v>365337</v>
      </c>
      <c r="S25" s="282">
        <f t="shared" si="7"/>
        <v>-5013702.7669036714</v>
      </c>
      <c r="T25" s="9">
        <f t="shared" si="11"/>
        <v>5.6357601864045638E-6</v>
      </c>
      <c r="U25" s="287">
        <f t="shared" si="8"/>
        <v>141667317.94484434</v>
      </c>
    </row>
    <row r="26" spans="1:21" x14ac:dyDescent="0.2">
      <c r="A26" s="97">
        <v>6</v>
      </c>
      <c r="B26" s="93">
        <f t="shared" si="9"/>
        <v>59049</v>
      </c>
      <c r="C26" s="1">
        <f t="shared" si="2"/>
        <v>531441</v>
      </c>
      <c r="D26" s="9">
        <f>SUM($C$21:C26)</f>
        <v>597870</v>
      </c>
      <c r="E26" s="9">
        <f t="shared" si="3"/>
        <v>-8956245.0352412984</v>
      </c>
      <c r="F26" s="9">
        <f t="shared" si="4"/>
        <v>3.8872902181417195E-6</v>
      </c>
      <c r="G26" s="287">
        <f t="shared" si="5"/>
        <v>311816361.43768138</v>
      </c>
      <c r="O26" s="99">
        <v>6</v>
      </c>
      <c r="P26" s="93">
        <f t="shared" si="10"/>
        <v>324765</v>
      </c>
      <c r="Q26" s="1">
        <f t="shared" si="6"/>
        <v>2922921</v>
      </c>
      <c r="R26" s="9">
        <f>SUM($Q$21:Q26)</f>
        <v>3288258</v>
      </c>
      <c r="S26" s="282">
        <f t="shared" si="7"/>
        <v>-49258943.226943113</v>
      </c>
      <c r="T26" s="9">
        <f t="shared" si="11"/>
        <v>7.0678584305744562E-7</v>
      </c>
      <c r="U26" s="287">
        <f t="shared" si="8"/>
        <v>1714975906.1808541</v>
      </c>
    </row>
    <row r="27" spans="1:21" x14ac:dyDescent="0.2">
      <c r="A27" s="97">
        <v>7</v>
      </c>
      <c r="B27" s="93">
        <f t="shared" si="9"/>
        <v>531441</v>
      </c>
      <c r="C27" s="1">
        <f t="shared" si="2"/>
        <v>4782969</v>
      </c>
      <c r="D27" s="9">
        <f>SUM($C$21:C27)</f>
        <v>5380839</v>
      </c>
      <c r="E27" s="9">
        <f t="shared" si="3"/>
        <v>-84194528.657024235</v>
      </c>
      <c r="F27" s="9">
        <f t="shared" si="4"/>
        <v>4.9247452056281893E-7</v>
      </c>
      <c r="G27" s="287">
        <f t="shared" si="5"/>
        <v>3491013321.409215</v>
      </c>
      <c r="O27" s="99">
        <v>7</v>
      </c>
      <c r="P27" s="93">
        <f t="shared" si="10"/>
        <v>2922921</v>
      </c>
      <c r="Q27" s="1">
        <f t="shared" si="6"/>
        <v>26306325</v>
      </c>
      <c r="R27" s="9">
        <f>SUM($Q$21:Q27)</f>
        <v>29594583</v>
      </c>
      <c r="S27" s="282">
        <f t="shared" si="7"/>
        <v>-463069414.72996724</v>
      </c>
      <c r="T27" s="9">
        <f t="shared" si="11"/>
        <v>8.9540917226328829E-8</v>
      </c>
      <c r="U27" s="287">
        <f t="shared" si="8"/>
        <v>19200552830.989868</v>
      </c>
    </row>
    <row r="28" spans="1:21" x14ac:dyDescent="0.2">
      <c r="A28" s="97">
        <v>8</v>
      </c>
      <c r="B28" s="93">
        <f t="shared" si="9"/>
        <v>4782969</v>
      </c>
      <c r="C28" s="1">
        <f t="shared" si="2"/>
        <v>43046721</v>
      </c>
      <c r="D28" s="9">
        <f>SUM($C$21:C28)</f>
        <v>48427560</v>
      </c>
      <c r="E28" s="9">
        <f t="shared" si="3"/>
        <v>-773854005.32627249</v>
      </c>
      <c r="F28" s="9">
        <f t="shared" si="4"/>
        <v>6.2237053721852036E-8</v>
      </c>
      <c r="G28" s="287">
        <f t="shared" si="5"/>
        <v>37270660963.13176</v>
      </c>
      <c r="O28" s="99">
        <v>8</v>
      </c>
      <c r="P28" s="93">
        <f t="shared" si="10"/>
        <v>26306325</v>
      </c>
      <c r="Q28" s="1">
        <f t="shared" si="6"/>
        <v>236756961</v>
      </c>
      <c r="R28" s="9">
        <f>SUM($Q$21:Q28)</f>
        <v>266351544</v>
      </c>
      <c r="S28" s="282">
        <f t="shared" si="7"/>
        <v>-4256196454.0281796</v>
      </c>
      <c r="T28" s="9">
        <f t="shared" si="11"/>
        <v>1.1315829478871774E-8</v>
      </c>
      <c r="U28" s="287">
        <f t="shared" si="8"/>
        <v>204988607591.02197</v>
      </c>
    </row>
    <row r="29" spans="1:21" x14ac:dyDescent="0.2">
      <c r="A29" s="97">
        <v>9</v>
      </c>
      <c r="B29" s="93">
        <f t="shared" si="9"/>
        <v>43046721</v>
      </c>
      <c r="C29" s="1">
        <f t="shared" si="2"/>
        <v>387420489</v>
      </c>
      <c r="D29" s="9">
        <f>SUM($C$21:C29)</f>
        <v>435848049</v>
      </c>
      <c r="E29" s="9">
        <f t="shared" si="3"/>
        <v>-7034715429.9444065</v>
      </c>
      <c r="F29" s="9">
        <f t="shared" si="4"/>
        <v>7.8026192144863725E-9</v>
      </c>
      <c r="G29" s="287">
        <f t="shared" si="5"/>
        <v>386129942852.92957</v>
      </c>
      <c r="O29" s="99">
        <v>9</v>
      </c>
      <c r="P29" s="93">
        <f t="shared" si="10"/>
        <v>236756961</v>
      </c>
      <c r="Q29" s="1">
        <f t="shared" si="6"/>
        <v>2130812685</v>
      </c>
      <c r="R29" s="9">
        <f>SUM($Q$21:Q29)</f>
        <v>2397164229</v>
      </c>
      <c r="S29" s="282">
        <f t="shared" si="7"/>
        <v>-38690934211.012352</v>
      </c>
      <c r="T29" s="9">
        <f t="shared" si="11"/>
        <v>1.4186580629656968E-9</v>
      </c>
      <c r="U29" s="287">
        <f t="shared" si="8"/>
        <v>2123714649811.033</v>
      </c>
    </row>
    <row r="30" spans="1:21" ht="17" thickBot="1" x14ac:dyDescent="0.25">
      <c r="A30" s="145">
        <v>10</v>
      </c>
      <c r="B30" s="94">
        <f t="shared" si="9"/>
        <v>387420489</v>
      </c>
      <c r="C30" s="111">
        <f t="shared" si="2"/>
        <v>3486784401</v>
      </c>
      <c r="D30" s="10">
        <f>SUM($C$21:C30)</f>
        <v>3922632450</v>
      </c>
      <c r="E30" s="10">
        <f t="shared" si="3"/>
        <v>-63612350215.61496</v>
      </c>
      <c r="F30" s="10">
        <f t="shared" si="4"/>
        <v>9.6885683653780813E-10</v>
      </c>
      <c r="G30" s="288">
        <f t="shared" si="5"/>
        <v>3920509320453.3369</v>
      </c>
      <c r="O30" s="100">
        <v>10</v>
      </c>
      <c r="P30" s="94">
        <f t="shared" si="10"/>
        <v>2130812685</v>
      </c>
      <c r="Q30" s="111">
        <f t="shared" si="6"/>
        <v>19177314201</v>
      </c>
      <c r="R30" s="10">
        <f>SUM($Q$21:Q30)</f>
        <v>21574478430</v>
      </c>
      <c r="S30" s="283">
        <f t="shared" si="7"/>
        <v>-349867925456.12848</v>
      </c>
      <c r="T30" s="10">
        <f t="shared" si="11"/>
        <v>1.7615578882884507E-10</v>
      </c>
      <c r="U30" s="288">
        <f t="shared" si="8"/>
        <v>21562801217517.707</v>
      </c>
    </row>
    <row r="31" spans="1:21" ht="17" thickBot="1" x14ac:dyDescent="0.25"/>
    <row r="32" spans="1:21" ht="17" thickBot="1" x14ac:dyDescent="0.25">
      <c r="A32" s="117" t="s">
        <v>135</v>
      </c>
      <c r="B32" s="118" t="s">
        <v>140</v>
      </c>
      <c r="C32" s="118" t="s">
        <v>139</v>
      </c>
      <c r="D32" s="170" t="s">
        <v>138</v>
      </c>
      <c r="E32" s="167" t="s">
        <v>151</v>
      </c>
      <c r="F32" s="168" t="s">
        <v>152</v>
      </c>
      <c r="G32" s="290" t="s">
        <v>47</v>
      </c>
      <c r="O32" s="29" t="s">
        <v>135</v>
      </c>
      <c r="P32" s="118" t="s">
        <v>140</v>
      </c>
      <c r="Q32" s="118" t="s">
        <v>139</v>
      </c>
      <c r="R32" s="118" t="s">
        <v>138</v>
      </c>
      <c r="S32" s="166" t="s">
        <v>151</v>
      </c>
      <c r="T32" s="168" t="s">
        <v>152</v>
      </c>
      <c r="U32" s="294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9</v>
      </c>
      <c r="D33" s="57">
        <f>SUM($C$33:C33)</f>
        <v>9</v>
      </c>
      <c r="E33" s="9">
        <f t="shared" ref="E33:E42" si="13">D33/R7</f>
        <v>-24.917260949575098</v>
      </c>
      <c r="F33" s="8">
        <f t="shared" ref="F33:F42" si="14">U7/E33</f>
        <v>0.1846177186837889</v>
      </c>
      <c r="G33" s="289">
        <f>E33*U7</f>
        <v>114.62358328742621</v>
      </c>
      <c r="O33" s="101">
        <v>1</v>
      </c>
      <c r="P33" s="109">
        <v>1</v>
      </c>
      <c r="Q33" s="110">
        <f>P33*9+36</f>
        <v>45</v>
      </c>
      <c r="R33" s="57">
        <f>SUM($Q$21)</f>
        <v>45</v>
      </c>
      <c r="S33" s="281">
        <f>R33/R7</f>
        <v>-124.58630474787549</v>
      </c>
      <c r="T33" s="8">
        <f>U7/S33</f>
        <v>3.6923543736757783E-2</v>
      </c>
      <c r="U33" s="289">
        <f>S33*U7</f>
        <v>573.11791643713104</v>
      </c>
    </row>
    <row r="34" spans="1:21" x14ac:dyDescent="0.2">
      <c r="A34" s="97">
        <v>2</v>
      </c>
      <c r="B34" s="93">
        <f t="shared" ref="B34:B42" si="15">B33*($O$2+1)</f>
        <v>10</v>
      </c>
      <c r="C34" s="1">
        <f t="shared" si="12"/>
        <v>90</v>
      </c>
      <c r="D34" s="9">
        <f>SUM($C$33:C34)</f>
        <v>99</v>
      </c>
      <c r="E34" s="9">
        <f t="shared" si="13"/>
        <v>-538.75556388341238</v>
      </c>
      <c r="F34" s="9">
        <f t="shared" si="14"/>
        <v>1.8335688228788768E-2</v>
      </c>
      <c r="G34" s="287">
        <f t="shared" ref="G34:G42" si="16">E34*U8</f>
        <v>5322.0720824844502</v>
      </c>
      <c r="O34" s="99">
        <v>2</v>
      </c>
      <c r="P34" s="93">
        <f>Q33+1</f>
        <v>46</v>
      </c>
      <c r="Q34" s="1">
        <f t="shared" ref="Q34:Q42" si="17">P34*9+36</f>
        <v>450</v>
      </c>
      <c r="R34" s="9">
        <f>SUM($Q$33:Q34)</f>
        <v>495</v>
      </c>
      <c r="S34" s="282">
        <f>R34/R8</f>
        <v>-2693.7778194170619</v>
      </c>
      <c r="T34" s="9">
        <f t="shared" ref="T34:T42" si="18">U8/S34</f>
        <v>3.6671376457577537E-3</v>
      </c>
      <c r="U34" s="287">
        <f t="shared" ref="U34:U42" si="19">S34*U8</f>
        <v>26610.360412422255</v>
      </c>
    </row>
    <row r="35" spans="1:21" x14ac:dyDescent="0.2">
      <c r="A35" s="97">
        <v>3</v>
      </c>
      <c r="B35" s="93">
        <f t="shared" si="15"/>
        <v>100</v>
      </c>
      <c r="C35" s="1">
        <f t="shared" si="12"/>
        <v>900</v>
      </c>
      <c r="D35" s="9">
        <f>SUM($C$33:C35)</f>
        <v>999</v>
      </c>
      <c r="E35" s="9">
        <f t="shared" si="13"/>
        <v>-8648.2286623507334</v>
      </c>
      <c r="F35" s="9">
        <f t="shared" si="14"/>
        <v>1.8128961778465381E-3</v>
      </c>
      <c r="G35" s="287">
        <f t="shared" si="16"/>
        <v>135589.87530843812</v>
      </c>
      <c r="O35" s="99">
        <v>3</v>
      </c>
      <c r="P35" s="93">
        <f t="shared" ref="P35:P42" si="20">Q34+1</f>
        <v>451</v>
      </c>
      <c r="Q35" s="1">
        <f t="shared" si="17"/>
        <v>4095</v>
      </c>
      <c r="R35" s="9">
        <f>SUM($Q$33:Q35)</f>
        <v>4590</v>
      </c>
      <c r="S35" s="282">
        <f t="shared" ref="S35:S42" si="21">R35/R9</f>
        <v>-39735.104664854727</v>
      </c>
      <c r="T35" s="9">
        <f t="shared" si="18"/>
        <v>3.9457152106071706E-4</v>
      </c>
      <c r="U35" s="287">
        <f t="shared" si="19"/>
        <v>622980.50817390496</v>
      </c>
    </row>
    <row r="36" spans="1:21" x14ac:dyDescent="0.2">
      <c r="A36" s="97">
        <v>4</v>
      </c>
      <c r="B36" s="93">
        <f t="shared" si="15"/>
        <v>1000</v>
      </c>
      <c r="C36" s="1">
        <f t="shared" si="12"/>
        <v>9000</v>
      </c>
      <c r="D36" s="9">
        <f>SUM($C$33:C36)</f>
        <v>9999</v>
      </c>
      <c r="E36" s="9">
        <f t="shared" si="13"/>
        <v>-116091.24454790997</v>
      </c>
      <c r="F36" s="9">
        <f t="shared" si="14"/>
        <v>1.8818229249526676E-4</v>
      </c>
      <c r="G36" s="287">
        <f t="shared" si="16"/>
        <v>2536166.0756438794</v>
      </c>
      <c r="O36" s="99">
        <v>4</v>
      </c>
      <c r="P36" s="93">
        <f t="shared" si="20"/>
        <v>4096</v>
      </c>
      <c r="Q36" s="1">
        <f t="shared" si="17"/>
        <v>36900</v>
      </c>
      <c r="R36" s="9">
        <f>SUM($Q$33:Q36)</f>
        <v>41490</v>
      </c>
      <c r="S36" s="282">
        <f t="shared" si="21"/>
        <v>-481710.74470374885</v>
      </c>
      <c r="T36" s="9">
        <f t="shared" si="18"/>
        <v>4.535152428682025E-5</v>
      </c>
      <c r="U36" s="287">
        <f t="shared" si="19"/>
        <v>10523605.408387294</v>
      </c>
    </row>
    <row r="37" spans="1:21" x14ac:dyDescent="0.2">
      <c r="A37" s="97">
        <v>5</v>
      </c>
      <c r="B37" s="93">
        <f t="shared" si="15"/>
        <v>10000</v>
      </c>
      <c r="C37" s="1">
        <f t="shared" si="12"/>
        <v>90000</v>
      </c>
      <c r="D37" s="9">
        <f>SUM($C$33:C37)</f>
        <v>99999</v>
      </c>
      <c r="E37" s="9">
        <f t="shared" si="13"/>
        <v>-1372336.3989620549</v>
      </c>
      <c r="F37" s="9">
        <f t="shared" si="14"/>
        <v>2.0589723089435736E-5</v>
      </c>
      <c r="G37" s="287">
        <f t="shared" si="16"/>
        <v>38776773.573896132</v>
      </c>
      <c r="O37" s="99">
        <v>5</v>
      </c>
      <c r="P37" s="93">
        <f t="shared" si="20"/>
        <v>36901</v>
      </c>
      <c r="Q37" s="1">
        <f t="shared" si="17"/>
        <v>332145</v>
      </c>
      <c r="R37" s="9">
        <f>SUM($Q$33:Q37)</f>
        <v>373635</v>
      </c>
      <c r="S37" s="282">
        <f t="shared" si="21"/>
        <v>-5127580.3800656749</v>
      </c>
      <c r="T37" s="9">
        <f t="shared" si="18"/>
        <v>5.5105964891417659E-6</v>
      </c>
      <c r="U37" s="287">
        <f t="shared" si="19"/>
        <v>144885046.79329476</v>
      </c>
    </row>
    <row r="38" spans="1:21" x14ac:dyDescent="0.2">
      <c r="A38" s="97">
        <v>6</v>
      </c>
      <c r="B38" s="93">
        <f t="shared" si="15"/>
        <v>100000</v>
      </c>
      <c r="C38" s="1">
        <f t="shared" si="12"/>
        <v>900000</v>
      </c>
      <c r="D38" s="9">
        <f>SUM($C$33:C38)</f>
        <v>999999</v>
      </c>
      <c r="E38" s="9">
        <f t="shared" si="13"/>
        <v>-14980239.983602226</v>
      </c>
      <c r="F38" s="9">
        <f t="shared" si="14"/>
        <v>2.3240965268169169E-6</v>
      </c>
      <c r="G38" s="287">
        <f t="shared" si="16"/>
        <v>521544900.43206704</v>
      </c>
      <c r="O38" s="99">
        <v>6</v>
      </c>
      <c r="P38" s="93">
        <f t="shared" si="20"/>
        <v>332146</v>
      </c>
      <c r="Q38" s="1">
        <f t="shared" si="17"/>
        <v>2989350</v>
      </c>
      <c r="R38" s="9">
        <f>SUM($Q$33:Q38)</f>
        <v>3362985</v>
      </c>
      <c r="S38" s="282">
        <f t="shared" si="21"/>
        <v>-50378372.739627272</v>
      </c>
      <c r="T38" s="9">
        <f t="shared" si="18"/>
        <v>6.9108075198681825E-7</v>
      </c>
      <c r="U38" s="287">
        <f t="shared" si="19"/>
        <v>1753949430.928966</v>
      </c>
    </row>
    <row r="39" spans="1:21" x14ac:dyDescent="0.2">
      <c r="A39" s="97">
        <v>7</v>
      </c>
      <c r="B39" s="93">
        <f t="shared" si="15"/>
        <v>1000000</v>
      </c>
      <c r="C39" s="1">
        <f t="shared" si="12"/>
        <v>9000000</v>
      </c>
      <c r="D39" s="9">
        <f>SUM($C$33:C39)</f>
        <v>9999999</v>
      </c>
      <c r="E39" s="9">
        <f t="shared" si="13"/>
        <v>-156470989.44527307</v>
      </c>
      <c r="F39" s="9">
        <f t="shared" si="14"/>
        <v>2.6499263717433556E-7</v>
      </c>
      <c r="G39" s="287">
        <f t="shared" si="16"/>
        <v>6487859927.2490463</v>
      </c>
      <c r="O39" s="99">
        <v>7</v>
      </c>
      <c r="P39" s="93">
        <f t="shared" si="20"/>
        <v>2989351</v>
      </c>
      <c r="Q39" s="1">
        <f t="shared" si="17"/>
        <v>26904195</v>
      </c>
      <c r="R39" s="9">
        <f>SUM($Q$33:Q39)</f>
        <v>30267180</v>
      </c>
      <c r="S39" s="282">
        <f t="shared" si="21"/>
        <v>-473593607.59117872</v>
      </c>
      <c r="T39" s="9">
        <f t="shared" si="18"/>
        <v>8.7551139774194972E-8</v>
      </c>
      <c r="U39" s="287">
        <f t="shared" si="19"/>
        <v>19636924386.975815</v>
      </c>
    </row>
    <row r="40" spans="1:21" x14ac:dyDescent="0.2">
      <c r="A40" s="97">
        <v>8</v>
      </c>
      <c r="B40" s="93">
        <f t="shared" si="15"/>
        <v>10000000</v>
      </c>
      <c r="C40" s="1">
        <f t="shared" si="12"/>
        <v>90000000</v>
      </c>
      <c r="D40" s="9">
        <f>SUM($C$33:C40)</f>
        <v>99999999</v>
      </c>
      <c r="E40" s="9">
        <f t="shared" si="13"/>
        <v>-1597961981.9535251</v>
      </c>
      <c r="F40" s="9">
        <f t="shared" si="14"/>
        <v>3.0139886834780993E-8</v>
      </c>
      <c r="G40" s="287">
        <f t="shared" si="16"/>
        <v>76961673457.06691</v>
      </c>
      <c r="O40" s="99">
        <v>8</v>
      </c>
      <c r="P40" s="93">
        <f t="shared" si="20"/>
        <v>26904196</v>
      </c>
      <c r="Q40" s="1">
        <f t="shared" si="17"/>
        <v>242137800</v>
      </c>
      <c r="R40" s="9">
        <f>SUM($Q$33:Q40)</f>
        <v>272404980</v>
      </c>
      <c r="S40" s="282">
        <f t="shared" si="21"/>
        <v>-4352928060.8773842</v>
      </c>
      <c r="T40" s="9">
        <f t="shared" si="18"/>
        <v>1.1064366933887231E-8</v>
      </c>
      <c r="U40" s="287">
        <f t="shared" si="19"/>
        <v>209647433284.86276</v>
      </c>
    </row>
    <row r="41" spans="1:21" x14ac:dyDescent="0.2">
      <c r="A41" s="97">
        <v>9</v>
      </c>
      <c r="B41" s="93">
        <f t="shared" si="15"/>
        <v>100000000</v>
      </c>
      <c r="C41" s="1">
        <f t="shared" si="12"/>
        <v>900000000</v>
      </c>
      <c r="D41" s="9">
        <f>SUM($C$33:C41)</f>
        <v>999999999</v>
      </c>
      <c r="E41" s="9">
        <f t="shared" si="13"/>
        <v>-16140293478.541397</v>
      </c>
      <c r="F41" s="9">
        <f t="shared" si="14"/>
        <v>3.4007563651245548E-9</v>
      </c>
      <c r="G41" s="287">
        <f t="shared" si="16"/>
        <v>885927890127.59717</v>
      </c>
      <c r="O41" s="99">
        <v>9</v>
      </c>
      <c r="P41" s="93">
        <f t="shared" si="20"/>
        <v>242137801</v>
      </c>
      <c r="Q41" s="1">
        <f t="shared" si="17"/>
        <v>2179240245</v>
      </c>
      <c r="R41" s="9">
        <f>SUM($Q$33:Q41)</f>
        <v>2451645225</v>
      </c>
      <c r="S41" s="282">
        <f t="shared" si="21"/>
        <v>-39570273476.33493</v>
      </c>
      <c r="T41" s="9">
        <f t="shared" si="18"/>
        <v>1.3871323334410256E-9</v>
      </c>
      <c r="U41" s="287">
        <f t="shared" si="19"/>
        <v>2171980883697.6294</v>
      </c>
    </row>
    <row r="42" spans="1:21" ht="17" thickBot="1" x14ac:dyDescent="0.25">
      <c r="A42" s="145">
        <v>10</v>
      </c>
      <c r="B42" s="94">
        <f t="shared" si="15"/>
        <v>1000000000</v>
      </c>
      <c r="C42" s="111">
        <f t="shared" si="12"/>
        <v>9000000000</v>
      </c>
      <c r="D42" s="10">
        <f>SUM($C$33:C42)</f>
        <v>9999999999</v>
      </c>
      <c r="E42" s="9">
        <f t="shared" si="13"/>
        <v>-162167501085.28195</v>
      </c>
      <c r="F42" s="10">
        <f t="shared" si="14"/>
        <v>3.8004692667875995E-10</v>
      </c>
      <c r="G42" s="288">
        <f t="shared" si="16"/>
        <v>9994587486934.4082</v>
      </c>
      <c r="O42" s="100">
        <v>10</v>
      </c>
      <c r="P42" s="94">
        <f t="shared" si="20"/>
        <v>2179240246</v>
      </c>
      <c r="Q42" s="111">
        <f t="shared" si="17"/>
        <v>19613162250</v>
      </c>
      <c r="R42" s="10">
        <f>SUM($Q$33:Q42)</f>
        <v>22064807475</v>
      </c>
      <c r="S42" s="283">
        <f t="shared" si="21"/>
        <v>-357819469050.64197</v>
      </c>
      <c r="T42" s="10">
        <f t="shared" si="18"/>
        <v>1.7224121582359523E-10</v>
      </c>
      <c r="U42" s="288">
        <f t="shared" si="19"/>
        <v>22052864871330.469</v>
      </c>
    </row>
    <row r="43" spans="1:21" ht="17" thickBot="1" x14ac:dyDescent="0.25">
      <c r="U43" s="285"/>
    </row>
    <row r="44" spans="1:21" ht="17" thickBot="1" x14ac:dyDescent="0.25">
      <c r="A44" s="117" t="s">
        <v>135</v>
      </c>
      <c r="B44" s="118" t="s">
        <v>140</v>
      </c>
      <c r="C44" s="118" t="s">
        <v>139</v>
      </c>
      <c r="D44" s="170" t="s">
        <v>138</v>
      </c>
      <c r="E44" s="167" t="s">
        <v>151</v>
      </c>
      <c r="F44" s="168" t="s">
        <v>152</v>
      </c>
      <c r="G44" s="290" t="s">
        <v>47</v>
      </c>
      <c r="O44" s="29" t="s">
        <v>135</v>
      </c>
      <c r="P44" s="118" t="s">
        <v>140</v>
      </c>
      <c r="Q44" s="118" t="s">
        <v>139</v>
      </c>
      <c r="R44" s="118" t="s">
        <v>138</v>
      </c>
      <c r="S44" s="166" t="s">
        <v>151</v>
      </c>
      <c r="T44" s="168" t="s">
        <v>152</v>
      </c>
      <c r="U44" s="294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9</v>
      </c>
      <c r="D45" s="57">
        <f>SUM(C45:C45)</f>
        <v>9</v>
      </c>
      <c r="E45" s="57">
        <f t="shared" ref="E45:E54" si="23">D45/R7</f>
        <v>-24.917260949575098</v>
      </c>
      <c r="F45" s="8">
        <f t="shared" ref="F45:F54" si="24">U7/E45</f>
        <v>0.1846177186837889</v>
      </c>
      <c r="G45" s="286">
        <f>E45*U7</f>
        <v>114.62358328742621</v>
      </c>
      <c r="O45" s="101">
        <v>1</v>
      </c>
      <c r="P45" s="109">
        <v>1</v>
      </c>
      <c r="Q45" s="110">
        <f>P45*9+36</f>
        <v>45</v>
      </c>
      <c r="R45" s="57">
        <f>SUM($Q$21)</f>
        <v>45</v>
      </c>
      <c r="S45" s="281">
        <f>R45/R7</f>
        <v>-124.58630474787549</v>
      </c>
      <c r="T45" s="8">
        <f>U7/S45</f>
        <v>3.6923543736757783E-2</v>
      </c>
      <c r="U45" s="289">
        <f>S45*U7</f>
        <v>573.11791643713104</v>
      </c>
    </row>
    <row r="46" spans="1:21" x14ac:dyDescent="0.2">
      <c r="A46" s="97">
        <v>2</v>
      </c>
      <c r="B46" s="93">
        <f t="shared" ref="B46:B54" si="25">B45*$O$2*2</f>
        <v>18</v>
      </c>
      <c r="C46" s="1">
        <f t="shared" si="22"/>
        <v>162</v>
      </c>
      <c r="D46" s="9">
        <f>SUM($C$45:C46)</f>
        <v>171</v>
      </c>
      <c r="E46" s="9">
        <f t="shared" si="23"/>
        <v>-930.57779216225777</v>
      </c>
      <c r="F46" s="9">
        <f t="shared" si="24"/>
        <v>1.0615398448246129E-2</v>
      </c>
      <c r="G46" s="287">
        <f t="shared" ref="G46:G54" si="26">E46*U8</f>
        <v>9192.669960654961</v>
      </c>
      <c r="O46" s="99">
        <v>2</v>
      </c>
      <c r="P46" s="93">
        <f>Q45*2</f>
        <v>90</v>
      </c>
      <c r="Q46" s="1">
        <f t="shared" ref="Q46:Q54" si="27">P46*9+36</f>
        <v>846</v>
      </c>
      <c r="R46" s="9">
        <f>SUM($Q$45:Q46)</f>
        <v>891</v>
      </c>
      <c r="S46" s="282">
        <f t="shared" ref="S46:S54" si="28">R46/R8</f>
        <v>-4848.8000749507119</v>
      </c>
      <c r="T46" s="9">
        <f t="shared" ref="T46:T54" si="29">U8/S46</f>
        <v>2.0372986920876406E-3</v>
      </c>
      <c r="U46" s="287">
        <f t="shared" ref="U46:U54" si="30">S46*U8</f>
        <v>47898.648742360063</v>
      </c>
    </row>
    <row r="47" spans="1:21" x14ac:dyDescent="0.2">
      <c r="A47" s="97">
        <v>3</v>
      </c>
      <c r="B47" s="93">
        <f t="shared" si="25"/>
        <v>324</v>
      </c>
      <c r="C47" s="1">
        <f t="shared" si="22"/>
        <v>2916</v>
      </c>
      <c r="D47" s="9">
        <f>SUM($C$45:C47)</f>
        <v>3087</v>
      </c>
      <c r="E47" s="9">
        <f t="shared" si="23"/>
        <v>-26723.805686363081</v>
      </c>
      <c r="F47" s="9">
        <f t="shared" si="24"/>
        <v>5.8668068729144523E-4</v>
      </c>
      <c r="G47" s="287">
        <f t="shared" si="26"/>
        <v>418984.93000715569</v>
      </c>
      <c r="O47" s="99">
        <v>3</v>
      </c>
      <c r="P47" s="93">
        <f t="shared" ref="P47:P54" si="31">Q46*2</f>
        <v>1692</v>
      </c>
      <c r="Q47" s="1">
        <f t="shared" si="27"/>
        <v>15264</v>
      </c>
      <c r="R47" s="9">
        <f>SUM($Q$45:Q47)</f>
        <v>16155</v>
      </c>
      <c r="S47" s="282">
        <f t="shared" si="28"/>
        <v>-139851.98602630242</v>
      </c>
      <c r="T47" s="9">
        <f t="shared" si="29"/>
        <v>1.1210667172198647E-4</v>
      </c>
      <c r="U47" s="287">
        <f t="shared" si="30"/>
        <v>2192647.0826905086</v>
      </c>
    </row>
    <row r="48" spans="1:21" x14ac:dyDescent="0.2">
      <c r="A48" s="97">
        <v>4</v>
      </c>
      <c r="B48" s="93">
        <f t="shared" si="25"/>
        <v>5832</v>
      </c>
      <c r="C48" s="1">
        <f t="shared" si="22"/>
        <v>52488</v>
      </c>
      <c r="D48" s="9">
        <f>SUM($C$45:C48)</f>
        <v>55575</v>
      </c>
      <c r="E48" s="9">
        <f t="shared" si="23"/>
        <v>-645241.61573658336</v>
      </c>
      <c r="F48" s="9">
        <f t="shared" si="24"/>
        <v>3.3857575216557299E-5</v>
      </c>
      <c r="G48" s="287">
        <f t="shared" si="26"/>
        <v>14096152.580648925</v>
      </c>
      <c r="O48" s="99">
        <v>4</v>
      </c>
      <c r="P48" s="93">
        <f t="shared" si="31"/>
        <v>30528</v>
      </c>
      <c r="Q48" s="1">
        <f t="shared" si="27"/>
        <v>274788</v>
      </c>
      <c r="R48" s="9">
        <f>SUM($Q$45:Q48)</f>
        <v>290943</v>
      </c>
      <c r="S48" s="282">
        <f t="shared" si="28"/>
        <v>-3377931.2893791948</v>
      </c>
      <c r="T48" s="9">
        <f t="shared" si="29"/>
        <v>6.467365575594437E-6</v>
      </c>
      <c r="U48" s="287">
        <f t="shared" si="30"/>
        <v>73795356.190224737</v>
      </c>
    </row>
    <row r="49" spans="1:21" x14ac:dyDescent="0.2">
      <c r="A49" s="97">
        <v>5</v>
      </c>
      <c r="B49" s="93">
        <f t="shared" si="25"/>
        <v>104976</v>
      </c>
      <c r="C49" s="1">
        <f t="shared" si="22"/>
        <v>944784</v>
      </c>
      <c r="D49" s="9">
        <f>SUM($C$45:C49)</f>
        <v>1000359</v>
      </c>
      <c r="E49" s="9">
        <f t="shared" si="23"/>
        <v>-13728427.961572438</v>
      </c>
      <c r="F49" s="9">
        <f t="shared" si="24"/>
        <v>2.0582128208178103E-6</v>
      </c>
      <c r="G49" s="287">
        <f t="shared" si="26"/>
        <v>387910823.4643262</v>
      </c>
      <c r="O49" s="99">
        <v>5</v>
      </c>
      <c r="P49" s="93">
        <f t="shared" si="31"/>
        <v>549576</v>
      </c>
      <c r="Q49" s="1">
        <f t="shared" si="27"/>
        <v>4946220</v>
      </c>
      <c r="R49" s="9">
        <f>SUM($Q$45:Q49)</f>
        <v>5237163</v>
      </c>
      <c r="S49" s="282">
        <f t="shared" si="28"/>
        <v>-71872212.844101563</v>
      </c>
      <c r="T49" s="9">
        <f t="shared" si="29"/>
        <v>3.9314256959741068E-7</v>
      </c>
      <c r="U49" s="287">
        <f t="shared" si="30"/>
        <v>2030823146.43733</v>
      </c>
    </row>
    <row r="50" spans="1:21" x14ac:dyDescent="0.2">
      <c r="A50" s="97">
        <v>6</v>
      </c>
      <c r="B50" s="93">
        <f t="shared" si="25"/>
        <v>1889568</v>
      </c>
      <c r="C50" s="1">
        <f t="shared" si="22"/>
        <v>17006112</v>
      </c>
      <c r="D50" s="9">
        <f>SUM($C$45:C50)</f>
        <v>18006471</v>
      </c>
      <c r="E50" s="9">
        <f t="shared" si="23"/>
        <v>-269741526.57930052</v>
      </c>
      <c r="F50" s="9">
        <f t="shared" si="24"/>
        <v>1.2906994395072694E-7</v>
      </c>
      <c r="G50" s="287">
        <f t="shared" si="26"/>
        <v>9391192516.0204182</v>
      </c>
      <c r="O50" s="99">
        <v>6</v>
      </c>
      <c r="P50" s="93">
        <f t="shared" si="31"/>
        <v>9892440</v>
      </c>
      <c r="Q50" s="1">
        <f t="shared" si="27"/>
        <v>89031996</v>
      </c>
      <c r="R50" s="9">
        <f>SUM($Q$45:Q50)</f>
        <v>94269159</v>
      </c>
      <c r="S50" s="282">
        <f t="shared" si="28"/>
        <v>-1412176037.0483925</v>
      </c>
      <c r="T50" s="9">
        <f t="shared" si="29"/>
        <v>2.4653812841593189E-8</v>
      </c>
      <c r="U50" s="287">
        <f t="shared" si="30"/>
        <v>49165648310.118004</v>
      </c>
    </row>
    <row r="51" spans="1:21" x14ac:dyDescent="0.2">
      <c r="A51" s="97">
        <v>7</v>
      </c>
      <c r="B51" s="93">
        <f t="shared" si="25"/>
        <v>34012224</v>
      </c>
      <c r="C51" s="1">
        <f t="shared" si="22"/>
        <v>306110016</v>
      </c>
      <c r="D51" s="9">
        <f>SUM($C$45:C51)</f>
        <v>324116487</v>
      </c>
      <c r="E51" s="9">
        <f t="shared" si="23"/>
        <v>-5071483248.7899227</v>
      </c>
      <c r="F51" s="9">
        <f t="shared" si="24"/>
        <v>8.1758448367691907E-9</v>
      </c>
      <c r="G51" s="287">
        <f t="shared" si="26"/>
        <v>210282257805.02939</v>
      </c>
      <c r="O51" s="99">
        <v>7</v>
      </c>
      <c r="P51" s="93">
        <f t="shared" si="31"/>
        <v>178063992</v>
      </c>
      <c r="Q51" s="1">
        <f t="shared" si="27"/>
        <v>1602575964</v>
      </c>
      <c r="R51" s="9">
        <f>SUM($Q$45:Q51)</f>
        <v>1696845123</v>
      </c>
      <c r="S51" s="282">
        <f t="shared" si="28"/>
        <v>-26550706188.190224</v>
      </c>
      <c r="T51" s="9">
        <f t="shared" si="29"/>
        <v>1.5616782408907678E-9</v>
      </c>
      <c r="U51" s="287">
        <f t="shared" si="30"/>
        <v>1100889457714.9136</v>
      </c>
    </row>
    <row r="52" spans="1:21" x14ac:dyDescent="0.2">
      <c r="A52" s="97">
        <v>8</v>
      </c>
      <c r="B52" s="93">
        <f t="shared" si="25"/>
        <v>612220032</v>
      </c>
      <c r="C52" s="1">
        <f t="shared" si="22"/>
        <v>5509980288</v>
      </c>
      <c r="D52" s="9">
        <f>SUM($C$45:C52)</f>
        <v>5834096775</v>
      </c>
      <c r="E52" s="9">
        <f t="shared" si="23"/>
        <v>-93226649387.143173</v>
      </c>
      <c r="F52" s="9">
        <f t="shared" si="24"/>
        <v>5.1661615663518248E-10</v>
      </c>
      <c r="G52" s="287">
        <f t="shared" si="26"/>
        <v>4490018554044.957</v>
      </c>
      <c r="O52" s="99">
        <v>8</v>
      </c>
      <c r="P52" s="93">
        <f t="shared" si="31"/>
        <v>3205151928</v>
      </c>
      <c r="Q52" s="1">
        <f t="shared" si="27"/>
        <v>28846367388</v>
      </c>
      <c r="R52" s="9">
        <f>SUM($Q$45:Q52)</f>
        <v>30543212511</v>
      </c>
      <c r="S52" s="282">
        <f t="shared" si="28"/>
        <v>-488068928873.74188</v>
      </c>
      <c r="T52" s="9">
        <f t="shared" si="29"/>
        <v>9.8679490647970917E-11</v>
      </c>
      <c r="U52" s="287">
        <f t="shared" si="30"/>
        <v>23506567711079.504</v>
      </c>
    </row>
    <row r="53" spans="1:21" x14ac:dyDescent="0.2">
      <c r="A53" s="97">
        <v>9</v>
      </c>
      <c r="B53" s="93">
        <f t="shared" si="25"/>
        <v>11019960576</v>
      </c>
      <c r="C53" s="1">
        <f t="shared" si="22"/>
        <v>99179645184</v>
      </c>
      <c r="D53" s="9">
        <f>SUM($C$45:C53)</f>
        <v>105013741959</v>
      </c>
      <c r="E53" s="9">
        <f t="shared" si="23"/>
        <v>-1694952616193.0293</v>
      </c>
      <c r="F53" s="9">
        <f t="shared" si="24"/>
        <v>3.2383917554823817E-11</v>
      </c>
      <c r="G53" s="287">
        <f t="shared" si="26"/>
        <v>93034602941175.391</v>
      </c>
      <c r="O53" s="99">
        <v>9</v>
      </c>
      <c r="P53" s="93">
        <f t="shared" si="31"/>
        <v>57692734776</v>
      </c>
      <c r="Q53" s="1">
        <f t="shared" si="27"/>
        <v>519234613020</v>
      </c>
      <c r="R53" s="9">
        <f>SUM($Q$45:Q53)</f>
        <v>549777825531</v>
      </c>
      <c r="S53" s="282">
        <f t="shared" si="28"/>
        <v>-8873575460938.2441</v>
      </c>
      <c r="T53" s="9">
        <f t="shared" si="29"/>
        <v>6.1856921174279738E-12</v>
      </c>
      <c r="U53" s="287">
        <f t="shared" si="30"/>
        <v>487063509498680.56</v>
      </c>
    </row>
    <row r="54" spans="1:21" ht="17" thickBot="1" x14ac:dyDescent="0.25">
      <c r="A54" s="145">
        <v>10</v>
      </c>
      <c r="B54" s="94">
        <f t="shared" si="25"/>
        <v>198359290368</v>
      </c>
      <c r="C54" s="111">
        <f t="shared" si="22"/>
        <v>1785233613312</v>
      </c>
      <c r="D54" s="10">
        <f>SUM($C$45:C54)</f>
        <v>1890247355271</v>
      </c>
      <c r="E54" s="10">
        <f t="shared" si="23"/>
        <v>-30653669006801.492</v>
      </c>
      <c r="F54" s="10">
        <f t="shared" si="24"/>
        <v>2.0105671650907765E-12</v>
      </c>
      <c r="G54" s="288">
        <f t="shared" si="26"/>
        <v>1889224256609162</v>
      </c>
      <c r="O54" s="100">
        <v>10</v>
      </c>
      <c r="P54" s="94">
        <f t="shared" si="31"/>
        <v>1038469226040</v>
      </c>
      <c r="Q54" s="111">
        <f t="shared" si="27"/>
        <v>9346223034396</v>
      </c>
      <c r="R54" s="10">
        <f>SUM($Q$45:Q54)</f>
        <v>9896000859927</v>
      </c>
      <c r="S54" s="283">
        <f t="shared" si="28"/>
        <v>-160480973035264.41</v>
      </c>
      <c r="T54" s="10">
        <f t="shared" si="29"/>
        <v>3.8404091917546449E-13</v>
      </c>
      <c r="U54" s="288">
        <f t="shared" si="30"/>
        <v>9890644637520918</v>
      </c>
    </row>
  </sheetData>
  <mergeCells count="2">
    <mergeCell ref="A18:F18"/>
    <mergeCell ref="O18:T18"/>
  </mergeCells>
  <conditionalFormatting sqref="F45:F54">
    <cfRule type="cellIs" dxfId="338" priority="53" operator="equal">
      <formula>MAX($F$45:$F$54)</formula>
    </cfRule>
  </conditionalFormatting>
  <conditionalFormatting sqref="F21:F30">
    <cfRule type="cellIs" dxfId="337" priority="51" operator="equal">
      <formula>MAX($F$21:$F$30)</formula>
    </cfRule>
  </conditionalFormatting>
  <conditionalFormatting sqref="F33:F42">
    <cfRule type="cellIs" dxfId="336" priority="32" operator="lessThanOrEqual">
      <formula>0</formula>
    </cfRule>
    <cfRule type="cellIs" dxfId="335" priority="49" operator="equal">
      <formula>MAX($F$33:$F$42)</formula>
    </cfRule>
  </conditionalFormatting>
  <conditionalFormatting sqref="E33:E42">
    <cfRule type="cellIs" dxfId="334" priority="47" stopIfTrue="1" operator="lessThan">
      <formula>0</formula>
    </cfRule>
    <cfRule type="cellIs" dxfId="333" priority="48" operator="equal">
      <formula>MIN($E$33:$E$42)</formula>
    </cfRule>
  </conditionalFormatting>
  <conditionalFormatting sqref="E21:E30">
    <cfRule type="cellIs" dxfId="332" priority="43" stopIfTrue="1" operator="lessThan">
      <formula>0</formula>
    </cfRule>
    <cfRule type="cellIs" dxfId="331" priority="44" operator="equal">
      <formula>MIN($E$21:$E$30)</formula>
    </cfRule>
  </conditionalFormatting>
  <conditionalFormatting sqref="E45:E54">
    <cfRule type="cellIs" dxfId="330" priority="39" stopIfTrue="1" operator="lessThan">
      <formula>0</formula>
    </cfRule>
    <cfRule type="cellIs" dxfId="329" priority="40" operator="equal">
      <formula>MIN($E$45:$E$54)</formula>
    </cfRule>
  </conditionalFormatting>
  <conditionalFormatting sqref="S7:T16">
    <cfRule type="cellIs" dxfId="328" priority="13" operator="lessThanOrEqual">
      <formula>0</formula>
    </cfRule>
    <cfRule type="cellIs" dxfId="327" priority="14" operator="greaterThan">
      <formula>0</formula>
    </cfRule>
  </conditionalFormatting>
  <conditionalFormatting sqref="U7:U16">
    <cfRule type="cellIs" dxfId="326" priority="15" operator="lessThanOrEqual">
      <formula>0</formula>
    </cfRule>
    <cfRule type="cellIs" dxfId="325" priority="16" operator="greaterThan">
      <formula>0</formula>
    </cfRule>
  </conditionalFormatting>
  <conditionalFormatting sqref="R7:R16">
    <cfRule type="cellIs" dxfId="324" priority="17" operator="lessThanOrEqual">
      <formula>0</formula>
    </cfRule>
    <cfRule type="cellIs" dxfId="323" priority="18" operator="greaterThan">
      <formula>0</formula>
    </cfRule>
  </conditionalFormatting>
  <conditionalFormatting sqref="T21:T30">
    <cfRule type="cellIs" dxfId="322" priority="9" operator="equal">
      <formula>MAX($T$21:$T$30)</formula>
    </cfRule>
  </conditionalFormatting>
  <conditionalFormatting sqref="S33:S42">
    <cfRule type="cellIs" dxfId="321" priority="7" stopIfTrue="1" operator="lessThan">
      <formula>0</formula>
    </cfRule>
    <cfRule type="cellIs" dxfId="320" priority="8" operator="equal">
      <formula>MIN($E$21:$E$30)</formula>
    </cfRule>
  </conditionalFormatting>
  <conditionalFormatting sqref="T33:T42">
    <cfRule type="cellIs" dxfId="319" priority="6" operator="equal">
      <formula>MAX($T$21:$T$30)</formula>
    </cfRule>
  </conditionalFormatting>
  <conditionalFormatting sqref="S45:S54">
    <cfRule type="cellIs" dxfId="318" priority="4" stopIfTrue="1" operator="lessThan">
      <formula>0</formula>
    </cfRule>
    <cfRule type="cellIs" dxfId="317" priority="5" operator="equal">
      <formula>MIN($E$21:$E$30)</formula>
    </cfRule>
  </conditionalFormatting>
  <conditionalFormatting sqref="T45:T54">
    <cfRule type="cellIs" dxfId="316" priority="3" operator="equal">
      <formula>MAX($T$21:$T$30)</formula>
    </cfRule>
  </conditionalFormatting>
  <conditionalFormatting sqref="S21:S30">
    <cfRule type="cellIs" dxfId="315" priority="1" stopIfTrue="1" operator="lessThan">
      <formula>0</formula>
    </cfRule>
    <cfRule type="cellIs" dxfId="314" priority="2" operator="equal">
      <formula>MIN($E$21:$E$30)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>
    <pageSetUpPr fitToPage="1"/>
  </sheetPr>
  <dimension ref="A1:W54"/>
  <sheetViews>
    <sheetView workbookViewId="0">
      <selection activeCell="C7" sqref="C7:C16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0.99999999999999911</v>
      </c>
    </row>
    <row r="2" spans="1:23" x14ac:dyDescent="0.2">
      <c r="A2" t="s">
        <v>40</v>
      </c>
      <c r="B2" s="149" t="s">
        <v>125</v>
      </c>
      <c r="C2" s="155">
        <f>Analysis!B33</f>
        <v>0.31997005295084224</v>
      </c>
      <c r="D2" s="149" t="s">
        <v>126</v>
      </c>
      <c r="E2" s="155">
        <f>Analysis!N33</f>
        <v>0.68002994704915687</v>
      </c>
      <c r="F2" s="149" t="s">
        <v>47</v>
      </c>
      <c r="G2" s="155">
        <f>Analysis!S33</f>
        <v>14.09672919393793</v>
      </c>
      <c r="H2" t="s">
        <v>156</v>
      </c>
      <c r="I2" s="169">
        <f>Analysis!T33</f>
        <v>-14.204608911552294</v>
      </c>
      <c r="J2" t="s">
        <v>48</v>
      </c>
      <c r="K2" s="169">
        <f>C2*G2+E2*I2</f>
        <v>-5.1490282593588841</v>
      </c>
      <c r="L2" t="s">
        <v>47</v>
      </c>
      <c r="M2" s="176">
        <v>2</v>
      </c>
      <c r="N2" t="s">
        <v>156</v>
      </c>
      <c r="O2" s="176">
        <v>10</v>
      </c>
    </row>
    <row r="4" spans="1:23" x14ac:dyDescent="0.2">
      <c r="A4" t="s">
        <v>123</v>
      </c>
      <c r="B4">
        <f>$C$2</f>
        <v>0.31997005295084224</v>
      </c>
      <c r="C4" t="s">
        <v>124</v>
      </c>
      <c r="D4">
        <f>$E$2</f>
        <v>0.68002994704915687</v>
      </c>
      <c r="E4" t="s">
        <v>47</v>
      </c>
      <c r="F4">
        <f>G2</f>
        <v>14.09672919393793</v>
      </c>
      <c r="G4" t="s">
        <v>156</v>
      </c>
      <c r="H4">
        <f>I2</f>
        <v>-14.204608911552294</v>
      </c>
      <c r="I4" t="s">
        <v>48</v>
      </c>
      <c r="J4">
        <f>K2</f>
        <v>-5.1490282593588841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60">
        <v>-10</v>
      </c>
      <c r="N6" s="104" t="s">
        <v>136</v>
      </c>
      <c r="R6" s="188" t="s">
        <v>49</v>
      </c>
      <c r="S6" s="164" t="s">
        <v>130</v>
      </c>
      <c r="T6" s="165" t="s">
        <v>137</v>
      </c>
      <c r="U6" s="268" t="s">
        <v>48</v>
      </c>
      <c r="V6" s="175" t="s">
        <v>47</v>
      </c>
      <c r="W6" s="168" t="s">
        <v>156</v>
      </c>
    </row>
    <row r="7" spans="1:23" x14ac:dyDescent="0.2">
      <c r="A7" s="101">
        <v>1</v>
      </c>
      <c r="B7" s="95">
        <f>C7*B4</f>
        <v>0.31997005295084224</v>
      </c>
      <c r="C7" s="95">
        <v>1</v>
      </c>
      <c r="D7" s="22">
        <f>C7*D4</f>
        <v>0.68002994704915687</v>
      </c>
      <c r="E7" s="2"/>
      <c r="F7" s="2"/>
      <c r="G7" s="2"/>
      <c r="H7" s="2"/>
      <c r="I7" s="2"/>
      <c r="J7" s="2"/>
      <c r="K7" s="2"/>
      <c r="L7" s="2"/>
      <c r="M7" s="261"/>
      <c r="N7" s="96">
        <f>B7+D7</f>
        <v>0.99999999999999911</v>
      </c>
      <c r="R7" s="189">
        <f>B7-D7</f>
        <v>-0.36005989409831463</v>
      </c>
      <c r="S7" s="109">
        <f>SUM(C7)*$B$4*$F$4</f>
        <v>4.5105311866180031</v>
      </c>
      <c r="T7" s="263">
        <f>SUM(C7)*$D$4*$H$4</f>
        <v>-9.6595594459768872</v>
      </c>
      <c r="U7" s="265">
        <f>S7+T7</f>
        <v>-5.1490282593588841</v>
      </c>
      <c r="V7" s="109">
        <f>(U7+W7*D7)/B7</f>
        <v>-13.96692681423005</v>
      </c>
      <c r="W7" s="57">
        <f>COUNT(D7:M7)</f>
        <v>1</v>
      </c>
    </row>
    <row r="8" spans="1:23" x14ac:dyDescent="0.2">
      <c r="A8" s="99">
        <v>2</v>
      </c>
      <c r="B8" s="97">
        <f>C8*B4</f>
        <v>0.4089540435531917</v>
      </c>
      <c r="C8" s="97">
        <f>1/(1-B4*D4*C7)</f>
        <v>1.2781009965830155</v>
      </c>
      <c r="D8" s="144">
        <f>C8*D4</f>
        <v>0.86914695302982259</v>
      </c>
      <c r="E8" s="1">
        <f>D8*D4</f>
        <v>0.59104595644680624</v>
      </c>
      <c r="F8" s="1"/>
      <c r="G8" s="1"/>
      <c r="H8" s="1"/>
      <c r="I8" s="1"/>
      <c r="J8" s="1"/>
      <c r="K8" s="1"/>
      <c r="L8" s="1"/>
      <c r="M8" s="262"/>
      <c r="N8" s="97">
        <f>B8+E8</f>
        <v>0.999999999999998</v>
      </c>
      <c r="R8" s="190">
        <f>B8-E8</f>
        <v>-0.18209191289361454</v>
      </c>
      <c r="S8" s="93">
        <f>SUM(C8:D8)*$B$4*$F$4</f>
        <v>9.6852288421302699</v>
      </c>
      <c r="T8" s="262">
        <f>SUM(C8:D8)*$D$4*$H$4</f>
        <v>-20.741469214537197</v>
      </c>
      <c r="U8" s="266">
        <f>S8+T8</f>
        <v>-11.056240372406927</v>
      </c>
      <c r="V8" s="93">
        <f>(U8+W8*E8)/B8</f>
        <v>-24.144885263199523</v>
      </c>
      <c r="W8" s="9">
        <f>COUNT(D8:M8)</f>
        <v>2</v>
      </c>
    </row>
    <row r="9" spans="1:23" x14ac:dyDescent="0.2">
      <c r="A9" s="99">
        <v>3</v>
      </c>
      <c r="B9" s="97">
        <f>C9*B4</f>
        <v>0.44323382001681561</v>
      </c>
      <c r="C9" s="97">
        <f>1/(1-D4*B4*C8)</f>
        <v>1.385235324147384</v>
      </c>
      <c r="D9" s="144">
        <f>C9*D4*C8</f>
        <v>1.2039730612119777</v>
      </c>
      <c r="E9" s="1">
        <f>D9*(D4)</f>
        <v>0.81873773706459252</v>
      </c>
      <c r="F9" s="1">
        <f>E9*D4</f>
        <v>0.55676617998318134</v>
      </c>
      <c r="G9" s="1"/>
      <c r="H9" s="1"/>
      <c r="I9" s="1"/>
      <c r="J9" s="1"/>
      <c r="K9" s="1"/>
      <c r="L9" s="1"/>
      <c r="M9" s="262"/>
      <c r="N9" s="97">
        <f>B9+F9</f>
        <v>0.99999999999999689</v>
      </c>
      <c r="R9" s="190">
        <f>B9-F9</f>
        <v>-0.11353235996636574</v>
      </c>
      <c r="S9" s="93">
        <f>SUM(C9:E9)*$B$4*$F$4</f>
        <v>15.371647267507141</v>
      </c>
      <c r="T9" s="262">
        <f>SUM(C9:E9)*$D$4*$H$4</f>
        <v>-32.919258158240609</v>
      </c>
      <c r="U9" s="266">
        <f t="shared" ref="U9:U16" si="0">S9+T9</f>
        <v>-17.547610890733466</v>
      </c>
      <c r="V9" s="93">
        <f>(U9+W9*F9)/B9</f>
        <v>-35.821527225024397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0.4580241532162545</v>
      </c>
      <c r="C10" s="97">
        <f>1/(1-D4*B4*C9)</f>
        <v>1.4314594412578412</v>
      </c>
      <c r="D10" s="144">
        <f>C10*D4*C9</f>
        <v>1.3484369467667878</v>
      </c>
      <c r="E10" s="1">
        <f>D10*D4*C8</f>
        <v>1.1719898636351909</v>
      </c>
      <c r="F10" s="1">
        <f>E10*D4</f>
        <v>0.79698820490998745</v>
      </c>
      <c r="G10" s="1">
        <f>F10*D4</f>
        <v>0.54197584678374133</v>
      </c>
      <c r="H10" s="1"/>
      <c r="I10" s="1"/>
      <c r="J10" s="1"/>
      <c r="K10" s="1"/>
      <c r="L10" s="1"/>
      <c r="M10" s="262"/>
      <c r="N10" s="97">
        <f>B10+G10</f>
        <v>0.99999999999999578</v>
      </c>
      <c r="R10" s="190">
        <f>B10-G10</f>
        <v>-8.3951693567486829E-2</v>
      </c>
      <c r="S10" s="93">
        <f>SUM(C10:F10)*$B$4*$F$4</f>
        <v>21.419946337691737</v>
      </c>
      <c r="T10" s="262">
        <f>SUM(C10:F10)*$D$4*$H$4</f>
        <v>-45.872035114717242</v>
      </c>
      <c r="U10" s="266">
        <f t="shared" si="0"/>
        <v>-24.452088777025505</v>
      </c>
      <c r="V10" s="93">
        <f>(U10+W10*G10)/B10</f>
        <v>-48.652860844587686</v>
      </c>
      <c r="W10" s="9">
        <f t="shared" si="1"/>
        <v>4</v>
      </c>
    </row>
    <row r="11" spans="1:23" x14ac:dyDescent="0.2">
      <c r="A11" s="99">
        <v>5</v>
      </c>
      <c r="B11" s="97">
        <f>C11*B4</f>
        <v>0.46471485384386324</v>
      </c>
      <c r="C11" s="97">
        <f>1/(1-D4*B4*C10)</f>
        <v>1.4523698376087042</v>
      </c>
      <c r="D11" s="144">
        <f>C11*D4*C10</f>
        <v>1.4137880512155396</v>
      </c>
      <c r="E11" s="1">
        <f>D11*D4*C9</f>
        <v>1.3317904707668617</v>
      </c>
      <c r="F11" s="1">
        <f>E11*D4*C8</f>
        <v>1.157521629741171</v>
      </c>
      <c r="G11" s="1">
        <f>F11*D4</f>
        <v>0.78714937258114226</v>
      </c>
      <c r="H11" s="1">
        <f>G11*D4</f>
        <v>0.53528514615613121</v>
      </c>
      <c r="I11" s="1"/>
      <c r="J11" s="1"/>
      <c r="K11" s="1"/>
      <c r="L11" s="1"/>
      <c r="M11" s="262"/>
      <c r="N11" s="97">
        <f>B11+H11</f>
        <v>0.99999999999999445</v>
      </c>
      <c r="R11" s="190">
        <f>B11-H11</f>
        <v>-7.0570292312267968E-2</v>
      </c>
      <c r="S11" s="93">
        <f>SUM(C11:G11)*$B$4*$F$4</f>
        <v>27.706476199434057</v>
      </c>
      <c r="T11" s="262">
        <f>SUM(C11:G11)*$D$4*$H$4</f>
        <v>-59.334996880411296</v>
      </c>
      <c r="U11" s="266">
        <f t="shared" si="0"/>
        <v>-31.628520680977239</v>
      </c>
      <c r="V11" s="93">
        <f>(U11+W11*H11)/B11</f>
        <v>-62.300773712570034</v>
      </c>
      <c r="W11" s="9">
        <f t="shared" si="1"/>
        <v>5</v>
      </c>
    </row>
    <row r="12" spans="1:23" x14ac:dyDescent="0.2">
      <c r="A12" s="99">
        <v>6</v>
      </c>
      <c r="B12" s="97">
        <f>C12*B4</f>
        <v>0.46780616555335264</v>
      </c>
      <c r="C12" s="97">
        <f>1/(1-D4*B4*C11)</f>
        <v>1.4620310908446885</v>
      </c>
      <c r="D12" s="144">
        <f>C12*D4*C11</f>
        <v>1.4439822932919015</v>
      </c>
      <c r="E12" s="1">
        <f>D12*D4*C10</f>
        <v>1.4056233195975512</v>
      </c>
      <c r="F12" s="1">
        <f>E12*D4*C9</f>
        <v>1.3240992813018941</v>
      </c>
      <c r="G12" s="1">
        <f>F12*D4*C8</f>
        <v>1.1508368558525193</v>
      </c>
      <c r="H12" s="1">
        <f>G12*D4</f>
        <v>0.78260352614760686</v>
      </c>
      <c r="I12" s="1">
        <f>H12*D4</f>
        <v>0.53219383444664059</v>
      </c>
      <c r="J12" s="1"/>
      <c r="K12" s="1"/>
      <c r="L12" s="1"/>
      <c r="M12" s="262"/>
      <c r="N12" s="97">
        <f>B12+I12</f>
        <v>0.99999999999999323</v>
      </c>
      <c r="R12" s="190">
        <f>B12-I12</f>
        <v>-6.4387668893287953E-2</v>
      </c>
      <c r="S12" s="93">
        <f>SUM(C12:H12)*$B$4*$F$4</f>
        <v>34.141006060528568</v>
      </c>
      <c r="T12" s="262">
        <f>SUM(C12:H12)*$D$4*$H$4</f>
        <v>-73.114909074469182</v>
      </c>
      <c r="U12" s="266">
        <f t="shared" si="0"/>
        <v>-38.973903013940614</v>
      </c>
      <c r="V12" s="93">
        <f>(U12+W12*I12)/B12</f>
        <v>-76.486251447620191</v>
      </c>
      <c r="W12" s="9">
        <f t="shared" si="1"/>
        <v>6</v>
      </c>
    </row>
    <row r="13" spans="1:23" x14ac:dyDescent="0.2">
      <c r="A13" s="99">
        <v>7</v>
      </c>
      <c r="B13" s="97">
        <f>C13*B4</f>
        <v>0.46924838128604335</v>
      </c>
      <c r="C13" s="97">
        <f>1/(1-D4*B4*C12)</f>
        <v>1.4665384368271961</v>
      </c>
      <c r="D13" s="144">
        <f>C13*D4*C12</f>
        <v>1.4580690677913897</v>
      </c>
      <c r="E13" s="1">
        <f>D13*D4*C11</f>
        <v>1.4400691814775199</v>
      </c>
      <c r="F13" s="1">
        <f>E13*D4*C10</f>
        <v>1.4018141584713797</v>
      </c>
      <c r="G13" s="1">
        <f>F13*D4*C9</f>
        <v>1.320511045791565</v>
      </c>
      <c r="H13" s="1">
        <f>G13*D4*C8</f>
        <v>1.1477181518919632</v>
      </c>
      <c r="I13" s="1">
        <f>H13*D4</f>
        <v>0.78048271405844794</v>
      </c>
      <c r="J13" s="1">
        <f>I13*D4</f>
        <v>0.5307516187139486</v>
      </c>
      <c r="K13" s="1"/>
      <c r="L13" s="1"/>
      <c r="M13" s="262"/>
      <c r="N13" s="97">
        <f>B13+J13</f>
        <v>0.99999999999999201</v>
      </c>
      <c r="R13" s="190">
        <f>B13-J13</f>
        <v>-6.1503237427905255E-2</v>
      </c>
      <c r="S13" s="93">
        <f>SUM(C13:I13)*$B$4*$F$4</f>
        <v>40.663353186018405</v>
      </c>
      <c r="T13" s="262">
        <f>SUM(C13:I13)*$D$4*$H$4</f>
        <v>-87.08288694210593</v>
      </c>
      <c r="U13" s="266">
        <f t="shared" si="0"/>
        <v>-46.419533756087525</v>
      </c>
      <c r="V13" s="93">
        <f>(U13+W13*J13)/B13</f>
        <v>-91.005689370845829</v>
      </c>
      <c r="W13" s="9">
        <f t="shared" si="1"/>
        <v>7</v>
      </c>
    </row>
    <row r="14" spans="1:23" x14ac:dyDescent="0.2">
      <c r="A14" s="99">
        <v>8</v>
      </c>
      <c r="B14" s="97">
        <f>C14*B4</f>
        <v>0.46992427685471655</v>
      </c>
      <c r="C14" s="97">
        <f>1/(1-D4*B4*C13)</f>
        <v>1.4686508081645757</v>
      </c>
      <c r="D14" s="144">
        <f>C14*D4*C13</f>
        <v>1.4646708460450066</v>
      </c>
      <c r="E14" s="1">
        <f>D14*D4*C12</f>
        <v>1.4562122624854925</v>
      </c>
      <c r="F14" s="1">
        <f>E14*D4*C11</f>
        <v>1.4382352984632696</v>
      </c>
      <c r="G14" s="1">
        <f>F14*D4*C10</f>
        <v>1.4000289920311684</v>
      </c>
      <c r="H14" s="1">
        <f>G14*D4*C9</f>
        <v>1.3188294163197625</v>
      </c>
      <c r="I14" s="1">
        <f>H14*D4*C8</f>
        <v>1.1462565687604209</v>
      </c>
      <c r="J14" s="1">
        <f>I14*D4</f>
        <v>0.77948879375889724</v>
      </c>
      <c r="K14" s="1">
        <f>J14*D4</f>
        <v>0.53007572314527407</v>
      </c>
      <c r="L14" s="1"/>
      <c r="M14" s="262"/>
      <c r="N14" s="97">
        <f>B14+K14</f>
        <v>0.99999999999999067</v>
      </c>
      <c r="R14" s="190">
        <f>B14-K14</f>
        <v>-6.015144629055752E-2</v>
      </c>
      <c r="S14" s="93">
        <f>SUM(C14:J14)*$B$4*$F$4</f>
        <v>47.235964951377873</v>
      </c>
      <c r="T14" s="262">
        <f>SUM(C14:J14)*$D$4*$H$4</f>
        <v>-101.15850939898569</v>
      </c>
      <c r="U14" s="266">
        <f t="shared" si="0"/>
        <v>-53.922544447607812</v>
      </c>
      <c r="V14" s="93">
        <f>(U14+W14*K14)/B14</f>
        <v>-105.72328587698281</v>
      </c>
      <c r="W14" s="9">
        <f t="shared" si="1"/>
        <v>8</v>
      </c>
    </row>
    <row r="15" spans="1:23" x14ac:dyDescent="0.2">
      <c r="A15" s="99">
        <v>9</v>
      </c>
      <c r="B15" s="97">
        <f>C15*B4</f>
        <v>0.47024170638825841</v>
      </c>
      <c r="C15" s="97">
        <f>1/(1-D4*B4*C14)</f>
        <v>1.469642868298374</v>
      </c>
      <c r="D15" s="144">
        <f>C15*D4*C14</f>
        <v>1.4677713241199053</v>
      </c>
      <c r="E15" s="1">
        <f>D15*D4*C13</f>
        <v>1.4637937453532497</v>
      </c>
      <c r="F15" s="1">
        <f>E15*D4*C12</f>
        <v>1.4553402271157574</v>
      </c>
      <c r="G15" s="1">
        <f>F15*D4*C11</f>
        <v>1.4373740283843315</v>
      </c>
      <c r="H15" s="1">
        <f>G15*D4*C10</f>
        <v>1.3991906013437956</v>
      </c>
      <c r="I15" s="1">
        <f>H15*D4*C9</f>
        <v>1.3180396510312082</v>
      </c>
      <c r="J15" s="1">
        <f>I15*D4*C8</f>
        <v>1.1455701466662653</v>
      </c>
      <c r="K15" s="1">
        <f>J15*D4</f>
        <v>0.77902200617855533</v>
      </c>
      <c r="L15" s="1">
        <f>K15*D4</f>
        <v>0.52975829361173088</v>
      </c>
      <c r="M15" s="262"/>
      <c r="N15" s="97">
        <f>B15+L15</f>
        <v>0.99999999999998934</v>
      </c>
      <c r="R15" s="190">
        <f>B15-L15</f>
        <v>-5.9516587223472472E-2</v>
      </c>
      <c r="S15" s="93">
        <f>SUM(C15:K15)*$B$4*$F$4</f>
        <v>53.83654824700303</v>
      </c>
      <c r="T15" s="262">
        <f>SUM(C15:K15)*$D$4*$H$4</f>
        <v>-115.29403448112562</v>
      </c>
      <c r="U15" s="266">
        <f t="shared" si="0"/>
        <v>-61.457486234122591</v>
      </c>
      <c r="V15" s="93">
        <f>(U15+W15*L15)/B15</f>
        <v>-120.55430392813943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0.47039093294659301</v>
      </c>
      <c r="C16" s="145">
        <f>1/(1-D4*B4*C15)</f>
        <v>1.4701092449388078</v>
      </c>
      <c r="D16" s="153">
        <f>C16*D4*C15</f>
        <v>1.4692288875266453</v>
      </c>
      <c r="E16" s="111">
        <f>D16*D4*C14</f>
        <v>1.4673578705397277</v>
      </c>
      <c r="F16" s="111">
        <f>E16*D4*C13</f>
        <v>1.4633814122093107</v>
      </c>
      <c r="G16" s="111">
        <f>F16*D4*C12</f>
        <v>1.4549302752265296</v>
      </c>
      <c r="H16" s="111">
        <f>G16*D4*C11</f>
        <v>1.4369691373578317</v>
      </c>
      <c r="I16" s="111">
        <f>H16*D4*C10</f>
        <v>1.3987964661307895</v>
      </c>
      <c r="J16" s="111">
        <f>I16*D4*C9</f>
        <v>1.3176683750677258</v>
      </c>
      <c r="K16" s="111">
        <f>J16*D4*C8</f>
        <v>1.1452474532938715</v>
      </c>
      <c r="L16" s="111">
        <f>K16*D4</f>
        <v>0.77880256502161316</v>
      </c>
      <c r="M16" s="264">
        <f>L16*D4</f>
        <v>0.52960906705339517</v>
      </c>
      <c r="N16" s="145">
        <f>B16+M16</f>
        <v>0.99999999999998823</v>
      </c>
      <c r="R16" s="191">
        <f>B16-M16</f>
        <v>-5.9218134106802156E-2</v>
      </c>
      <c r="S16" s="94">
        <f>SUM(C16:L16)*$B$4*$F$4</f>
        <v>60.452356734013165</v>
      </c>
      <c r="T16" s="264">
        <f>SUM(C16:L16)*$D$4*$H$4</f>
        <v>-129.46216517780957</v>
      </c>
      <c r="U16" s="267">
        <f t="shared" si="0"/>
        <v>-69.009808443796402</v>
      </c>
      <c r="V16" s="94">
        <f>(U16+W16*M16)/B16</f>
        <v>-135.44843939518779</v>
      </c>
      <c r="W16" s="10">
        <f t="shared" si="1"/>
        <v>10</v>
      </c>
    </row>
    <row r="18" spans="1:21" x14ac:dyDescent="0.2">
      <c r="A18" s="356" t="s">
        <v>200</v>
      </c>
      <c r="B18" s="356"/>
      <c r="C18" s="356"/>
      <c r="D18" s="356"/>
      <c r="E18" s="356"/>
      <c r="F18" s="356"/>
      <c r="O18" s="356" t="s">
        <v>201</v>
      </c>
      <c r="P18" s="356"/>
      <c r="Q18" s="356"/>
      <c r="R18" s="356"/>
      <c r="S18" s="356"/>
      <c r="T18" s="356"/>
    </row>
    <row r="19" spans="1:21" ht="17" thickBot="1" x14ac:dyDescent="0.25"/>
    <row r="20" spans="1:21" ht="17" thickBot="1" x14ac:dyDescent="0.25">
      <c r="A20" s="29" t="s">
        <v>135</v>
      </c>
      <c r="B20" s="19" t="s">
        <v>140</v>
      </c>
      <c r="C20" s="19" t="s">
        <v>139</v>
      </c>
      <c r="D20" s="19" t="s">
        <v>138</v>
      </c>
      <c r="E20" s="167" t="s">
        <v>151</v>
      </c>
      <c r="F20" s="168" t="s">
        <v>152</v>
      </c>
      <c r="G20" s="166" t="s">
        <v>47</v>
      </c>
      <c r="O20" s="29" t="s">
        <v>135</v>
      </c>
      <c r="P20" s="118" t="s">
        <v>140</v>
      </c>
      <c r="Q20" s="118" t="s">
        <v>139</v>
      </c>
      <c r="R20" s="118" t="s">
        <v>138</v>
      </c>
      <c r="S20" s="166" t="s">
        <v>151</v>
      </c>
      <c r="T20" s="168" t="s">
        <v>152</v>
      </c>
      <c r="U20" s="293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10</v>
      </c>
      <c r="D21" s="57">
        <f>SUM($C$21:C21)</f>
        <v>10</v>
      </c>
      <c r="E21" s="57">
        <f t="shared" ref="E21:E30" si="3">D21/R7</f>
        <v>-27.773157088330123</v>
      </c>
      <c r="F21" s="8">
        <f t="shared" ref="F21:F30" si="4">U7/E21</f>
        <v>0.18539585697739891</v>
      </c>
      <c r="G21" s="286">
        <f>E21*U7</f>
        <v>143.00477069942531</v>
      </c>
      <c r="O21" s="101">
        <v>1</v>
      </c>
      <c r="P21" s="109">
        <v>1</v>
      </c>
      <c r="Q21" s="110">
        <f>P21*10+45</f>
        <v>55</v>
      </c>
      <c r="R21" s="57">
        <f>SUM($Q$21)</f>
        <v>55</v>
      </c>
      <c r="S21" s="281">
        <f>R21/R7</f>
        <v>-152.75236398581566</v>
      </c>
      <c r="T21" s="8">
        <f>U7/S21</f>
        <v>3.3708337632254351E-2</v>
      </c>
      <c r="U21" s="286">
        <f>S21*U7</f>
        <v>786.52623884683908</v>
      </c>
    </row>
    <row r="22" spans="1:21" x14ac:dyDescent="0.2">
      <c r="A22" s="97">
        <v>2</v>
      </c>
      <c r="B22" s="93">
        <f>C21</f>
        <v>10</v>
      </c>
      <c r="C22" s="1">
        <f t="shared" si="2"/>
        <v>100</v>
      </c>
      <c r="D22" s="9">
        <f>SUM($C$21:C22)</f>
        <v>110</v>
      </c>
      <c r="E22" s="9">
        <f t="shared" si="3"/>
        <v>-604.09052907399814</v>
      </c>
      <c r="F22" s="9">
        <f t="shared" si="4"/>
        <v>1.8302290534756242E-2</v>
      </c>
      <c r="G22" s="287">
        <f t="shared" ref="G22:G30" si="5">E22*U8</f>
        <v>6678.9700961365988</v>
      </c>
      <c r="O22" s="99">
        <v>2</v>
      </c>
      <c r="P22" s="93">
        <f>Q21</f>
        <v>55</v>
      </c>
      <c r="Q22" s="1">
        <f t="shared" ref="Q22:Q30" si="6">P22*10+45</f>
        <v>595</v>
      </c>
      <c r="R22" s="9">
        <f>SUM($Q$21:Q22)</f>
        <v>650</v>
      </c>
      <c r="S22" s="282">
        <f t="shared" ref="S22:S30" si="7">R22/R8</f>
        <v>-3569.6258536190803</v>
      </c>
      <c r="T22" s="9">
        <f>U8/S22</f>
        <v>3.0973107058818255E-3</v>
      </c>
      <c r="U22" s="287">
        <f t="shared" ref="U22:U30" si="8">S22*U8</f>
        <v>39466.641477170815</v>
      </c>
    </row>
    <row r="23" spans="1:21" x14ac:dyDescent="0.2">
      <c r="A23" s="97">
        <v>3</v>
      </c>
      <c r="B23" s="93">
        <f t="shared" ref="B23:B30" si="9">C22</f>
        <v>100</v>
      </c>
      <c r="C23" s="1">
        <f t="shared" si="2"/>
        <v>1000</v>
      </c>
      <c r="D23" s="9">
        <f>SUM($C$21:C23)</f>
        <v>1110</v>
      </c>
      <c r="E23" s="9">
        <f t="shared" si="3"/>
        <v>-9776.9481787293116</v>
      </c>
      <c r="F23" s="9">
        <f t="shared" si="4"/>
        <v>1.7947943028797039E-3</v>
      </c>
      <c r="G23" s="287">
        <f t="shared" si="5"/>
        <v>171562.08233920721</v>
      </c>
      <c r="O23" s="99">
        <v>3</v>
      </c>
      <c r="P23" s="93">
        <f t="shared" ref="P23:P30" si="10">Q22</f>
        <v>595</v>
      </c>
      <c r="Q23" s="1">
        <f t="shared" si="6"/>
        <v>5995</v>
      </c>
      <c r="R23" s="9">
        <f>SUM($Q$21:Q23)</f>
        <v>6645</v>
      </c>
      <c r="S23" s="282">
        <f t="shared" si="7"/>
        <v>-58529.568151041683</v>
      </c>
      <c r="T23" s="9">
        <f t="shared" ref="T23:T30" si="11">U9/S23</f>
        <v>2.9980762621466842E-4</v>
      </c>
      <c r="U23" s="287">
        <f t="shared" si="8"/>
        <v>1027054.0875171457</v>
      </c>
    </row>
    <row r="24" spans="1:21" x14ac:dyDescent="0.2">
      <c r="A24" s="97">
        <v>4</v>
      </c>
      <c r="B24" s="93">
        <f t="shared" si="9"/>
        <v>1000</v>
      </c>
      <c r="C24" s="1">
        <f t="shared" si="2"/>
        <v>10000</v>
      </c>
      <c r="D24" s="9">
        <f>SUM($C$21:C24)</f>
        <v>11110</v>
      </c>
      <c r="E24" s="9">
        <f t="shared" si="3"/>
        <v>-132338.00925134317</v>
      </c>
      <c r="F24" s="9">
        <f t="shared" si="4"/>
        <v>1.8476996076452107E-4</v>
      </c>
      <c r="G24" s="287">
        <f t="shared" si="5"/>
        <v>3235940.7507886658</v>
      </c>
      <c r="O24" s="99">
        <v>4</v>
      </c>
      <c r="P24" s="93">
        <f t="shared" si="10"/>
        <v>5995</v>
      </c>
      <c r="Q24" s="1">
        <f t="shared" si="6"/>
        <v>59995</v>
      </c>
      <c r="R24" s="9">
        <f>SUM($Q$21:Q24)</f>
        <v>66640</v>
      </c>
      <c r="S24" s="282">
        <f t="shared" si="7"/>
        <v>-793789.82326818269</v>
      </c>
      <c r="T24" s="9">
        <f t="shared" si="11"/>
        <v>3.08042356556697E-5</v>
      </c>
      <c r="U24" s="287">
        <f t="shared" si="8"/>
        <v>19409819.228852991</v>
      </c>
    </row>
    <row r="25" spans="1:21" x14ac:dyDescent="0.2">
      <c r="A25" s="97">
        <v>5</v>
      </c>
      <c r="B25" s="93">
        <f t="shared" si="9"/>
        <v>10000</v>
      </c>
      <c r="C25" s="1">
        <f t="shared" si="2"/>
        <v>100000</v>
      </c>
      <c r="D25" s="9">
        <f>SUM($C$21:C25)</f>
        <v>111110</v>
      </c>
      <c r="E25" s="9">
        <f t="shared" si="3"/>
        <v>-1574458.5484830788</v>
      </c>
      <c r="F25" s="9">
        <f t="shared" si="4"/>
        <v>2.0088506433814926E-5</v>
      </c>
      <c r="G25" s="287">
        <f t="shared" si="5"/>
        <v>49797794.762038462</v>
      </c>
      <c r="O25" s="99">
        <v>5</v>
      </c>
      <c r="P25" s="93">
        <f t="shared" si="10"/>
        <v>59995</v>
      </c>
      <c r="Q25" s="1">
        <f t="shared" si="6"/>
        <v>599995</v>
      </c>
      <c r="R25" s="9">
        <f>SUM($Q$21:Q25)</f>
        <v>666635</v>
      </c>
      <c r="S25" s="282">
        <f t="shared" si="7"/>
        <v>-9446397.0341824964</v>
      </c>
      <c r="T25" s="9">
        <f t="shared" si="11"/>
        <v>3.3482099647650911E-6</v>
      </c>
      <c r="U25" s="287">
        <f t="shared" si="8"/>
        <v>298775563.95636314</v>
      </c>
    </row>
    <row r="26" spans="1:21" x14ac:dyDescent="0.2">
      <c r="A26" s="97">
        <v>6</v>
      </c>
      <c r="B26" s="93">
        <f t="shared" si="9"/>
        <v>100000</v>
      </c>
      <c r="C26" s="1">
        <f t="shared" si="2"/>
        <v>1000000</v>
      </c>
      <c r="D26" s="9">
        <f>SUM($C$21:C26)</f>
        <v>1111110</v>
      </c>
      <c r="E26" s="9">
        <f t="shared" si="3"/>
        <v>-17256565.101642109</v>
      </c>
      <c r="F26" s="9">
        <f t="shared" si="4"/>
        <v>2.258497144963798E-6</v>
      </c>
      <c r="G26" s="287">
        <f t="shared" si="5"/>
        <v>672555694.62515187</v>
      </c>
      <c r="O26" s="99">
        <v>6</v>
      </c>
      <c r="P26" s="93">
        <f t="shared" si="10"/>
        <v>599995</v>
      </c>
      <c r="Q26" s="1">
        <f t="shared" si="6"/>
        <v>5999995</v>
      </c>
      <c r="R26" s="9">
        <f>SUM($Q$21:Q26)</f>
        <v>6666630</v>
      </c>
      <c r="S26" s="282">
        <f t="shared" si="7"/>
        <v>-103538924.68212898</v>
      </c>
      <c r="T26" s="9">
        <f t="shared" si="11"/>
        <v>3.7641788470947472E-7</v>
      </c>
      <c r="U26" s="287">
        <f t="shared" si="8"/>
        <v>4035316008.7289968</v>
      </c>
    </row>
    <row r="27" spans="1:21" x14ac:dyDescent="0.2">
      <c r="A27" s="97">
        <v>7</v>
      </c>
      <c r="B27" s="93">
        <f t="shared" si="9"/>
        <v>1000000</v>
      </c>
      <c r="C27" s="1">
        <f t="shared" si="2"/>
        <v>10000000</v>
      </c>
      <c r="D27" s="9">
        <f>SUM($C$21:C27)</f>
        <v>11111110</v>
      </c>
      <c r="E27" s="9">
        <f t="shared" si="3"/>
        <v>-180658945.19820294</v>
      </c>
      <c r="F27" s="9">
        <f t="shared" si="4"/>
        <v>2.5694567022496528E-7</v>
      </c>
      <c r="G27" s="287">
        <f t="shared" si="5"/>
        <v>8386104004.9671478</v>
      </c>
      <c r="O27" s="99">
        <v>7</v>
      </c>
      <c r="P27" s="93">
        <f t="shared" si="10"/>
        <v>5999995</v>
      </c>
      <c r="Q27" s="1">
        <f t="shared" si="6"/>
        <v>59999995</v>
      </c>
      <c r="R27" s="9">
        <f>SUM($Q$21:Q27)</f>
        <v>66666625</v>
      </c>
      <c r="S27" s="282">
        <f t="shared" si="7"/>
        <v>-1083953102.1134834</v>
      </c>
      <c r="T27" s="9">
        <f t="shared" si="11"/>
        <v>4.2824300853587735E-8</v>
      </c>
      <c r="U27" s="287">
        <f t="shared" si="8"/>
        <v>50316597613.572632</v>
      </c>
    </row>
    <row r="28" spans="1:21" x14ac:dyDescent="0.2">
      <c r="A28" s="97">
        <v>8</v>
      </c>
      <c r="B28" s="93">
        <f t="shared" si="9"/>
        <v>10000000</v>
      </c>
      <c r="C28" s="1">
        <f t="shared" si="2"/>
        <v>100000000</v>
      </c>
      <c r="D28" s="9">
        <f>SUM($C$21:C28)</f>
        <v>111111110</v>
      </c>
      <c r="E28" s="9">
        <f t="shared" si="3"/>
        <v>-1847189333.7906663</v>
      </c>
      <c r="F28" s="9">
        <f t="shared" si="4"/>
        <v>2.9191671617631056E-8</v>
      </c>
      <c r="G28" s="287">
        <f t="shared" si="5"/>
        <v>99605148954.474274</v>
      </c>
      <c r="O28" s="99">
        <v>8</v>
      </c>
      <c r="P28" s="93">
        <f t="shared" si="10"/>
        <v>59999995</v>
      </c>
      <c r="Q28" s="1">
        <f t="shared" si="6"/>
        <v>599999995</v>
      </c>
      <c r="R28" s="9">
        <f>SUM($Q$21:Q28)</f>
        <v>666666620</v>
      </c>
      <c r="S28" s="282">
        <f t="shared" si="7"/>
        <v>-11083135337.755833</v>
      </c>
      <c r="T28" s="9">
        <f t="shared" si="11"/>
        <v>4.8652788948552456E-9</v>
      </c>
      <c r="U28" s="287">
        <f t="shared" si="8"/>
        <v>597630857868.9917</v>
      </c>
    </row>
    <row r="29" spans="1:21" x14ac:dyDescent="0.2">
      <c r="A29" s="97">
        <v>9</v>
      </c>
      <c r="B29" s="93">
        <f t="shared" si="9"/>
        <v>100000000</v>
      </c>
      <c r="C29" s="1">
        <f t="shared" si="2"/>
        <v>1000000000</v>
      </c>
      <c r="D29" s="9">
        <f>SUM($C$21:C29)</f>
        <v>1111111110</v>
      </c>
      <c r="E29" s="9">
        <f t="shared" si="3"/>
        <v>-18668931836.229244</v>
      </c>
      <c r="F29" s="9">
        <f t="shared" si="4"/>
        <v>3.2919658592816304E-9</v>
      </c>
      <c r="G29" s="287">
        <f t="shared" si="5"/>
        <v>1147345621330.8318</v>
      </c>
      <c r="O29" s="99">
        <v>9</v>
      </c>
      <c r="P29" s="93">
        <f t="shared" si="10"/>
        <v>599999995</v>
      </c>
      <c r="Q29" s="1">
        <f t="shared" si="6"/>
        <v>5999999995</v>
      </c>
      <c r="R29" s="9">
        <f>SUM($Q$21:Q29)</f>
        <v>6666666615</v>
      </c>
      <c r="S29" s="282">
        <f t="shared" si="7"/>
        <v>-112013590261.28374</v>
      </c>
      <c r="T29" s="9">
        <f t="shared" si="11"/>
        <v>5.4866098025039995E-10</v>
      </c>
      <c r="U29" s="287">
        <f t="shared" si="8"/>
        <v>6884073681517.4932</v>
      </c>
    </row>
    <row r="30" spans="1:21" ht="17" thickBot="1" x14ac:dyDescent="0.25">
      <c r="A30" s="145">
        <v>10</v>
      </c>
      <c r="B30" s="94">
        <f t="shared" si="9"/>
        <v>1000000000</v>
      </c>
      <c r="C30" s="111">
        <f t="shared" si="2"/>
        <v>10000000000</v>
      </c>
      <c r="D30" s="10">
        <f>SUM($C$21:C30)</f>
        <v>11111111110</v>
      </c>
      <c r="E30" s="10">
        <f t="shared" si="3"/>
        <v>-187630212899.99933</v>
      </c>
      <c r="F30" s="10">
        <f t="shared" si="4"/>
        <v>3.6779688823663138E-10</v>
      </c>
      <c r="G30" s="288">
        <f t="shared" si="5"/>
        <v>12948325050497.689</v>
      </c>
      <c r="O30" s="100">
        <v>10</v>
      </c>
      <c r="P30" s="94">
        <f t="shared" si="10"/>
        <v>5999999995</v>
      </c>
      <c r="Q30" s="111">
        <f t="shared" si="6"/>
        <v>59999999995</v>
      </c>
      <c r="R30" s="10">
        <f>SUM($Q$21:Q30)</f>
        <v>66666666610</v>
      </c>
      <c r="S30" s="283">
        <f t="shared" si="7"/>
        <v>-1125781276555.6599</v>
      </c>
      <c r="T30" s="10">
        <f t="shared" si="11"/>
        <v>6.1299481418746513E-11</v>
      </c>
      <c r="U30" s="288">
        <f t="shared" si="8"/>
        <v>77689950244718.672</v>
      </c>
    </row>
    <row r="31" spans="1:21" ht="17" thickBot="1" x14ac:dyDescent="0.25"/>
    <row r="32" spans="1:21" ht="17" thickBot="1" x14ac:dyDescent="0.25">
      <c r="A32" s="117" t="s">
        <v>135</v>
      </c>
      <c r="B32" s="118" t="s">
        <v>140</v>
      </c>
      <c r="C32" s="118" t="s">
        <v>139</v>
      </c>
      <c r="D32" s="170" t="s">
        <v>138</v>
      </c>
      <c r="E32" s="167" t="s">
        <v>151</v>
      </c>
      <c r="F32" s="168" t="s">
        <v>152</v>
      </c>
      <c r="G32" s="290" t="s">
        <v>47</v>
      </c>
      <c r="O32" s="29" t="s">
        <v>135</v>
      </c>
      <c r="P32" s="118" t="s">
        <v>140</v>
      </c>
      <c r="Q32" s="118" t="s">
        <v>139</v>
      </c>
      <c r="R32" s="118" t="s">
        <v>138</v>
      </c>
      <c r="S32" s="166" t="s">
        <v>151</v>
      </c>
      <c r="T32" s="168" t="s">
        <v>152</v>
      </c>
      <c r="U32" s="294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10</v>
      </c>
      <c r="D33" s="57">
        <f>SUM($C$33:C33)</f>
        <v>10</v>
      </c>
      <c r="E33" s="9">
        <f t="shared" ref="E33:E42" si="13">D33/R7</f>
        <v>-27.773157088330123</v>
      </c>
      <c r="F33" s="8">
        <f t="shared" ref="F33:F42" si="14">U7/E33</f>
        <v>0.18539585697739891</v>
      </c>
      <c r="G33" s="289">
        <f>E33*U7</f>
        <v>143.00477069942531</v>
      </c>
      <c r="O33" s="101">
        <v>1</v>
      </c>
      <c r="P33" s="109">
        <v>1</v>
      </c>
      <c r="Q33" s="110">
        <f>P33*10+45</f>
        <v>55</v>
      </c>
      <c r="R33" s="57">
        <f>SUM($Q$21)</f>
        <v>55</v>
      </c>
      <c r="S33" s="281">
        <f>R33/R7</f>
        <v>-152.75236398581566</v>
      </c>
      <c r="T33" s="8">
        <f>U7/S33</f>
        <v>3.3708337632254351E-2</v>
      </c>
      <c r="U33" s="289">
        <f>S33*U7</f>
        <v>786.52623884683908</v>
      </c>
    </row>
    <row r="34" spans="1:21" x14ac:dyDescent="0.2">
      <c r="A34" s="97">
        <v>2</v>
      </c>
      <c r="B34" s="93">
        <f t="shared" ref="B34:B42" si="15">B33*($O$2+1)</f>
        <v>11</v>
      </c>
      <c r="C34" s="1">
        <f t="shared" si="12"/>
        <v>110</v>
      </c>
      <c r="D34" s="9">
        <f>SUM($C$33:C34)</f>
        <v>120</v>
      </c>
      <c r="E34" s="9">
        <f t="shared" si="13"/>
        <v>-659.00784989890712</v>
      </c>
      <c r="F34" s="9">
        <f t="shared" si="14"/>
        <v>1.677709965685989E-2</v>
      </c>
      <c r="G34" s="287">
        <f t="shared" ref="G34:G42" si="16">E34*U8</f>
        <v>7286.1491957853814</v>
      </c>
      <c r="O34" s="99">
        <v>2</v>
      </c>
      <c r="P34" s="93">
        <f>Q33+1</f>
        <v>56</v>
      </c>
      <c r="Q34" s="1">
        <f t="shared" ref="Q34:Q42" si="17">P34*10+45</f>
        <v>605</v>
      </c>
      <c r="R34" s="9">
        <f>SUM($Q$33:Q34)</f>
        <v>660</v>
      </c>
      <c r="S34" s="282">
        <f>R34/R8</f>
        <v>-3624.5431744439893</v>
      </c>
      <c r="T34" s="9">
        <f t="shared" ref="T34:T42" si="18">U8/S34</f>
        <v>3.0503817557927066E-3</v>
      </c>
      <c r="U34" s="287">
        <f t="shared" ref="U34:U42" si="19">S34*U8</f>
        <v>40073.820576819599</v>
      </c>
    </row>
    <row r="35" spans="1:21" x14ac:dyDescent="0.2">
      <c r="A35" s="97">
        <v>3</v>
      </c>
      <c r="B35" s="93">
        <f t="shared" si="15"/>
        <v>121</v>
      </c>
      <c r="C35" s="1">
        <f t="shared" si="12"/>
        <v>1210</v>
      </c>
      <c r="D35" s="9">
        <f>SUM($C$33:C35)</f>
        <v>1330</v>
      </c>
      <c r="E35" s="9">
        <f t="shared" si="13"/>
        <v>-11714.721691630615</v>
      </c>
      <c r="F35" s="9">
        <f t="shared" si="14"/>
        <v>1.4979110347341893E-3</v>
      </c>
      <c r="G35" s="287">
        <f t="shared" si="16"/>
        <v>205565.37793796897</v>
      </c>
      <c r="O35" s="99">
        <v>3</v>
      </c>
      <c r="P35" s="93">
        <f t="shared" ref="P35:P42" si="20">Q34+1</f>
        <v>606</v>
      </c>
      <c r="Q35" s="1">
        <f t="shared" si="17"/>
        <v>6105</v>
      </c>
      <c r="R35" s="9">
        <f>SUM($Q$33:Q35)</f>
        <v>6765</v>
      </c>
      <c r="S35" s="282">
        <f t="shared" ref="S35:S42" si="21">R35/R9</f>
        <v>-59586.535521715123</v>
      </c>
      <c r="T35" s="9">
        <f t="shared" si="18"/>
        <v>2.9448953084944149E-4</v>
      </c>
      <c r="U35" s="287">
        <f t="shared" si="19"/>
        <v>1045601.3396619249</v>
      </c>
    </row>
    <row r="36" spans="1:21" x14ac:dyDescent="0.2">
      <c r="A36" s="97">
        <v>4</v>
      </c>
      <c r="B36" s="93">
        <f t="shared" si="15"/>
        <v>1331</v>
      </c>
      <c r="C36" s="1">
        <f t="shared" si="12"/>
        <v>13310</v>
      </c>
      <c r="D36" s="9">
        <f>SUM($C$33:C36)</f>
        <v>14640</v>
      </c>
      <c r="E36" s="9">
        <f t="shared" si="13"/>
        <v>-174385.99958952874</v>
      </c>
      <c r="F36" s="9">
        <f t="shared" si="14"/>
        <v>1.4021818743810308E-4</v>
      </c>
      <c r="G36" s="287">
        <f t="shared" si="16"/>
        <v>4264101.9434334897</v>
      </c>
      <c r="O36" s="99">
        <v>4</v>
      </c>
      <c r="P36" s="93">
        <f t="shared" si="20"/>
        <v>6106</v>
      </c>
      <c r="Q36" s="1">
        <f t="shared" si="17"/>
        <v>61105</v>
      </c>
      <c r="R36" s="9">
        <f>SUM($Q$33:Q36)</f>
        <v>67870</v>
      </c>
      <c r="S36" s="282">
        <f t="shared" si="21"/>
        <v>-808441.10602058168</v>
      </c>
      <c r="T36" s="9">
        <f t="shared" si="18"/>
        <v>3.0245974128389995E-5</v>
      </c>
      <c r="U36" s="287">
        <f t="shared" si="19"/>
        <v>19768073.69541195</v>
      </c>
    </row>
    <row r="37" spans="1:21" x14ac:dyDescent="0.2">
      <c r="A37" s="97">
        <v>5</v>
      </c>
      <c r="B37" s="93">
        <f t="shared" si="15"/>
        <v>14641</v>
      </c>
      <c r="C37" s="1">
        <f t="shared" si="12"/>
        <v>146410</v>
      </c>
      <c r="D37" s="9">
        <f>SUM($C$33:C37)</f>
        <v>161050</v>
      </c>
      <c r="E37" s="9">
        <f t="shared" si="13"/>
        <v>-2282121.764316442</v>
      </c>
      <c r="F37" s="9">
        <f t="shared" si="14"/>
        <v>1.3859260787712986E-5</v>
      </c>
      <c r="G37" s="287">
        <f t="shared" si="16"/>
        <v>72180135.419190854</v>
      </c>
      <c r="O37" s="99">
        <v>5</v>
      </c>
      <c r="P37" s="93">
        <f t="shared" si="20"/>
        <v>61106</v>
      </c>
      <c r="Q37" s="1">
        <f t="shared" si="17"/>
        <v>611105</v>
      </c>
      <c r="R37" s="9">
        <f>SUM($Q$33:Q37)</f>
        <v>678975</v>
      </c>
      <c r="S37" s="282">
        <f t="shared" si="21"/>
        <v>-9621258.1491881777</v>
      </c>
      <c r="T37" s="9">
        <f t="shared" si="18"/>
        <v>3.2873580763079295E-6</v>
      </c>
      <c r="U37" s="287">
        <f t="shared" si="19"/>
        <v>304306162.34861904</v>
      </c>
    </row>
    <row r="38" spans="1:21" x14ac:dyDescent="0.2">
      <c r="A38" s="97">
        <v>6</v>
      </c>
      <c r="B38" s="93">
        <f t="shared" si="15"/>
        <v>161051</v>
      </c>
      <c r="C38" s="1">
        <f t="shared" si="12"/>
        <v>1610510</v>
      </c>
      <c r="D38" s="9">
        <f>SUM($C$33:C38)</f>
        <v>1771560</v>
      </c>
      <c r="E38" s="9">
        <f t="shared" si="13"/>
        <v>-27513963.938282523</v>
      </c>
      <c r="F38" s="9">
        <f t="shared" si="14"/>
        <v>1.4165135602185224E-6</v>
      </c>
      <c r="G38" s="287">
        <f t="shared" si="16"/>
        <v>1072326562.0596826</v>
      </c>
      <c r="O38" s="99">
        <v>6</v>
      </c>
      <c r="P38" s="93">
        <f t="shared" si="20"/>
        <v>611106</v>
      </c>
      <c r="Q38" s="1">
        <f t="shared" si="17"/>
        <v>6111105</v>
      </c>
      <c r="R38" s="9">
        <f>SUM($Q$33:Q38)</f>
        <v>6790080</v>
      </c>
      <c r="S38" s="282">
        <f t="shared" si="21"/>
        <v>-105456217.2650395</v>
      </c>
      <c r="T38" s="9">
        <f t="shared" si="18"/>
        <v>3.6957425578796211E-7</v>
      </c>
      <c r="U38" s="287">
        <f t="shared" si="19"/>
        <v>4110040383.9046993</v>
      </c>
    </row>
    <row r="39" spans="1:21" x14ac:dyDescent="0.2">
      <c r="A39" s="97">
        <v>7</v>
      </c>
      <c r="B39" s="93">
        <f t="shared" si="15"/>
        <v>1771561</v>
      </c>
      <c r="C39" s="1">
        <f t="shared" si="12"/>
        <v>17715610</v>
      </c>
      <c r="D39" s="9">
        <f>SUM($C$33:C39)</f>
        <v>19487170</v>
      </c>
      <c r="E39" s="9">
        <f t="shared" si="13"/>
        <v>-316847873.62361318</v>
      </c>
      <c r="F39" s="9">
        <f t="shared" si="14"/>
        <v>1.4650416688997497E-7</v>
      </c>
      <c r="G39" s="287">
        <f t="shared" si="16"/>
        <v>14707930565.215866</v>
      </c>
      <c r="O39" s="99">
        <v>7</v>
      </c>
      <c r="P39" s="93">
        <f t="shared" si="20"/>
        <v>6111106</v>
      </c>
      <c r="Q39" s="1">
        <f t="shared" si="17"/>
        <v>61111105</v>
      </c>
      <c r="R39" s="9">
        <f>SUM($Q$33:Q39)</f>
        <v>67901185</v>
      </c>
      <c r="S39" s="282">
        <f t="shared" si="21"/>
        <v>-1104026191.7853427</v>
      </c>
      <c r="T39" s="9">
        <f t="shared" si="18"/>
        <v>4.2045681616503659E-8</v>
      </c>
      <c r="U39" s="287">
        <f t="shared" si="19"/>
        <v>51248381077.184471</v>
      </c>
    </row>
    <row r="40" spans="1:21" x14ac:dyDescent="0.2">
      <c r="A40" s="97">
        <v>8</v>
      </c>
      <c r="B40" s="93">
        <f t="shared" si="15"/>
        <v>19487171</v>
      </c>
      <c r="C40" s="1">
        <f t="shared" si="12"/>
        <v>194871710</v>
      </c>
      <c r="D40" s="9">
        <f>SUM($C$33:C40)</f>
        <v>214358880</v>
      </c>
      <c r="E40" s="9">
        <f t="shared" si="13"/>
        <v>-3563652966.2903504</v>
      </c>
      <c r="F40" s="9">
        <f t="shared" si="14"/>
        <v>1.5131255752924636E-8</v>
      </c>
      <c r="G40" s="287">
        <f t="shared" si="16"/>
        <v>192161235470.64084</v>
      </c>
      <c r="O40" s="99">
        <v>8</v>
      </c>
      <c r="P40" s="93">
        <f t="shared" si="20"/>
        <v>61111106</v>
      </c>
      <c r="Q40" s="1">
        <f t="shared" si="17"/>
        <v>611111105</v>
      </c>
      <c r="R40" s="9">
        <f>SUM($Q$33:Q40)</f>
        <v>679012290</v>
      </c>
      <c r="S40" s="282">
        <f t="shared" si="21"/>
        <v>-11288378449.290758</v>
      </c>
      <c r="T40" s="9">
        <f t="shared" si="18"/>
        <v>4.7768193359069863E-9</v>
      </c>
      <c r="U40" s="287">
        <f t="shared" si="19"/>
        <v>608698088673.29907</v>
      </c>
    </row>
    <row r="41" spans="1:21" x14ac:dyDescent="0.2">
      <c r="A41" s="97">
        <v>9</v>
      </c>
      <c r="B41" s="93">
        <f t="shared" si="15"/>
        <v>214358881</v>
      </c>
      <c r="C41" s="1">
        <f t="shared" si="12"/>
        <v>2143588810</v>
      </c>
      <c r="D41" s="9">
        <f>SUM($C$33:C41)</f>
        <v>2357947690</v>
      </c>
      <c r="E41" s="9">
        <f t="shared" si="13"/>
        <v>-39618328267.822113</v>
      </c>
      <c r="F41" s="9">
        <f t="shared" si="14"/>
        <v>1.5512387554231604E-9</v>
      </c>
      <c r="G41" s="287">
        <f t="shared" si="16"/>
        <v>2434842864138.6274</v>
      </c>
      <c r="O41" s="99">
        <v>9</v>
      </c>
      <c r="P41" s="93">
        <f t="shared" si="20"/>
        <v>611111106</v>
      </c>
      <c r="Q41" s="1">
        <f t="shared" si="17"/>
        <v>6111111105</v>
      </c>
      <c r="R41" s="9">
        <f>SUM($Q$33:Q41)</f>
        <v>6790123395</v>
      </c>
      <c r="S41" s="282">
        <f t="shared" si="21"/>
        <v>-114087915852.84438</v>
      </c>
      <c r="T41" s="9">
        <f t="shared" si="18"/>
        <v>5.3868532679125423E-10</v>
      </c>
      <c r="U41" s="287">
        <f t="shared" si="19"/>
        <v>7011556518005.9199</v>
      </c>
    </row>
    <row r="42" spans="1:21" ht="17" thickBot="1" x14ac:dyDescent="0.25">
      <c r="A42" s="145">
        <v>10</v>
      </c>
      <c r="B42" s="94">
        <f t="shared" si="15"/>
        <v>2357947691</v>
      </c>
      <c r="C42" s="111">
        <f t="shared" si="12"/>
        <v>23579476910</v>
      </c>
      <c r="D42" s="10">
        <f>SUM($C$33:C42)</f>
        <v>25937424600</v>
      </c>
      <c r="E42" s="9">
        <f t="shared" si="13"/>
        <v>-437998005023.61096</v>
      </c>
      <c r="F42" s="10">
        <f t="shared" si="14"/>
        <v>1.5755735791553735E-10</v>
      </c>
      <c r="G42" s="288">
        <f t="shared" si="16"/>
        <v>30226158425444.367</v>
      </c>
      <c r="O42" s="100">
        <v>10</v>
      </c>
      <c r="P42" s="94">
        <f t="shared" si="20"/>
        <v>6111111106</v>
      </c>
      <c r="Q42" s="111">
        <f t="shared" si="17"/>
        <v>61111111105</v>
      </c>
      <c r="R42" s="10">
        <f>SUM($Q$33:Q42)</f>
        <v>67901234500</v>
      </c>
      <c r="S42" s="283">
        <f t="shared" si="21"/>
        <v>-1146629077801.363</v>
      </c>
      <c r="T42" s="10">
        <f t="shared" si="18"/>
        <v>6.0184945401978859E-11</v>
      </c>
      <c r="U42" s="288">
        <f t="shared" si="19"/>
        <v>79128653015158.984</v>
      </c>
    </row>
    <row r="43" spans="1:21" ht="17" thickBot="1" x14ac:dyDescent="0.25">
      <c r="U43" s="285"/>
    </row>
    <row r="44" spans="1:21" ht="17" thickBot="1" x14ac:dyDescent="0.25">
      <c r="A44" s="117" t="s">
        <v>135</v>
      </c>
      <c r="B44" s="118" t="s">
        <v>140</v>
      </c>
      <c r="C44" s="118" t="s">
        <v>139</v>
      </c>
      <c r="D44" s="170" t="s">
        <v>138</v>
      </c>
      <c r="E44" s="167" t="s">
        <v>151</v>
      </c>
      <c r="F44" s="168" t="s">
        <v>152</v>
      </c>
      <c r="G44" s="290" t="s">
        <v>47</v>
      </c>
      <c r="O44" s="29" t="s">
        <v>135</v>
      </c>
      <c r="P44" s="118" t="s">
        <v>140</v>
      </c>
      <c r="Q44" s="118" t="s">
        <v>139</v>
      </c>
      <c r="R44" s="118" t="s">
        <v>138</v>
      </c>
      <c r="S44" s="166" t="s">
        <v>151</v>
      </c>
      <c r="T44" s="168" t="s">
        <v>152</v>
      </c>
      <c r="U44" s="294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10</v>
      </c>
      <c r="D45" s="57">
        <f>SUM(C45:C45)</f>
        <v>10</v>
      </c>
      <c r="E45" s="57">
        <f t="shared" ref="E45:E54" si="23">D45/R7</f>
        <v>-27.773157088330123</v>
      </c>
      <c r="F45" s="8">
        <f t="shared" ref="F45:F54" si="24">U7/E45</f>
        <v>0.18539585697739891</v>
      </c>
      <c r="G45" s="286">
        <f>E45*U7</f>
        <v>143.00477069942531</v>
      </c>
      <c r="O45" s="101">
        <v>1</v>
      </c>
      <c r="P45" s="109">
        <v>1</v>
      </c>
      <c r="Q45" s="110">
        <f>P45*10+45</f>
        <v>55</v>
      </c>
      <c r="R45" s="57">
        <f>SUM($Q$21)</f>
        <v>55</v>
      </c>
      <c r="S45" s="281">
        <f>R45/R7</f>
        <v>-152.75236398581566</v>
      </c>
      <c r="T45" s="8">
        <f>U7/S45</f>
        <v>3.3708337632254351E-2</v>
      </c>
      <c r="U45" s="289">
        <f>S45*U7</f>
        <v>786.52623884683908</v>
      </c>
    </row>
    <row r="46" spans="1:21" x14ac:dyDescent="0.2">
      <c r="A46" s="97">
        <v>2</v>
      </c>
      <c r="B46" s="93">
        <f t="shared" ref="B46:B54" si="25">B45*$O$2*2</f>
        <v>20</v>
      </c>
      <c r="C46" s="1">
        <f t="shared" si="22"/>
        <v>200</v>
      </c>
      <c r="D46" s="9">
        <f>SUM($C$45:C46)</f>
        <v>210</v>
      </c>
      <c r="E46" s="9">
        <f t="shared" si="23"/>
        <v>-1153.2637373230875</v>
      </c>
      <c r="F46" s="9">
        <f t="shared" si="24"/>
        <v>9.5869140896342221E-3</v>
      </c>
      <c r="G46" s="287">
        <f t="shared" ref="G46:G54" si="26">E46*U8</f>
        <v>12750.761092624418</v>
      </c>
      <c r="O46" s="99">
        <v>2</v>
      </c>
      <c r="P46" s="93">
        <f>Q45*2</f>
        <v>110</v>
      </c>
      <c r="Q46" s="1">
        <f t="shared" ref="Q46:Q54" si="27">P46*10+45</f>
        <v>1145</v>
      </c>
      <c r="R46" s="9">
        <f>SUM($Q$45:Q46)</f>
        <v>1200</v>
      </c>
      <c r="S46" s="282">
        <f t="shared" ref="S46:S54" si="28">R46/R8</f>
        <v>-6590.0784989890708</v>
      </c>
      <c r="T46" s="9">
        <f t="shared" ref="T46:T54" si="29">U8/S46</f>
        <v>1.677709965685989E-3</v>
      </c>
      <c r="U46" s="287">
        <f t="shared" ref="U46:U54" si="30">S46*U8</f>
        <v>72861.49195785381</v>
      </c>
    </row>
    <row r="47" spans="1:21" x14ac:dyDescent="0.2">
      <c r="A47" s="97">
        <v>3</v>
      </c>
      <c r="B47" s="93">
        <f t="shared" si="25"/>
        <v>400</v>
      </c>
      <c r="C47" s="1">
        <f t="shared" si="22"/>
        <v>4000</v>
      </c>
      <c r="D47" s="9">
        <f>SUM($C$45:C47)</f>
        <v>4210</v>
      </c>
      <c r="E47" s="9">
        <f t="shared" si="23"/>
        <v>-37081.938587793149</v>
      </c>
      <c r="F47" s="9">
        <f t="shared" si="24"/>
        <v>4.7321179957160849E-4</v>
      </c>
      <c r="G47" s="287">
        <f t="shared" si="26"/>
        <v>650699.42941266869</v>
      </c>
      <c r="O47" s="99">
        <v>3</v>
      </c>
      <c r="P47" s="93">
        <f t="shared" ref="P47:P54" si="31">Q46*2</f>
        <v>2290</v>
      </c>
      <c r="Q47" s="1">
        <f t="shared" si="27"/>
        <v>22945</v>
      </c>
      <c r="R47" s="9">
        <f>SUM($Q$45:Q47)</f>
        <v>24145</v>
      </c>
      <c r="S47" s="282">
        <f t="shared" si="28"/>
        <v>-212670.64304091819</v>
      </c>
      <c r="T47" s="9">
        <f t="shared" si="29"/>
        <v>8.2510734155993859E-5</v>
      </c>
      <c r="U47" s="287">
        <f t="shared" si="30"/>
        <v>3731861.6919641057</v>
      </c>
    </row>
    <row r="48" spans="1:21" x14ac:dyDescent="0.2">
      <c r="A48" s="97">
        <v>4</v>
      </c>
      <c r="B48" s="93">
        <f t="shared" si="25"/>
        <v>8000</v>
      </c>
      <c r="C48" s="1">
        <f t="shared" si="22"/>
        <v>80000</v>
      </c>
      <c r="D48" s="9">
        <f>SUM($C$45:C48)</f>
        <v>84210</v>
      </c>
      <c r="E48" s="9">
        <f t="shared" si="23"/>
        <v>-1003076.8459996048</v>
      </c>
      <c r="F48" s="9">
        <f t="shared" si="24"/>
        <v>2.4377084242890737E-5</v>
      </c>
      <c r="G48" s="287">
        <f t="shared" si="26"/>
        <v>24527324.088561077</v>
      </c>
      <c r="O48" s="99">
        <v>4</v>
      </c>
      <c r="P48" s="93">
        <f t="shared" si="31"/>
        <v>45890</v>
      </c>
      <c r="Q48" s="1">
        <f t="shared" si="27"/>
        <v>458945</v>
      </c>
      <c r="R48" s="9">
        <f>SUM($Q$45:Q48)</f>
        <v>483090</v>
      </c>
      <c r="S48" s="282">
        <f t="shared" si="28"/>
        <v>-5754380.6380946338</v>
      </c>
      <c r="T48" s="9">
        <f t="shared" si="29"/>
        <v>4.2492998490836673E-6</v>
      </c>
      <c r="U48" s="287">
        <f t="shared" si="30"/>
        <v>140706626.21948665</v>
      </c>
    </row>
    <row r="49" spans="1:21" x14ac:dyDescent="0.2">
      <c r="A49" s="97">
        <v>5</v>
      </c>
      <c r="B49" s="93">
        <f t="shared" si="25"/>
        <v>160000</v>
      </c>
      <c r="C49" s="1">
        <f t="shared" si="22"/>
        <v>1600000</v>
      </c>
      <c r="D49" s="9">
        <f>SUM($C$45:C49)</f>
        <v>1684210</v>
      </c>
      <c r="E49" s="9">
        <f t="shared" si="23"/>
        <v>-23865708.144547623</v>
      </c>
      <c r="F49" s="9">
        <f t="shared" si="24"/>
        <v>1.3252705718771271E-6</v>
      </c>
      <c r="G49" s="287">
        <f t="shared" si="26"/>
        <v>754837043.61599135</v>
      </c>
      <c r="O49" s="99">
        <v>5</v>
      </c>
      <c r="P49" s="93">
        <f t="shared" si="31"/>
        <v>917890</v>
      </c>
      <c r="Q49" s="1">
        <f t="shared" si="27"/>
        <v>9178945</v>
      </c>
      <c r="R49" s="9">
        <f>SUM($Q$45:Q49)</f>
        <v>9662035</v>
      </c>
      <c r="S49" s="282">
        <f t="shared" si="28"/>
        <v>-136913631.54974982</v>
      </c>
      <c r="T49" s="9">
        <f t="shared" si="29"/>
        <v>2.3101074979144421E-7</v>
      </c>
      <c r="U49" s="287">
        <f t="shared" si="30"/>
        <v>4330375626.97896</v>
      </c>
    </row>
    <row r="50" spans="1:21" x14ac:dyDescent="0.2">
      <c r="A50" s="97">
        <v>6</v>
      </c>
      <c r="B50" s="93">
        <f t="shared" si="25"/>
        <v>3200000</v>
      </c>
      <c r="C50" s="1">
        <f t="shared" si="22"/>
        <v>32000000</v>
      </c>
      <c r="D50" s="9">
        <f>SUM($C$45:C50)</f>
        <v>33684210</v>
      </c>
      <c r="E50" s="9">
        <f t="shared" si="23"/>
        <v>-523146909.63305533</v>
      </c>
      <c r="F50" s="9">
        <f t="shared" si="24"/>
        <v>7.4498964432911617E-8</v>
      </c>
      <c r="G50" s="287">
        <f t="shared" si="26"/>
        <v>20389076918.081451</v>
      </c>
      <c r="O50" s="99">
        <v>6</v>
      </c>
      <c r="P50" s="93">
        <f t="shared" si="31"/>
        <v>18357890</v>
      </c>
      <c r="Q50" s="1">
        <f t="shared" si="27"/>
        <v>183578945</v>
      </c>
      <c r="R50" s="9">
        <f>SUM($Q$45:Q50)</f>
        <v>193240980</v>
      </c>
      <c r="S50" s="282">
        <f t="shared" si="28"/>
        <v>-3001210997.718606</v>
      </c>
      <c r="T50" s="9">
        <f t="shared" si="29"/>
        <v>1.2986058975382581E-8</v>
      </c>
      <c r="U50" s="287">
        <f t="shared" si="30"/>
        <v>116968906349.45689</v>
      </c>
    </row>
    <row r="51" spans="1:21" x14ac:dyDescent="0.2">
      <c r="A51" s="97">
        <v>7</v>
      </c>
      <c r="B51" s="93">
        <f t="shared" si="25"/>
        <v>64000000</v>
      </c>
      <c r="C51" s="1">
        <f t="shared" si="22"/>
        <v>640000000</v>
      </c>
      <c r="D51" s="9">
        <f>SUM($C$45:C51)</f>
        <v>673684210</v>
      </c>
      <c r="E51" s="9">
        <f t="shared" si="23"/>
        <v>-10953638185.139437</v>
      </c>
      <c r="F51" s="9">
        <f t="shared" si="24"/>
        <v>4.2378187933086835E-9</v>
      </c>
      <c r="G51" s="287">
        <f t="shared" si="26"/>
        <v>508462777487.04938</v>
      </c>
      <c r="O51" s="99">
        <v>7</v>
      </c>
      <c r="P51" s="93">
        <f t="shared" si="31"/>
        <v>367157890</v>
      </c>
      <c r="Q51" s="1">
        <f t="shared" si="27"/>
        <v>3671578945</v>
      </c>
      <c r="R51" s="9">
        <f>SUM($Q$45:Q51)</f>
        <v>3864819925</v>
      </c>
      <c r="S51" s="282">
        <f t="shared" si="28"/>
        <v>-62839292476.764053</v>
      </c>
      <c r="T51" s="9">
        <f t="shared" si="29"/>
        <v>7.3870236163546833E-10</v>
      </c>
      <c r="U51" s="287">
        <f t="shared" si="30"/>
        <v>2916970658333.8057</v>
      </c>
    </row>
    <row r="52" spans="1:21" x14ac:dyDescent="0.2">
      <c r="A52" s="97">
        <v>8</v>
      </c>
      <c r="B52" s="93">
        <f t="shared" si="25"/>
        <v>1280000000</v>
      </c>
      <c r="C52" s="1">
        <f t="shared" si="22"/>
        <v>12800000000</v>
      </c>
      <c r="D52" s="9">
        <f>SUM($C$45:C52)</f>
        <v>13473684210</v>
      </c>
      <c r="E52" s="9">
        <f t="shared" si="23"/>
        <v>-223996014076.14163</v>
      </c>
      <c r="F52" s="9">
        <f t="shared" si="24"/>
        <v>2.4072992847666584E-10</v>
      </c>
      <c r="G52" s="287">
        <f t="shared" si="26"/>
        <v>12078435025107.732</v>
      </c>
      <c r="O52" s="99">
        <v>8</v>
      </c>
      <c r="P52" s="93">
        <f t="shared" si="31"/>
        <v>7343157890</v>
      </c>
      <c r="Q52" s="1">
        <f t="shared" si="27"/>
        <v>73431578945</v>
      </c>
      <c r="R52" s="9">
        <f>SUM($Q$45:Q52)</f>
        <v>77296398870</v>
      </c>
      <c r="S52" s="282">
        <f t="shared" si="28"/>
        <v>-1285029764648.134</v>
      </c>
      <c r="T52" s="9">
        <f t="shared" si="29"/>
        <v>4.1962097634658951E-11</v>
      </c>
      <c r="U52" s="287">
        <f t="shared" si="30"/>
        <v>69292074600738.016</v>
      </c>
    </row>
    <row r="53" spans="1:21" x14ac:dyDescent="0.2">
      <c r="A53" s="97">
        <v>9</v>
      </c>
      <c r="B53" s="93">
        <f t="shared" si="25"/>
        <v>25600000000</v>
      </c>
      <c r="C53" s="1">
        <f t="shared" si="22"/>
        <v>256000000000</v>
      </c>
      <c r="D53" s="9">
        <f>SUM($C$45:C53)</f>
        <v>269473684210</v>
      </c>
      <c r="E53" s="9">
        <f t="shared" si="23"/>
        <v>-4527707262484.3564</v>
      </c>
      <c r="F53" s="9">
        <f t="shared" si="24"/>
        <v>1.3573643937483896E-11</v>
      </c>
      <c r="G53" s="287">
        <f t="shared" si="26"/>
        <v>278261506756269.22</v>
      </c>
      <c r="O53" s="99">
        <v>9</v>
      </c>
      <c r="P53" s="93">
        <f t="shared" si="31"/>
        <v>146863157890</v>
      </c>
      <c r="Q53" s="1">
        <f t="shared" si="27"/>
        <v>1468631578945</v>
      </c>
      <c r="R53" s="9">
        <f>SUM($Q$45:Q53)</f>
        <v>1545927977815</v>
      </c>
      <c r="S53" s="282">
        <f t="shared" si="28"/>
        <v>-25974741663367.898</v>
      </c>
      <c r="T53" s="9">
        <f t="shared" si="29"/>
        <v>2.3660480258325687E-12</v>
      </c>
      <c r="U53" s="287">
        <f t="shared" si="30"/>
        <v>1596342328211323.2</v>
      </c>
    </row>
    <row r="54" spans="1:21" ht="17" thickBot="1" x14ac:dyDescent="0.25">
      <c r="A54" s="145">
        <v>10</v>
      </c>
      <c r="B54" s="94">
        <f t="shared" si="25"/>
        <v>512000000000</v>
      </c>
      <c r="C54" s="111">
        <f t="shared" si="22"/>
        <v>5120000000000</v>
      </c>
      <c r="D54" s="10">
        <f>SUM($C$45:C54)</f>
        <v>5389473684210</v>
      </c>
      <c r="E54" s="10">
        <f t="shared" si="23"/>
        <v>-91010528539955</v>
      </c>
      <c r="F54" s="10">
        <f t="shared" si="24"/>
        <v>7.5826181378015023E-13</v>
      </c>
      <c r="G54" s="288">
        <f t="shared" si="26"/>
        <v>6280619140910960</v>
      </c>
      <c r="O54" s="100">
        <v>10</v>
      </c>
      <c r="P54" s="94">
        <f t="shared" si="31"/>
        <v>2937263157890</v>
      </c>
      <c r="Q54" s="111">
        <f t="shared" si="27"/>
        <v>29372631578945</v>
      </c>
      <c r="R54" s="10">
        <f>SUM($Q$45:Q54)</f>
        <v>30918559556760</v>
      </c>
      <c r="S54" s="283">
        <f t="shared" si="28"/>
        <v>-522113032149868.19</v>
      </c>
      <c r="T54" s="10">
        <f t="shared" si="29"/>
        <v>1.3217407763150357E-13</v>
      </c>
      <c r="U54" s="288">
        <f t="shared" si="30"/>
        <v>3.6030920334672112E+16</v>
      </c>
    </row>
  </sheetData>
  <mergeCells count="2">
    <mergeCell ref="A18:F18"/>
    <mergeCell ref="O18:T18"/>
  </mergeCells>
  <conditionalFormatting sqref="F45:F54">
    <cfRule type="cellIs" dxfId="313" priority="53" operator="equal">
      <formula>MAX($F$45:$F$54)</formula>
    </cfRule>
  </conditionalFormatting>
  <conditionalFormatting sqref="F21:F30">
    <cfRule type="cellIs" dxfId="312" priority="51" operator="equal">
      <formula>MAX($F$21:$F$30)</formula>
    </cfRule>
  </conditionalFormatting>
  <conditionalFormatting sqref="F33:F42">
    <cfRule type="cellIs" dxfId="311" priority="32" operator="lessThanOrEqual">
      <formula>0</formula>
    </cfRule>
    <cfRule type="cellIs" dxfId="310" priority="49" operator="equal">
      <formula>MAX($F$33:$F$42)</formula>
    </cfRule>
  </conditionalFormatting>
  <conditionalFormatting sqref="E33:E42">
    <cfRule type="cellIs" dxfId="309" priority="47" stopIfTrue="1" operator="lessThan">
      <formula>0</formula>
    </cfRule>
    <cfRule type="cellIs" dxfId="308" priority="48" operator="equal">
      <formula>MIN($E$33:$E$42)</formula>
    </cfRule>
  </conditionalFormatting>
  <conditionalFormatting sqref="E21:E30">
    <cfRule type="cellIs" dxfId="307" priority="43" stopIfTrue="1" operator="lessThan">
      <formula>0</formula>
    </cfRule>
    <cfRule type="cellIs" dxfId="306" priority="44" operator="equal">
      <formula>MIN($E$21:$E$30)</formula>
    </cfRule>
  </conditionalFormatting>
  <conditionalFormatting sqref="E45:E54">
    <cfRule type="cellIs" dxfId="305" priority="39" stopIfTrue="1" operator="lessThan">
      <formula>0</formula>
    </cfRule>
    <cfRule type="cellIs" dxfId="304" priority="40" operator="equal">
      <formula>MIN($E$45:$E$54)</formula>
    </cfRule>
  </conditionalFormatting>
  <conditionalFormatting sqref="S7:T16">
    <cfRule type="cellIs" dxfId="303" priority="13" operator="lessThanOrEqual">
      <formula>0</formula>
    </cfRule>
    <cfRule type="cellIs" dxfId="302" priority="14" operator="greaterThan">
      <formula>0</formula>
    </cfRule>
  </conditionalFormatting>
  <conditionalFormatting sqref="U7:U16">
    <cfRule type="cellIs" dxfId="301" priority="15" operator="lessThanOrEqual">
      <formula>0</formula>
    </cfRule>
    <cfRule type="cellIs" dxfId="300" priority="16" operator="greaterThan">
      <formula>0</formula>
    </cfRule>
  </conditionalFormatting>
  <conditionalFormatting sqref="R7:R16">
    <cfRule type="cellIs" dxfId="299" priority="17" operator="lessThanOrEqual">
      <formula>0</formula>
    </cfRule>
    <cfRule type="cellIs" dxfId="298" priority="18" operator="greaterThan">
      <formula>0</formula>
    </cfRule>
  </conditionalFormatting>
  <conditionalFormatting sqref="T21:T30">
    <cfRule type="cellIs" dxfId="297" priority="9" operator="equal">
      <formula>MAX($T$21:$T$30)</formula>
    </cfRule>
  </conditionalFormatting>
  <conditionalFormatting sqref="S33:S42">
    <cfRule type="cellIs" dxfId="296" priority="7" stopIfTrue="1" operator="lessThan">
      <formula>0</formula>
    </cfRule>
    <cfRule type="cellIs" dxfId="295" priority="8" operator="equal">
      <formula>MIN($E$21:$E$30)</formula>
    </cfRule>
  </conditionalFormatting>
  <conditionalFormatting sqref="T33:T42">
    <cfRule type="cellIs" dxfId="294" priority="6" operator="equal">
      <formula>MAX($T$21:$T$30)</formula>
    </cfRule>
  </conditionalFormatting>
  <conditionalFormatting sqref="S45:S54">
    <cfRule type="cellIs" dxfId="293" priority="4" stopIfTrue="1" operator="lessThan">
      <formula>0</formula>
    </cfRule>
    <cfRule type="cellIs" dxfId="292" priority="5" operator="equal">
      <formula>MIN($E$21:$E$30)</formula>
    </cfRule>
  </conditionalFormatting>
  <conditionalFormatting sqref="T45:T54">
    <cfRule type="cellIs" dxfId="291" priority="3" operator="equal">
      <formula>MAX($T$21:$T$30)</formula>
    </cfRule>
  </conditionalFormatting>
  <conditionalFormatting sqref="S21:S30">
    <cfRule type="cellIs" dxfId="290" priority="1" stopIfTrue="1" operator="lessThan">
      <formula>0</formula>
    </cfRule>
    <cfRule type="cellIs" dxfId="289" priority="2" operator="equal">
      <formula>MIN($E$21:$E$30)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>
    <pageSetUpPr fitToPage="1"/>
  </sheetPr>
  <dimension ref="A1:W54"/>
  <sheetViews>
    <sheetView workbookViewId="0">
      <selection activeCell="C7" sqref="C7:C16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0.99999999999999967</v>
      </c>
    </row>
    <row r="2" spans="1:23" x14ac:dyDescent="0.2">
      <c r="A2" t="s">
        <v>40</v>
      </c>
      <c r="B2" s="149" t="s">
        <v>125</v>
      </c>
      <c r="C2" s="155">
        <f>Analysis!B42</f>
        <v>0.16604320932594807</v>
      </c>
      <c r="D2" s="149" t="s">
        <v>126</v>
      </c>
      <c r="E2" s="155">
        <f>Analysis!I42</f>
        <v>0.8339567906740516</v>
      </c>
      <c r="F2" s="149" t="s">
        <v>47</v>
      </c>
      <c r="G2" s="155">
        <f>Analysis!S42</f>
        <v>-3.7054895270049211</v>
      </c>
      <c r="H2" t="s">
        <v>156</v>
      </c>
      <c r="I2" s="169">
        <f>Analysis!T42</f>
        <v>-6.5431870617232839</v>
      </c>
      <c r="J2" t="s">
        <v>48</v>
      </c>
      <c r="K2" s="169">
        <f>C2*G2+E2*I2</f>
        <v>-6.0720066559623138</v>
      </c>
      <c r="L2" t="s">
        <v>47</v>
      </c>
      <c r="M2" s="176">
        <v>3</v>
      </c>
      <c r="N2" t="s">
        <v>156</v>
      </c>
      <c r="O2" s="176">
        <v>4</v>
      </c>
    </row>
    <row r="4" spans="1:23" x14ac:dyDescent="0.2">
      <c r="A4" t="s">
        <v>123</v>
      </c>
      <c r="B4">
        <f>$C$2</f>
        <v>0.16604320932594807</v>
      </c>
      <c r="C4" t="s">
        <v>124</v>
      </c>
      <c r="D4">
        <f>$E$2</f>
        <v>0.8339567906740516</v>
      </c>
      <c r="E4" t="s">
        <v>47</v>
      </c>
      <c r="F4">
        <f>G2</f>
        <v>-3.7054895270049211</v>
      </c>
      <c r="G4" t="s">
        <v>156</v>
      </c>
      <c r="H4">
        <f>I2</f>
        <v>-6.5431870617232839</v>
      </c>
      <c r="I4" t="s">
        <v>48</v>
      </c>
      <c r="J4">
        <f>K2</f>
        <v>-6.0720066559623138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60">
        <v>-10</v>
      </c>
      <c r="N6" s="104" t="s">
        <v>136</v>
      </c>
      <c r="R6" s="188" t="s">
        <v>49</v>
      </c>
      <c r="S6" s="164" t="s">
        <v>130</v>
      </c>
      <c r="T6" s="165" t="s">
        <v>137</v>
      </c>
      <c r="U6" s="268" t="s">
        <v>48</v>
      </c>
      <c r="V6" s="175" t="s">
        <v>47</v>
      </c>
      <c r="W6" s="168" t="s">
        <v>156</v>
      </c>
    </row>
    <row r="7" spans="1:23" x14ac:dyDescent="0.2">
      <c r="A7" s="101">
        <v>1</v>
      </c>
      <c r="B7" s="95">
        <f>C7*B4</f>
        <v>0.16604320932594807</v>
      </c>
      <c r="C7" s="95">
        <v>1</v>
      </c>
      <c r="D7" s="22">
        <f>C7*D4</f>
        <v>0.8339567906740516</v>
      </c>
      <c r="E7" s="2"/>
      <c r="F7" s="2"/>
      <c r="G7" s="2"/>
      <c r="H7" s="2"/>
      <c r="I7" s="2"/>
      <c r="J7" s="2"/>
      <c r="K7" s="2"/>
      <c r="L7" s="2"/>
      <c r="M7" s="261"/>
      <c r="N7" s="96">
        <f>B7+D7</f>
        <v>0.99999999999999967</v>
      </c>
      <c r="R7" s="189">
        <f>B7-D7</f>
        <v>-0.66791358134810352</v>
      </c>
      <c r="S7" s="109">
        <f>SUM(C7)*$B$4*$F$4</f>
        <v>-0.6152713731875864</v>
      </c>
      <c r="T7" s="263">
        <f>SUM(C7)*$D$4*$H$4</f>
        <v>-5.4567352827747273</v>
      </c>
      <c r="U7" s="265">
        <f>S7+T7</f>
        <v>-6.0720066559623138</v>
      </c>
      <c r="V7" s="109">
        <f>(U7+W7*D7)/B7</f>
        <v>-31.546305847448448</v>
      </c>
      <c r="W7" s="57">
        <f>COUNT(D7:M7)</f>
        <v>1</v>
      </c>
    </row>
    <row r="8" spans="1:23" x14ac:dyDescent="0.2">
      <c r="A8" s="99">
        <v>2</v>
      </c>
      <c r="B8" s="97">
        <f>C8*B4</f>
        <v>0.19273125824477136</v>
      </c>
      <c r="C8" s="97">
        <f>1/(1-B4*D4*C7)</f>
        <v>1.1607295415883814</v>
      </c>
      <c r="D8" s="144">
        <f>C8*D4</f>
        <v>0.9679982833436096</v>
      </c>
      <c r="E8" s="1">
        <f>D8*D4</f>
        <v>0.80726874175522789</v>
      </c>
      <c r="F8" s="1"/>
      <c r="G8" s="1"/>
      <c r="H8" s="1"/>
      <c r="I8" s="1"/>
      <c r="J8" s="1"/>
      <c r="K8" s="1"/>
      <c r="L8" s="1"/>
      <c r="M8" s="262"/>
      <c r="N8" s="97">
        <f>B8+E8</f>
        <v>0.99999999999999922</v>
      </c>
      <c r="R8" s="190">
        <f>B8-E8</f>
        <v>-0.61453748351045656</v>
      </c>
      <c r="S8" s="93">
        <f>SUM(C8:D8)*$B$4*$F$4</f>
        <v>-1.3097452919885302</v>
      </c>
      <c r="T8" s="262">
        <f>SUM(C8:D8)*$D$4*$H$4</f>
        <v>-11.615904229730697</v>
      </c>
      <c r="U8" s="266">
        <f>S8+T8</f>
        <v>-12.925649521719228</v>
      </c>
      <c r="V8" s="93">
        <f>(U8+W8*E8)/B8</f>
        <v>-58.688518620282672</v>
      </c>
      <c r="W8" s="9">
        <f>COUNT(D8:M8)</f>
        <v>2</v>
      </c>
    </row>
    <row r="9" spans="1:23" x14ac:dyDescent="0.2">
      <c r="A9" s="99">
        <v>3</v>
      </c>
      <c r="B9" s="97">
        <f>C9*B4</f>
        <v>0.19784231371636399</v>
      </c>
      <c r="C9" s="97">
        <f>1/(1-D4*B4*C8)</f>
        <v>1.1915110200501682</v>
      </c>
      <c r="D9" s="144">
        <f>C9*D4*C8</f>
        <v>1.1533806219935561</v>
      </c>
      <c r="E9" s="1">
        <f>D9*(D4)</f>
        <v>0.96186960194338744</v>
      </c>
      <c r="F9" s="1">
        <f>E9*D4</f>
        <v>0.80215768628363493</v>
      </c>
      <c r="G9" s="1"/>
      <c r="H9" s="1"/>
      <c r="I9" s="1"/>
      <c r="J9" s="1"/>
      <c r="K9" s="1"/>
      <c r="L9" s="1"/>
      <c r="M9" s="262"/>
      <c r="N9" s="97">
        <f>B9+F9</f>
        <v>0.99999999999999889</v>
      </c>
      <c r="R9" s="190">
        <f>B9-F9</f>
        <v>-0.60431537256727097</v>
      </c>
      <c r="S9" s="93">
        <f>SUM(C9:E9)*$B$4*$F$4</f>
        <v>-2.0345555313914421</v>
      </c>
      <c r="T9" s="262">
        <f>SUM(C9:E9)*$D$4*$H$4</f>
        <v>-18.044120751776525</v>
      </c>
      <c r="U9" s="266">
        <f t="shared" ref="U9:U16" si="0">S9+T9</f>
        <v>-20.078676283167965</v>
      </c>
      <c r="V9" s="93">
        <f>(U9+W9*F9)/B9</f>
        <v>-89.324689407205156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0.19885222368521627</v>
      </c>
      <c r="C10" s="97">
        <f>1/(1-D4*B4*C9)</f>
        <v>1.1975932318608891</v>
      </c>
      <c r="D10" s="144">
        <f>C10*D4*C9</f>
        <v>1.1900109174173288</v>
      </c>
      <c r="E10" s="1">
        <f>D10*D4*C8</f>
        <v>1.1519285252201283</v>
      </c>
      <c r="F10" s="1">
        <f>E10*D4</f>
        <v>0.96065861597847158</v>
      </c>
      <c r="G10" s="1">
        <f>F10*D4</f>
        <v>0.80114777631478229</v>
      </c>
      <c r="H10" s="1"/>
      <c r="I10" s="1"/>
      <c r="J10" s="1"/>
      <c r="K10" s="1"/>
      <c r="L10" s="1"/>
      <c r="M10" s="262"/>
      <c r="N10" s="97">
        <f>B10+G10</f>
        <v>0.99999999999999856</v>
      </c>
      <c r="R10" s="190">
        <f>B10-G10</f>
        <v>-0.60229555262956602</v>
      </c>
      <c r="S10" s="93">
        <f>SUM(C10:F10)*$B$4*$F$4</f>
        <v>-2.768838874898488</v>
      </c>
      <c r="T10" s="262">
        <f>SUM(C10:F10)*$D$4*$H$4</f>
        <v>-24.556352593980382</v>
      </c>
      <c r="U10" s="266">
        <f t="shared" si="0"/>
        <v>-27.32519146887887</v>
      </c>
      <c r="V10" s="93">
        <f>(U10+W10*G10)/B10</f>
        <v>-121.29912312070863</v>
      </c>
      <c r="W10" s="9">
        <f t="shared" si="1"/>
        <v>4</v>
      </c>
    </row>
    <row r="11" spans="1:23" x14ac:dyDescent="0.2">
      <c r="A11" s="99">
        <v>5</v>
      </c>
      <c r="B11" s="97">
        <f>C11*B4</f>
        <v>0.19905299620081596</v>
      </c>
      <c r="C11" s="97">
        <f>1/(1-D4*B4*C10)</f>
        <v>1.1988023901059912</v>
      </c>
      <c r="D11" s="144">
        <f>C11*D4*C10</f>
        <v>1.1972931076978632</v>
      </c>
      <c r="E11" s="1">
        <f>D11*D4*C9</f>
        <v>1.1897126934285154</v>
      </c>
      <c r="F11" s="1">
        <f>E11*D4*C8</f>
        <v>1.1516398449109051</v>
      </c>
      <c r="G11" s="1">
        <f>F11*D4</f>
        <v>0.96041786907426097</v>
      </c>
      <c r="H11" s="1">
        <f>G11*D4</f>
        <v>0.80094700379918216</v>
      </c>
      <c r="I11" s="1"/>
      <c r="J11" s="1"/>
      <c r="K11" s="1"/>
      <c r="L11" s="1"/>
      <c r="M11" s="262"/>
      <c r="N11" s="97">
        <f>B11+H11</f>
        <v>0.99999999999999811</v>
      </c>
      <c r="R11" s="190">
        <f>B11-H11</f>
        <v>-0.6018940075983662</v>
      </c>
      <c r="S11" s="93">
        <f>SUM(C11:G11)*$B$4*$F$4</f>
        <v>-3.5057337797419232</v>
      </c>
      <c r="T11" s="262">
        <f>SUM(C11:G11)*$D$4*$H$4</f>
        <v>-31.091745921519685</v>
      </c>
      <c r="U11" s="266">
        <f t="shared" si="0"/>
        <v>-34.597479701261605</v>
      </c>
      <c r="V11" s="93">
        <f>(U11+W11*H11)/B11</f>
        <v>-153.69145537202564</v>
      </c>
      <c r="W11" s="9">
        <f t="shared" si="1"/>
        <v>5</v>
      </c>
    </row>
    <row r="12" spans="1:23" x14ac:dyDescent="0.2">
      <c r="A12" s="99">
        <v>6</v>
      </c>
      <c r="B12" s="97">
        <f>C12*B4</f>
        <v>0.19909295857762219</v>
      </c>
      <c r="C12" s="97">
        <f>1/(1-D4*B4*C11)</f>
        <v>1.199043064668766</v>
      </c>
      <c r="D12" s="144">
        <f>C12*D4*C11</f>
        <v>1.1987425771688023</v>
      </c>
      <c r="E12" s="1">
        <f>D12*D4*C10</f>
        <v>1.1972333700646733</v>
      </c>
      <c r="F12" s="1">
        <f>E12*D4*C9</f>
        <v>1.1896533340118243</v>
      </c>
      <c r="G12" s="1">
        <f>F12*D4*C8</f>
        <v>1.1515823850974478</v>
      </c>
      <c r="H12" s="1">
        <f>G12*D4</f>
        <v>0.96036995007263737</v>
      </c>
      <c r="I12" s="1">
        <f>H12*D4</f>
        <v>0.80090704142237579</v>
      </c>
      <c r="J12" s="1"/>
      <c r="K12" s="1"/>
      <c r="L12" s="1"/>
      <c r="M12" s="262"/>
      <c r="N12" s="97">
        <f>B12+I12</f>
        <v>0.999999999999998</v>
      </c>
      <c r="R12" s="190">
        <f>B12-I12</f>
        <v>-0.60181408284475357</v>
      </c>
      <c r="S12" s="93">
        <f>SUM(C12:H12)*$B$4*$F$4</f>
        <v>-4.2432957378900458</v>
      </c>
      <c r="T12" s="262">
        <f>SUM(C12:H12)*$D$4*$H$4</f>
        <v>-37.633055229326892</v>
      </c>
      <c r="U12" s="266">
        <f t="shared" si="0"/>
        <v>-41.876350967216936</v>
      </c>
      <c r="V12" s="93">
        <f>(U12+W12*I12)/B12</f>
        <v>-186.19899459794058</v>
      </c>
      <c r="W12" s="9">
        <f t="shared" si="1"/>
        <v>6</v>
      </c>
    </row>
    <row r="13" spans="1:23" x14ac:dyDescent="0.2">
      <c r="A13" s="99">
        <v>7</v>
      </c>
      <c r="B13" s="97">
        <f>C13*B4</f>
        <v>0.19910091472641575</v>
      </c>
      <c r="C13" s="97">
        <f>1/(1-D4*B4*C12)</f>
        <v>1.1990909808035231</v>
      </c>
      <c r="D13" s="144">
        <f>C13*D4*C12</f>
        <v>1.1990311534674161</v>
      </c>
      <c r="E13" s="1">
        <f>D13*D4*C11</f>
        <v>1.1987306689524719</v>
      </c>
      <c r="F13" s="1">
        <f>E13*D4*C10</f>
        <v>1.1972214768406899</v>
      </c>
      <c r="G13" s="1">
        <f>F13*D4*C9</f>
        <v>1.1896415160873344</v>
      </c>
      <c r="H13" s="1">
        <f>G13*D4*C8</f>
        <v>1.1515709453668288</v>
      </c>
      <c r="I13" s="1">
        <f>H13*D4</f>
        <v>0.9603604098316042</v>
      </c>
      <c r="J13" s="1">
        <f>I13*D4</f>
        <v>0.80089908527358156</v>
      </c>
      <c r="K13" s="1"/>
      <c r="L13" s="1"/>
      <c r="M13" s="262"/>
      <c r="N13" s="97">
        <f>B13+J13</f>
        <v>0.99999999999999734</v>
      </c>
      <c r="R13" s="190">
        <f>B13-J13</f>
        <v>-0.60179817054716578</v>
      </c>
      <c r="S13" s="93">
        <f>SUM(C13:I13)*$B$4*$F$4</f>
        <v>-4.9810199396532058</v>
      </c>
      <c r="T13" s="262">
        <f>SUM(C13:I13)*$D$4*$H$4</f>
        <v>-44.175803447665544</v>
      </c>
      <c r="U13" s="266">
        <f t="shared" si="0"/>
        <v>-49.156823387318752</v>
      </c>
      <c r="V13" s="93">
        <f>(U13+W13*J13)/B13</f>
        <v>-218.73596035581451</v>
      </c>
      <c r="W13" s="9">
        <f t="shared" si="1"/>
        <v>7</v>
      </c>
    </row>
    <row r="14" spans="1:23" x14ac:dyDescent="0.2">
      <c r="A14" s="99">
        <v>8</v>
      </c>
      <c r="B14" s="97">
        <f>C14*B4</f>
        <v>0.19910249879978517</v>
      </c>
      <c r="C14" s="97">
        <f>1/(1-D4*B4*C13)</f>
        <v>1.1991005209309142</v>
      </c>
      <c r="D14" s="144">
        <f>C14*D4*C13</f>
        <v>1.1990886091587982</v>
      </c>
      <c r="E14" s="1">
        <f>D14*D4*C12</f>
        <v>1.1990287819410219</v>
      </c>
      <c r="F14" s="1">
        <f>E14*D4*C11</f>
        <v>1.1987282980203968</v>
      </c>
      <c r="G14" s="1">
        <f>F14*D4*C10</f>
        <v>1.1972191088935991</v>
      </c>
      <c r="H14" s="1">
        <f>G14*D4*C9</f>
        <v>1.1896391631324119</v>
      </c>
      <c r="I14" s="1">
        <f>H14*D4*C8</f>
        <v>1.151568667710503</v>
      </c>
      <c r="J14" s="1">
        <f>I14*D4</f>
        <v>0.96035851036464448</v>
      </c>
      <c r="K14" s="1">
        <f>J14*D4</f>
        <v>0.80089750120021186</v>
      </c>
      <c r="L14" s="1"/>
      <c r="M14" s="262"/>
      <c r="N14" s="97">
        <f>B14+K14</f>
        <v>0.999999999999997</v>
      </c>
      <c r="R14" s="190">
        <f>B14-K14</f>
        <v>-0.60179500240042672</v>
      </c>
      <c r="S14" s="93">
        <f>SUM(C14:J14)*$B$4*$F$4</f>
        <v>-5.7187823119520331</v>
      </c>
      <c r="T14" s="262">
        <f>SUM(C14:J14)*$D$4*$H$4</f>
        <v>-50.718890193876312</v>
      </c>
      <c r="U14" s="266">
        <f t="shared" si="0"/>
        <v>-56.437672505828345</v>
      </c>
      <c r="V14" s="93">
        <f>(U14+W14*K14)/B14</f>
        <v>-251.28008336317592</v>
      </c>
      <c r="W14" s="9">
        <f t="shared" si="1"/>
        <v>8</v>
      </c>
    </row>
    <row r="15" spans="1:23" x14ac:dyDescent="0.2">
      <c r="A15" s="99">
        <v>9</v>
      </c>
      <c r="B15" s="97">
        <f>C15*B4</f>
        <v>0.1991028141926271</v>
      </c>
      <c r="C15" s="97">
        <f>1/(1-D4*B4*C14)</f>
        <v>1.1991024203933687</v>
      </c>
      <c r="D15" s="144">
        <f>C15*D4*C14</f>
        <v>1.1991000487260177</v>
      </c>
      <c r="E15" s="1">
        <f>D15*D4*C13</f>
        <v>1.1990881369585926</v>
      </c>
      <c r="F15" s="1">
        <f>E15*D4*C12</f>
        <v>1.1990283097643761</v>
      </c>
      <c r="G15" s="1">
        <f>F15*D4*C11</f>
        <v>1.1987278259620813</v>
      </c>
      <c r="H15" s="1">
        <f>G15*D4*C10</f>
        <v>1.197218637429601</v>
      </c>
      <c r="I15" s="1">
        <f>H15*D4*C9</f>
        <v>1.189638694653391</v>
      </c>
      <c r="J15" s="1">
        <f>I15*D4*C8</f>
        <v>1.151568214223615</v>
      </c>
      <c r="K15" s="1">
        <f>J15*D4</f>
        <v>0.96035813217617472</v>
      </c>
      <c r="L15" s="1">
        <f>K15*D4</f>
        <v>0.80089718580736935</v>
      </c>
      <c r="M15" s="262"/>
      <c r="N15" s="97">
        <f>B15+L15</f>
        <v>0.99999999999999645</v>
      </c>
      <c r="R15" s="190">
        <f>B15-L15</f>
        <v>-0.60179437161474225</v>
      </c>
      <c r="S15" s="93">
        <f>SUM(C15:K15)*$B$4*$F$4</f>
        <v>-6.4565534526877837</v>
      </c>
      <c r="T15" s="262">
        <f>SUM(C15:K15)*$D$4*$H$4</f>
        <v>-57.262054705836007</v>
      </c>
      <c r="U15" s="266">
        <f t="shared" si="0"/>
        <v>-63.718608158523793</v>
      </c>
      <c r="V15" s="93">
        <f>(U15+W15*L15)/B15</f>
        <v>-283.82589023370065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0.19910287698822457</v>
      </c>
      <c r="C16" s="145">
        <f>1/(1-D4*B4*C15)</f>
        <v>1.1991027985816591</v>
      </c>
      <c r="D16" s="153">
        <f>C16*D4*C15</f>
        <v>1.1991023263758658</v>
      </c>
      <c r="E16" s="111">
        <f>D16*D4*C14</f>
        <v>1.1990999547087009</v>
      </c>
      <c r="F16" s="111">
        <f>E16*D4*C13</f>
        <v>1.1990880429422097</v>
      </c>
      <c r="G16" s="111">
        <f>F16*D4*C12</f>
        <v>1.1990282157526841</v>
      </c>
      <c r="H16" s="111">
        <f>G16*D4*C11</f>
        <v>1.1987277319739491</v>
      </c>
      <c r="I16" s="111">
        <f>H16*D4*C10</f>
        <v>1.1972185435597991</v>
      </c>
      <c r="J16" s="111">
        <f>I16*D4*C9</f>
        <v>1.1896386013779063</v>
      </c>
      <c r="K16" s="111">
        <f>J16*D4*C8</f>
        <v>1.1515681239331061</v>
      </c>
      <c r="L16" s="111">
        <f>K16*D4</f>
        <v>0.96035805687779174</v>
      </c>
      <c r="M16" s="264">
        <f>L16*D4</f>
        <v>0.80089712301177152</v>
      </c>
      <c r="N16" s="145">
        <f>B16+M16</f>
        <v>0.99999999999999611</v>
      </c>
      <c r="R16" s="191">
        <f>B16-M16</f>
        <v>-0.60179424602354692</v>
      </c>
      <c r="S16" s="94">
        <f>SUM(C16:L16)*$B$4*$F$4</f>
        <v>-7.1943265719280163</v>
      </c>
      <c r="T16" s="264">
        <f>SUM(C16:L16)*$D$4*$H$4</f>
        <v>-63.805236764809408</v>
      </c>
      <c r="U16" s="267">
        <f t="shared" si="0"/>
        <v>-70.999563336737424</v>
      </c>
      <c r="V16" s="94">
        <f>(U16+W16*M16)/B16</f>
        <v>-316.37208391692462</v>
      </c>
      <c r="W16" s="10">
        <f t="shared" si="1"/>
        <v>10</v>
      </c>
    </row>
    <row r="18" spans="1:21" x14ac:dyDescent="0.2">
      <c r="A18" s="356" t="s">
        <v>200</v>
      </c>
      <c r="B18" s="356"/>
      <c r="C18" s="356"/>
      <c r="D18" s="356"/>
      <c r="E18" s="356"/>
      <c r="F18" s="356"/>
      <c r="O18" s="356" t="s">
        <v>201</v>
      </c>
      <c r="P18" s="356"/>
      <c r="Q18" s="356"/>
      <c r="R18" s="356"/>
      <c r="S18" s="356"/>
      <c r="T18" s="356"/>
    </row>
    <row r="19" spans="1:21" ht="17" thickBot="1" x14ac:dyDescent="0.25"/>
    <row r="20" spans="1:21" ht="17" thickBot="1" x14ac:dyDescent="0.25">
      <c r="A20" s="29" t="s">
        <v>135</v>
      </c>
      <c r="B20" s="19" t="s">
        <v>140</v>
      </c>
      <c r="C20" s="19" t="s">
        <v>139</v>
      </c>
      <c r="D20" s="19" t="s">
        <v>138</v>
      </c>
      <c r="E20" s="167" t="s">
        <v>151</v>
      </c>
      <c r="F20" s="168" t="s">
        <v>152</v>
      </c>
      <c r="G20" s="166" t="s">
        <v>47</v>
      </c>
      <c r="O20" s="29" t="s">
        <v>135</v>
      </c>
      <c r="P20" s="118" t="s">
        <v>140</v>
      </c>
      <c r="Q20" s="118" t="s">
        <v>139</v>
      </c>
      <c r="R20" s="118" t="s">
        <v>138</v>
      </c>
      <c r="S20" s="166" t="s">
        <v>151</v>
      </c>
      <c r="T20" s="168" t="s">
        <v>152</v>
      </c>
      <c r="U20" s="293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4</v>
      </c>
      <c r="D21" s="57">
        <f>SUM($C$21:C21)</f>
        <v>4</v>
      </c>
      <c r="E21" s="57">
        <f t="shared" ref="E21:E30" si="3">D21/R7</f>
        <v>-5.9887987184307274</v>
      </c>
      <c r="F21" s="8">
        <f t="shared" ref="F21:F30" si="4">U7/E21</f>
        <v>1.0138939278883279</v>
      </c>
      <c r="G21" s="286">
        <f>E21*U7</f>
        <v>36.364025679529952</v>
      </c>
      <c r="O21" s="101">
        <v>1</v>
      </c>
      <c r="P21" s="109">
        <v>1</v>
      </c>
      <c r="Q21" s="110">
        <f>P21*4+6</f>
        <v>10</v>
      </c>
      <c r="R21" s="57">
        <f>SUM($Q$21)</f>
        <v>10</v>
      </c>
      <c r="S21" s="281">
        <f>R21/R7</f>
        <v>-14.971996796076819</v>
      </c>
      <c r="T21" s="8">
        <f>U7/S21</f>
        <v>0.40555757115533109</v>
      </c>
      <c r="U21" s="286">
        <f>S21*U7</f>
        <v>90.910064198824884</v>
      </c>
    </row>
    <row r="22" spans="1:21" x14ac:dyDescent="0.2">
      <c r="A22" s="97">
        <v>2</v>
      </c>
      <c r="B22" s="93">
        <f>C21</f>
        <v>4</v>
      </c>
      <c r="C22" s="1">
        <f t="shared" si="2"/>
        <v>16</v>
      </c>
      <c r="D22" s="9">
        <f>SUM($C$21:C22)</f>
        <v>20</v>
      </c>
      <c r="E22" s="9">
        <f t="shared" si="3"/>
        <v>-32.544800824439363</v>
      </c>
      <c r="F22" s="9">
        <f t="shared" si="4"/>
        <v>0.39716480649077357</v>
      </c>
      <c r="G22" s="287">
        <f t="shared" ref="G22:G30" si="5">E22*U8</f>
        <v>420.6626892108622</v>
      </c>
      <c r="O22" s="99">
        <v>2</v>
      </c>
      <c r="P22" s="93">
        <f>Q21</f>
        <v>10</v>
      </c>
      <c r="Q22" s="1">
        <f>P22*3+3</f>
        <v>33</v>
      </c>
      <c r="R22" s="9">
        <f>SUM($Q$21:Q22)</f>
        <v>43</v>
      </c>
      <c r="S22" s="282">
        <f t="shared" ref="S22:S30" si="6">R22/R8</f>
        <v>-69.971321772544641</v>
      </c>
      <c r="T22" s="9">
        <f>U8/S22</f>
        <v>0.1847278169724528</v>
      </c>
      <c r="U22" s="287">
        <f t="shared" ref="U22:U30" si="7">S22*U8</f>
        <v>904.42478180335388</v>
      </c>
    </row>
    <row r="23" spans="1:21" x14ac:dyDescent="0.2">
      <c r="A23" s="97">
        <v>3</v>
      </c>
      <c r="B23" s="93">
        <f t="shared" ref="B23:B30" si="8">C22</f>
        <v>16</v>
      </c>
      <c r="C23" s="1">
        <f t="shared" si="2"/>
        <v>64</v>
      </c>
      <c r="D23" s="9">
        <f>SUM($C$21:C23)</f>
        <v>84</v>
      </c>
      <c r="E23" s="9">
        <f t="shared" si="3"/>
        <v>-139.00027007942666</v>
      </c>
      <c r="F23" s="9">
        <f t="shared" si="4"/>
        <v>0.14445062784190804</v>
      </c>
      <c r="G23" s="287">
        <f t="shared" si="5"/>
        <v>2790.9414261977258</v>
      </c>
      <c r="O23" s="99">
        <v>3</v>
      </c>
      <c r="P23" s="93">
        <f t="shared" ref="P23:P30" si="9">Q22</f>
        <v>33</v>
      </c>
      <c r="Q23" s="1">
        <f t="shared" ref="Q23:Q30" si="10">P23*3+3</f>
        <v>102</v>
      </c>
      <c r="R23" s="9">
        <f>SUM($Q$21:Q23)</f>
        <v>145</v>
      </c>
      <c r="S23" s="282">
        <f t="shared" si="6"/>
        <v>-239.94094239901028</v>
      </c>
      <c r="T23" s="9">
        <f t="shared" ref="T23:T30" si="11">U9/S23</f>
        <v>8.3681743025657077E-2</v>
      </c>
      <c r="U23" s="287">
        <f t="shared" si="7"/>
        <v>4817.6965095079786</v>
      </c>
    </row>
    <row r="24" spans="1:21" x14ac:dyDescent="0.2">
      <c r="A24" s="97">
        <v>4</v>
      </c>
      <c r="B24" s="93">
        <f t="shared" si="8"/>
        <v>64</v>
      </c>
      <c r="C24" s="1">
        <f t="shared" si="2"/>
        <v>256</v>
      </c>
      <c r="D24" s="9">
        <f>SUM($C$21:C24)</f>
        <v>340</v>
      </c>
      <c r="E24" s="9">
        <f t="shared" si="3"/>
        <v>-564.50690780563104</v>
      </c>
      <c r="F24" s="9">
        <f t="shared" si="4"/>
        <v>4.8405415577815004E-2</v>
      </c>
      <c r="G24" s="287">
        <f t="shared" si="5"/>
        <v>15425.25934129362</v>
      </c>
      <c r="O24" s="99">
        <v>4</v>
      </c>
      <c r="P24" s="93">
        <f t="shared" si="9"/>
        <v>102</v>
      </c>
      <c r="Q24" s="1">
        <f t="shared" si="10"/>
        <v>309</v>
      </c>
      <c r="R24" s="9">
        <f>SUM($Q$21:Q24)</f>
        <v>454</v>
      </c>
      <c r="S24" s="282">
        <f t="shared" si="6"/>
        <v>-753.78275336398963</v>
      </c>
      <c r="T24" s="9">
        <f t="shared" si="11"/>
        <v>3.6250751754310799E-2</v>
      </c>
      <c r="U24" s="287">
        <f t="shared" si="7"/>
        <v>20597.258061609715</v>
      </c>
    </row>
    <row r="25" spans="1:21" x14ac:dyDescent="0.2">
      <c r="A25" s="97">
        <v>5</v>
      </c>
      <c r="B25" s="93">
        <f t="shared" si="8"/>
        <v>256</v>
      </c>
      <c r="C25" s="1">
        <f t="shared" si="2"/>
        <v>1024</v>
      </c>
      <c r="D25" s="9">
        <f>SUM($C$21:C25)</f>
        <v>1364</v>
      </c>
      <c r="E25" s="9">
        <f t="shared" si="3"/>
        <v>-2266.1797306182425</v>
      </c>
      <c r="F25" s="9">
        <f t="shared" si="4"/>
        <v>1.5266873687826595E-2</v>
      </c>
      <c r="G25" s="287">
        <f t="shared" si="5"/>
        <v>78404.107229475136</v>
      </c>
      <c r="O25" s="99">
        <v>5</v>
      </c>
      <c r="P25" s="93">
        <f t="shared" si="9"/>
        <v>309</v>
      </c>
      <c r="Q25" s="1">
        <f t="shared" si="10"/>
        <v>930</v>
      </c>
      <c r="R25" s="9">
        <f>SUM($Q$21:Q25)</f>
        <v>1384</v>
      </c>
      <c r="S25" s="282">
        <f t="shared" si="6"/>
        <v>-2299.4081724161642</v>
      </c>
      <c r="T25" s="9">
        <f t="shared" si="11"/>
        <v>1.504625412586378E-2</v>
      </c>
      <c r="U25" s="287">
        <f t="shared" si="7"/>
        <v>79553.727570083283</v>
      </c>
    </row>
    <row r="26" spans="1:21" x14ac:dyDescent="0.2">
      <c r="A26" s="97">
        <v>6</v>
      </c>
      <c r="B26" s="93">
        <f t="shared" si="8"/>
        <v>1024</v>
      </c>
      <c r="C26" s="1">
        <f t="shared" si="2"/>
        <v>4096</v>
      </c>
      <c r="D26" s="9">
        <f>SUM($C$21:C26)</f>
        <v>5460</v>
      </c>
      <c r="E26" s="9">
        <f t="shared" si="3"/>
        <v>-9072.5693459860158</v>
      </c>
      <c r="F26" s="9">
        <f t="shared" si="4"/>
        <v>4.6157102106631261E-3</v>
      </c>
      <c r="G26" s="287">
        <f t="shared" si="5"/>
        <v>379926.09810692421</v>
      </c>
      <c r="O26" s="99">
        <v>6</v>
      </c>
      <c r="P26" s="93">
        <f t="shared" si="9"/>
        <v>930</v>
      </c>
      <c r="Q26" s="1">
        <f t="shared" si="10"/>
        <v>2793</v>
      </c>
      <c r="R26" s="9">
        <f>SUM($Q$21:Q26)</f>
        <v>4177</v>
      </c>
      <c r="S26" s="282">
        <f t="shared" si="6"/>
        <v>-6940.6817139530385</v>
      </c>
      <c r="T26" s="9">
        <f t="shared" si="11"/>
        <v>6.0334636701509861E-3</v>
      </c>
      <c r="U26" s="287">
        <f t="shared" si="7"/>
        <v>290650.42340524221</v>
      </c>
    </row>
    <row r="27" spans="1:21" x14ac:dyDescent="0.2">
      <c r="A27" s="97">
        <v>7</v>
      </c>
      <c r="B27" s="93">
        <f t="shared" si="8"/>
        <v>4096</v>
      </c>
      <c r="C27" s="1">
        <f t="shared" si="2"/>
        <v>16384</v>
      </c>
      <c r="D27" s="9">
        <f>SUM($C$21:C27)</f>
        <v>21844</v>
      </c>
      <c r="E27" s="9">
        <f t="shared" si="3"/>
        <v>-36297.883691037212</v>
      </c>
      <c r="F27" s="9">
        <f t="shared" si="4"/>
        <v>1.3542614166086138E-3</v>
      </c>
      <c r="G27" s="287">
        <f t="shared" si="5"/>
        <v>1784288.6579337539</v>
      </c>
      <c r="O27" s="99">
        <v>7</v>
      </c>
      <c r="P27" s="93">
        <f t="shared" si="9"/>
        <v>2793</v>
      </c>
      <c r="Q27" s="1">
        <f t="shared" si="10"/>
        <v>8382</v>
      </c>
      <c r="R27" s="9">
        <f>SUM($Q$21:Q27)</f>
        <v>12559</v>
      </c>
      <c r="S27" s="282">
        <f t="shared" si="6"/>
        <v>-20869.122929671139</v>
      </c>
      <c r="T27" s="9">
        <f t="shared" si="11"/>
        <v>2.3554810402419426E-3</v>
      </c>
      <c r="U27" s="287">
        <f t="shared" si="7"/>
        <v>1025859.7901020882</v>
      </c>
    </row>
    <row r="28" spans="1:21" x14ac:dyDescent="0.2">
      <c r="A28" s="97">
        <v>8</v>
      </c>
      <c r="B28" s="93">
        <f t="shared" si="8"/>
        <v>16384</v>
      </c>
      <c r="C28" s="1">
        <f t="shared" si="2"/>
        <v>65536</v>
      </c>
      <c r="D28" s="9">
        <f>SUM($C$21:C28)</f>
        <v>87380</v>
      </c>
      <c r="E28" s="9">
        <f t="shared" si="3"/>
        <v>-145198.94590593237</v>
      </c>
      <c r="F28" s="9">
        <f t="shared" si="4"/>
        <v>3.8869202633462426E-4</v>
      </c>
      <c r="G28" s="287">
        <f t="shared" si="5"/>
        <v>8194690.5572304968</v>
      </c>
      <c r="O28" s="99">
        <v>8</v>
      </c>
      <c r="P28" s="93">
        <f t="shared" si="9"/>
        <v>8382</v>
      </c>
      <c r="Q28" s="1">
        <f t="shared" si="10"/>
        <v>25149</v>
      </c>
      <c r="R28" s="9">
        <f>SUM($Q$21:Q28)</f>
        <v>37708</v>
      </c>
      <c r="S28" s="282">
        <f t="shared" si="6"/>
        <v>-62659.210943246711</v>
      </c>
      <c r="T28" s="9">
        <f t="shared" si="11"/>
        <v>9.0070831815846687E-4</v>
      </c>
      <c r="U28" s="287">
        <f t="shared" si="7"/>
        <v>3536340.0266885734</v>
      </c>
    </row>
    <row r="29" spans="1:21" x14ac:dyDescent="0.2">
      <c r="A29" s="97">
        <v>9</v>
      </c>
      <c r="B29" s="93">
        <f t="shared" si="8"/>
        <v>65536</v>
      </c>
      <c r="C29" s="1">
        <f t="shared" si="2"/>
        <v>262144</v>
      </c>
      <c r="D29" s="9">
        <f>SUM($C$21:C29)</f>
        <v>349524</v>
      </c>
      <c r="E29" s="9">
        <f t="shared" si="3"/>
        <v>-580803.03918787546</v>
      </c>
      <c r="F29" s="9">
        <f t="shared" si="4"/>
        <v>1.0970777330576674E-4</v>
      </c>
      <c r="G29" s="287">
        <f t="shared" si="5"/>
        <v>37007961.271291979</v>
      </c>
      <c r="O29" s="99">
        <v>9</v>
      </c>
      <c r="P29" s="93">
        <f t="shared" si="9"/>
        <v>25149</v>
      </c>
      <c r="Q29" s="1">
        <f t="shared" si="10"/>
        <v>75450</v>
      </c>
      <c r="R29" s="9">
        <f>SUM($Q$21:Q29)</f>
        <v>113158</v>
      </c>
      <c r="S29" s="282">
        <f t="shared" si="6"/>
        <v>-188034.32756669528</v>
      </c>
      <c r="T29" s="9">
        <f t="shared" si="11"/>
        <v>3.3886689192920357E-4</v>
      </c>
      <c r="U29" s="287">
        <f t="shared" si="7"/>
        <v>11981285.638573766</v>
      </c>
    </row>
    <row r="30" spans="1:21" ht="17" thickBot="1" x14ac:dyDescent="0.25">
      <c r="A30" s="145">
        <v>10</v>
      </c>
      <c r="B30" s="94">
        <f t="shared" si="8"/>
        <v>262144</v>
      </c>
      <c r="C30" s="111">
        <f t="shared" si="2"/>
        <v>1048576</v>
      </c>
      <c r="D30" s="10">
        <f>SUM($C$21:C30)</f>
        <v>1398100</v>
      </c>
      <c r="E30" s="10">
        <f t="shared" si="3"/>
        <v>-2323219.2883833181</v>
      </c>
      <c r="F30" s="10">
        <f t="shared" si="4"/>
        <v>3.0560853076484485E-5</v>
      </c>
      <c r="G30" s="288">
        <f t="shared" si="5"/>
        <v>164947555.01070145</v>
      </c>
      <c r="O30" s="100">
        <v>10</v>
      </c>
      <c r="P30" s="94">
        <f t="shared" si="9"/>
        <v>75450</v>
      </c>
      <c r="Q30" s="111">
        <f t="shared" si="10"/>
        <v>226353</v>
      </c>
      <c r="R30" s="10">
        <f>SUM($Q$21:Q30)</f>
        <v>339511</v>
      </c>
      <c r="S30" s="283">
        <f t="shared" si="6"/>
        <v>-564164.58323317976</v>
      </c>
      <c r="T30" s="10">
        <f t="shared" si="11"/>
        <v>1.2584902605875203E-4</v>
      </c>
      <c r="U30" s="288">
        <f t="shared" si="7"/>
        <v>40055439.059608221</v>
      </c>
    </row>
    <row r="31" spans="1:21" ht="17" thickBot="1" x14ac:dyDescent="0.25"/>
    <row r="32" spans="1:21" ht="17" thickBot="1" x14ac:dyDescent="0.25">
      <c r="A32" s="117" t="s">
        <v>135</v>
      </c>
      <c r="B32" s="118" t="s">
        <v>140</v>
      </c>
      <c r="C32" s="118" t="s">
        <v>139</v>
      </c>
      <c r="D32" s="170" t="s">
        <v>138</v>
      </c>
      <c r="E32" s="167" t="s">
        <v>151</v>
      </c>
      <c r="F32" s="168" t="s">
        <v>152</v>
      </c>
      <c r="G32" s="290" t="s">
        <v>47</v>
      </c>
      <c r="O32" s="29" t="s">
        <v>135</v>
      </c>
      <c r="P32" s="118" t="s">
        <v>140</v>
      </c>
      <c r="Q32" s="118" t="s">
        <v>139</v>
      </c>
      <c r="R32" s="118" t="s">
        <v>138</v>
      </c>
      <c r="S32" s="166" t="s">
        <v>151</v>
      </c>
      <c r="T32" s="168" t="s">
        <v>152</v>
      </c>
      <c r="U32" s="294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4</v>
      </c>
      <c r="D33" s="57">
        <f>SUM($C$33:C33)</f>
        <v>4</v>
      </c>
      <c r="E33" s="9">
        <f t="shared" ref="E33:E42" si="13">D33/R7</f>
        <v>-5.9887987184307274</v>
      </c>
      <c r="F33" s="8">
        <f t="shared" ref="F33:F42" si="14">U7/E33</f>
        <v>1.0138939278883279</v>
      </c>
      <c r="G33" s="289">
        <f>E33*U7</f>
        <v>36.364025679529952</v>
      </c>
      <c r="O33" s="101">
        <v>1</v>
      </c>
      <c r="P33" s="109">
        <v>1</v>
      </c>
      <c r="Q33" s="110">
        <f>P33*4+6</f>
        <v>10</v>
      </c>
      <c r="R33" s="57">
        <f>SUM($Q$21)</f>
        <v>10</v>
      </c>
      <c r="S33" s="281">
        <f>R33/R7</f>
        <v>-14.971996796076819</v>
      </c>
      <c r="T33" s="8">
        <f>U7/S33</f>
        <v>0.40555757115533109</v>
      </c>
      <c r="U33" s="289">
        <f>S33*U7</f>
        <v>90.910064198824884</v>
      </c>
    </row>
    <row r="34" spans="1:21" x14ac:dyDescent="0.2">
      <c r="A34" s="97">
        <v>2</v>
      </c>
      <c r="B34" s="93">
        <f t="shared" ref="B34:B42" si="15">B33*($O$2+1)</f>
        <v>5</v>
      </c>
      <c r="C34" s="1">
        <f t="shared" si="12"/>
        <v>20</v>
      </c>
      <c r="D34" s="9">
        <f>SUM($C$33:C34)</f>
        <v>24</v>
      </c>
      <c r="E34" s="9">
        <f t="shared" si="13"/>
        <v>-39.053760989327237</v>
      </c>
      <c r="F34" s="9">
        <f t="shared" si="14"/>
        <v>0.33097067207564462</v>
      </c>
      <c r="G34" s="287">
        <f t="shared" ref="G34:G42" si="16">E34*U8</f>
        <v>504.79522705303464</v>
      </c>
      <c r="O34" s="99">
        <v>2</v>
      </c>
      <c r="P34" s="93">
        <f>Q33+1</f>
        <v>11</v>
      </c>
      <c r="Q34" s="1">
        <f t="shared" ref="Q34:Q42" si="17">P34*4+6</f>
        <v>50</v>
      </c>
      <c r="R34" s="9">
        <f>SUM($Q$33:Q34)</f>
        <v>60</v>
      </c>
      <c r="S34" s="282">
        <f>R34/R8</f>
        <v>-97.634402473318104</v>
      </c>
      <c r="T34" s="9">
        <f t="shared" ref="T34:T42" si="18">U8/S34</f>
        <v>0.13238826883025784</v>
      </c>
      <c r="U34" s="287">
        <f t="shared" ref="U34:U42" si="19">S34*U8</f>
        <v>1261.9880676325868</v>
      </c>
    </row>
    <row r="35" spans="1:21" x14ac:dyDescent="0.2">
      <c r="A35" s="97">
        <v>3</v>
      </c>
      <c r="B35" s="93">
        <f t="shared" si="15"/>
        <v>25</v>
      </c>
      <c r="C35" s="1">
        <f t="shared" si="12"/>
        <v>100</v>
      </c>
      <c r="D35" s="9">
        <f>SUM($C$33:C35)</f>
        <v>124</v>
      </c>
      <c r="E35" s="9">
        <f t="shared" si="13"/>
        <v>-205.19087487915363</v>
      </c>
      <c r="F35" s="9">
        <f t="shared" si="14"/>
        <v>9.7853651118711901E-2</v>
      </c>
      <c r="G35" s="287">
        <f t="shared" si="16"/>
        <v>4119.9611529585472</v>
      </c>
      <c r="O35" s="99">
        <v>3</v>
      </c>
      <c r="P35" s="93">
        <f t="shared" ref="P35:P42" si="20">Q34+1</f>
        <v>51</v>
      </c>
      <c r="Q35" s="1">
        <f t="shared" si="17"/>
        <v>210</v>
      </c>
      <c r="R35" s="9">
        <f>SUM($Q$33:Q35)</f>
        <v>270</v>
      </c>
      <c r="S35" s="282">
        <f t="shared" ref="S35:S42" si="21">R35/R9</f>
        <v>-446.78658239815707</v>
      </c>
      <c r="T35" s="9">
        <f t="shared" si="18"/>
        <v>4.494019532859362E-2</v>
      </c>
      <c r="U35" s="287">
        <f t="shared" si="19"/>
        <v>8970.8831556355453</v>
      </c>
    </row>
    <row r="36" spans="1:21" x14ac:dyDescent="0.2">
      <c r="A36" s="97">
        <v>4</v>
      </c>
      <c r="B36" s="93">
        <f t="shared" si="15"/>
        <v>125</v>
      </c>
      <c r="C36" s="1">
        <f t="shared" si="12"/>
        <v>500</v>
      </c>
      <c r="D36" s="9">
        <f>SUM($C$33:C36)</f>
        <v>624</v>
      </c>
      <c r="E36" s="9">
        <f t="shared" si="13"/>
        <v>-1036.0362072668051</v>
      </c>
      <c r="F36" s="9">
        <f t="shared" si="14"/>
        <v>2.63747456673992E-2</v>
      </c>
      <c r="G36" s="287">
        <f t="shared" si="16"/>
        <v>28309.887732256524</v>
      </c>
      <c r="O36" s="99">
        <v>4</v>
      </c>
      <c r="P36" s="93">
        <f t="shared" si="20"/>
        <v>211</v>
      </c>
      <c r="Q36" s="1">
        <f t="shared" si="17"/>
        <v>850</v>
      </c>
      <c r="R36" s="9">
        <f>SUM($Q$33:Q36)</f>
        <v>1120</v>
      </c>
      <c r="S36" s="282">
        <f t="shared" si="21"/>
        <v>-1859.5521668891374</v>
      </c>
      <c r="T36" s="9">
        <f t="shared" si="18"/>
        <v>1.4694501157550983E-2</v>
      </c>
      <c r="U36" s="287">
        <f t="shared" si="19"/>
        <v>50812.619006614274</v>
      </c>
    </row>
    <row r="37" spans="1:21" x14ac:dyDescent="0.2">
      <c r="A37" s="97">
        <v>5</v>
      </c>
      <c r="B37" s="93">
        <f t="shared" si="15"/>
        <v>625</v>
      </c>
      <c r="C37" s="1">
        <f t="shared" si="12"/>
        <v>2500</v>
      </c>
      <c r="D37" s="9">
        <f>SUM($C$33:C37)</f>
        <v>3124</v>
      </c>
      <c r="E37" s="9">
        <f t="shared" si="13"/>
        <v>-5190.2826088353295</v>
      </c>
      <c r="F37" s="9">
        <f t="shared" si="14"/>
        <v>6.6658180890510482E-3</v>
      </c>
      <c r="G37" s="287">
        <f t="shared" si="16"/>
        <v>179570.69720299143</v>
      </c>
      <c r="O37" s="99">
        <v>5</v>
      </c>
      <c r="P37" s="93">
        <f t="shared" si="20"/>
        <v>851</v>
      </c>
      <c r="Q37" s="1">
        <f t="shared" si="17"/>
        <v>3410</v>
      </c>
      <c r="R37" s="9">
        <f>SUM($Q$33:Q37)</f>
        <v>4530</v>
      </c>
      <c r="S37" s="282">
        <f t="shared" si="21"/>
        <v>-7526.2420672292074</v>
      </c>
      <c r="T37" s="9">
        <f t="shared" si="18"/>
        <v>4.5969129603080517E-3</v>
      </c>
      <c r="U37" s="287">
        <f t="shared" si="19"/>
        <v>260389.00714774369</v>
      </c>
    </row>
    <row r="38" spans="1:21" x14ac:dyDescent="0.2">
      <c r="A38" s="97">
        <v>6</v>
      </c>
      <c r="B38" s="93">
        <f t="shared" si="15"/>
        <v>3125</v>
      </c>
      <c r="C38" s="1">
        <f t="shared" si="12"/>
        <v>12500</v>
      </c>
      <c r="D38" s="9">
        <f>SUM($C$33:C38)</f>
        <v>15624</v>
      </c>
      <c r="E38" s="9">
        <f t="shared" si="13"/>
        <v>-25961.506128513829</v>
      </c>
      <c r="F38" s="9">
        <f t="shared" si="14"/>
        <v>1.6130170091027056E-3</v>
      </c>
      <c r="G38" s="287">
        <f t="shared" si="16"/>
        <v>1087173.1422751986</v>
      </c>
      <c r="O38" s="99">
        <v>6</v>
      </c>
      <c r="P38" s="93">
        <f t="shared" si="20"/>
        <v>3411</v>
      </c>
      <c r="Q38" s="1">
        <f t="shared" si="17"/>
        <v>13650</v>
      </c>
      <c r="R38" s="9">
        <f>SUM($Q$33:Q38)</f>
        <v>18180</v>
      </c>
      <c r="S38" s="282">
        <f t="shared" si="21"/>
        <v>-30208.664965206186</v>
      </c>
      <c r="T38" s="9">
        <f t="shared" si="18"/>
        <v>1.3862363999021269E-3</v>
      </c>
      <c r="U38" s="287">
        <f t="shared" si="19"/>
        <v>1265028.6563340444</v>
      </c>
    </row>
    <row r="39" spans="1:21" x14ac:dyDescent="0.2">
      <c r="A39" s="97">
        <v>7</v>
      </c>
      <c r="B39" s="93">
        <f t="shared" si="15"/>
        <v>15625</v>
      </c>
      <c r="C39" s="1">
        <f t="shared" si="12"/>
        <v>62500</v>
      </c>
      <c r="D39" s="9">
        <f>SUM($C$33:C39)</f>
        <v>78124</v>
      </c>
      <c r="E39" s="9">
        <f t="shared" si="13"/>
        <v>-129817.60966300088</v>
      </c>
      <c r="F39" s="9">
        <f t="shared" si="14"/>
        <v>3.7866067257691052E-4</v>
      </c>
      <c r="G39" s="287">
        <f t="shared" si="16"/>
        <v>6381421.3107680185</v>
      </c>
      <c r="O39" s="99">
        <v>7</v>
      </c>
      <c r="P39" s="93">
        <f t="shared" si="20"/>
        <v>13651</v>
      </c>
      <c r="Q39" s="1">
        <f t="shared" si="17"/>
        <v>54610</v>
      </c>
      <c r="R39" s="9">
        <f>SUM($Q$33:Q39)</f>
        <v>72790</v>
      </c>
      <c r="S39" s="282">
        <f t="shared" si="21"/>
        <v>-120954.1729477476</v>
      </c>
      <c r="T39" s="9">
        <f t="shared" si="18"/>
        <v>4.0640866031595765E-4</v>
      </c>
      <c r="U39" s="287">
        <f t="shared" si="19"/>
        <v>5945722.9175516367</v>
      </c>
    </row>
    <row r="40" spans="1:21" x14ac:dyDescent="0.2">
      <c r="A40" s="97">
        <v>8</v>
      </c>
      <c r="B40" s="93">
        <f t="shared" si="15"/>
        <v>78125</v>
      </c>
      <c r="C40" s="1">
        <f t="shared" si="12"/>
        <v>312500</v>
      </c>
      <c r="D40" s="9">
        <f>SUM($C$33:C40)</f>
        <v>390624</v>
      </c>
      <c r="E40" s="9">
        <f t="shared" si="13"/>
        <v>-649098.11221742874</v>
      </c>
      <c r="F40" s="9">
        <f t="shared" si="14"/>
        <v>8.694783029491139E-5</v>
      </c>
      <c r="G40" s="287">
        <f t="shared" si="16"/>
        <v>36633586.681478657</v>
      </c>
      <c r="O40" s="99">
        <v>8</v>
      </c>
      <c r="P40" s="93">
        <f t="shared" si="20"/>
        <v>54611</v>
      </c>
      <c r="Q40" s="1">
        <f t="shared" si="17"/>
        <v>218450</v>
      </c>
      <c r="R40" s="9">
        <f>SUM($Q$33:Q40)</f>
        <v>291240</v>
      </c>
      <c r="S40" s="282">
        <f t="shared" si="21"/>
        <v>-483952.1744752088</v>
      </c>
      <c r="T40" s="9">
        <f t="shared" si="18"/>
        <v>1.1661828478615392E-4</v>
      </c>
      <c r="U40" s="287">
        <f t="shared" si="19"/>
        <v>27313134.331515335</v>
      </c>
    </row>
    <row r="41" spans="1:21" x14ac:dyDescent="0.2">
      <c r="A41" s="97">
        <v>9</v>
      </c>
      <c r="B41" s="93">
        <f t="shared" si="15"/>
        <v>390625</v>
      </c>
      <c r="C41" s="1">
        <f t="shared" si="12"/>
        <v>1562500</v>
      </c>
      <c r="D41" s="9">
        <f>SUM($C$33:C41)</f>
        <v>1953124</v>
      </c>
      <c r="E41" s="9">
        <f t="shared" si="13"/>
        <v>-3245500.6097171581</v>
      </c>
      <c r="F41" s="9">
        <f t="shared" si="14"/>
        <v>1.9632905927593339E-5</v>
      </c>
      <c r="G41" s="287">
        <f t="shared" si="16"/>
        <v>206798781.62881765</v>
      </c>
      <c r="O41" s="99">
        <v>9</v>
      </c>
      <c r="P41" s="93">
        <f t="shared" si="20"/>
        <v>218451</v>
      </c>
      <c r="Q41" s="1">
        <f t="shared" si="17"/>
        <v>873810</v>
      </c>
      <c r="R41" s="9">
        <f>SUM($Q$33:Q41)</f>
        <v>1165050</v>
      </c>
      <c r="S41" s="282">
        <f t="shared" si="21"/>
        <v>-1935960.2797113624</v>
      </c>
      <c r="T41" s="9">
        <f t="shared" si="18"/>
        <v>3.2913179483219446E-5</v>
      </c>
      <c r="U41" s="287">
        <f t="shared" si="19"/>
        <v>123356694.47339442</v>
      </c>
    </row>
    <row r="42" spans="1:21" ht="17" thickBot="1" x14ac:dyDescent="0.25">
      <c r="A42" s="145">
        <v>10</v>
      </c>
      <c r="B42" s="94">
        <f t="shared" si="15"/>
        <v>1953125</v>
      </c>
      <c r="C42" s="111">
        <f t="shared" si="12"/>
        <v>7812500</v>
      </c>
      <c r="D42" s="10">
        <f>SUM($C$33:C42)</f>
        <v>9765624</v>
      </c>
      <c r="E42" s="9">
        <f t="shared" si="13"/>
        <v>-16227513.081967706</v>
      </c>
      <c r="F42" s="10">
        <f t="shared" si="14"/>
        <v>4.3752584254967185E-6</v>
      </c>
      <c r="G42" s="288">
        <f t="shared" si="16"/>
        <v>1152146342.8609014</v>
      </c>
      <c r="O42" s="100">
        <v>10</v>
      </c>
      <c r="P42" s="94">
        <f t="shared" si="20"/>
        <v>873811</v>
      </c>
      <c r="Q42" s="111">
        <f t="shared" si="17"/>
        <v>3495250</v>
      </c>
      <c r="R42" s="10">
        <f>SUM($Q$33:Q42)</f>
        <v>4660300</v>
      </c>
      <c r="S42" s="283">
        <f t="shared" si="21"/>
        <v>-7744008.9046940682</v>
      </c>
      <c r="T42" s="10">
        <f t="shared" si="18"/>
        <v>9.1683214999534289E-6</v>
      </c>
      <c r="U42" s="288">
        <f t="shared" si="19"/>
        <v>549821250.70908511</v>
      </c>
    </row>
    <row r="43" spans="1:21" ht="17" thickBot="1" x14ac:dyDescent="0.25">
      <c r="U43" s="285"/>
    </row>
    <row r="44" spans="1:21" ht="17" thickBot="1" x14ac:dyDescent="0.25">
      <c r="A44" s="117" t="s">
        <v>135</v>
      </c>
      <c r="B44" s="118" t="s">
        <v>140</v>
      </c>
      <c r="C44" s="118" t="s">
        <v>139</v>
      </c>
      <c r="D44" s="170" t="s">
        <v>138</v>
      </c>
      <c r="E44" s="167" t="s">
        <v>151</v>
      </c>
      <c r="F44" s="168" t="s">
        <v>152</v>
      </c>
      <c r="G44" s="290" t="s">
        <v>47</v>
      </c>
      <c r="O44" s="29" t="s">
        <v>135</v>
      </c>
      <c r="P44" s="118" t="s">
        <v>140</v>
      </c>
      <c r="Q44" s="118" t="s">
        <v>139</v>
      </c>
      <c r="R44" s="118" t="s">
        <v>138</v>
      </c>
      <c r="S44" s="166" t="s">
        <v>151</v>
      </c>
      <c r="T44" s="168" t="s">
        <v>152</v>
      </c>
      <c r="U44" s="294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4</v>
      </c>
      <c r="D45" s="57">
        <f>SUM(C45:C45)</f>
        <v>4</v>
      </c>
      <c r="E45" s="57">
        <f t="shared" ref="E45:E54" si="23">D45/R7</f>
        <v>-5.9887987184307274</v>
      </c>
      <c r="F45" s="8">
        <f t="shared" ref="F45:F54" si="24">U7/E45</f>
        <v>1.0138939278883279</v>
      </c>
      <c r="G45" s="286">
        <f>E45*U7</f>
        <v>36.364025679529952</v>
      </c>
      <c r="O45" s="101">
        <v>1</v>
      </c>
      <c r="P45" s="109">
        <v>1</v>
      </c>
      <c r="Q45" s="110">
        <f>P45*4+6</f>
        <v>10</v>
      </c>
      <c r="R45" s="57">
        <f>SUM($Q$21)</f>
        <v>10</v>
      </c>
      <c r="S45" s="281">
        <f>R45/R7</f>
        <v>-14.971996796076819</v>
      </c>
      <c r="T45" s="8">
        <f>U7/S45</f>
        <v>0.40555757115533109</v>
      </c>
      <c r="U45" s="289">
        <f>S45*U7</f>
        <v>90.910064198824884</v>
      </c>
    </row>
    <row r="46" spans="1:21" x14ac:dyDescent="0.2">
      <c r="A46" s="97">
        <v>2</v>
      </c>
      <c r="B46" s="93">
        <f t="shared" ref="B46:B54" si="25">B45*$O$2*2</f>
        <v>8</v>
      </c>
      <c r="C46" s="1">
        <f t="shared" si="22"/>
        <v>32</v>
      </c>
      <c r="D46" s="9">
        <f>SUM($C$45:C46)</f>
        <v>36</v>
      </c>
      <c r="E46" s="9">
        <f t="shared" si="23"/>
        <v>-58.58064148399086</v>
      </c>
      <c r="F46" s="9">
        <f t="shared" si="24"/>
        <v>0.22064711471709642</v>
      </c>
      <c r="G46" s="287">
        <f t="shared" ref="G46:G54" si="26">E46*U8</f>
        <v>757.19284057955201</v>
      </c>
      <c r="O46" s="99">
        <v>2</v>
      </c>
      <c r="P46" s="93">
        <f>Q45*2</f>
        <v>20</v>
      </c>
      <c r="Q46" s="1">
        <f t="shared" ref="Q46:Q54" si="27">P46*4+6</f>
        <v>86</v>
      </c>
      <c r="R46" s="9">
        <f>SUM($Q$45:Q46)</f>
        <v>96</v>
      </c>
      <c r="S46" s="282">
        <f t="shared" ref="S46:S54" si="28">R46/R8</f>
        <v>-156.21504395730895</v>
      </c>
      <c r="T46" s="9">
        <f t="shared" ref="T46:T54" si="29">U8/S46</f>
        <v>8.2742668018911156E-2</v>
      </c>
      <c r="U46" s="287">
        <f t="shared" ref="U46:U54" si="30">S46*U8</f>
        <v>2019.1809082121385</v>
      </c>
    </row>
    <row r="47" spans="1:21" x14ac:dyDescent="0.2">
      <c r="A47" s="97">
        <v>3</v>
      </c>
      <c r="B47" s="93">
        <f t="shared" si="25"/>
        <v>64</v>
      </c>
      <c r="C47" s="1">
        <f t="shared" si="22"/>
        <v>256</v>
      </c>
      <c r="D47" s="9">
        <f>SUM($C$45:C47)</f>
        <v>292</v>
      </c>
      <c r="E47" s="9">
        <f t="shared" si="23"/>
        <v>-483.19141503800688</v>
      </c>
      <c r="F47" s="9">
        <f t="shared" si="24"/>
        <v>4.1554290201096841E-2</v>
      </c>
      <c r="G47" s="287">
        <f t="shared" si="26"/>
        <v>9701.844005353998</v>
      </c>
      <c r="O47" s="99">
        <v>3</v>
      </c>
      <c r="P47" s="93">
        <f t="shared" ref="P47:P54" si="31">Q46*2</f>
        <v>172</v>
      </c>
      <c r="Q47" s="1">
        <f t="shared" si="27"/>
        <v>694</v>
      </c>
      <c r="R47" s="9">
        <f>SUM($Q$45:Q47)</f>
        <v>790</v>
      </c>
      <c r="S47" s="282">
        <f t="shared" si="28"/>
        <v>-1307.2644447946077</v>
      </c>
      <c r="T47" s="9">
        <f t="shared" si="29"/>
        <v>1.5359307264202883E-2</v>
      </c>
      <c r="U47" s="287">
        <f t="shared" si="30"/>
        <v>26248.139603526226</v>
      </c>
    </row>
    <row r="48" spans="1:21" x14ac:dyDescent="0.2">
      <c r="A48" s="97">
        <v>4</v>
      </c>
      <c r="B48" s="93">
        <f t="shared" si="25"/>
        <v>512</v>
      </c>
      <c r="C48" s="1">
        <f t="shared" si="22"/>
        <v>2048</v>
      </c>
      <c r="D48" s="9">
        <f>SUM($C$45:C48)</f>
        <v>2340</v>
      </c>
      <c r="E48" s="9">
        <f t="shared" si="23"/>
        <v>-3885.1357772505194</v>
      </c>
      <c r="F48" s="9">
        <f t="shared" si="24"/>
        <v>7.0332655113064533E-3</v>
      </c>
      <c r="G48" s="287">
        <f t="shared" si="26"/>
        <v>106162.07899596197</v>
      </c>
      <c r="O48" s="99">
        <v>4</v>
      </c>
      <c r="P48" s="93">
        <f t="shared" si="31"/>
        <v>1388</v>
      </c>
      <c r="Q48" s="1">
        <f t="shared" si="27"/>
        <v>5558</v>
      </c>
      <c r="R48" s="9">
        <f>SUM($Q$45:Q48)</f>
        <v>6348</v>
      </c>
      <c r="S48" s="282">
        <f t="shared" si="28"/>
        <v>-10539.676031618075</v>
      </c>
      <c r="T48" s="9">
        <f t="shared" si="29"/>
        <v>2.592602598685744E-3</v>
      </c>
      <c r="U48" s="287">
        <f t="shared" si="30"/>
        <v>287998.66558391735</v>
      </c>
    </row>
    <row r="49" spans="1:21" x14ac:dyDescent="0.2">
      <c r="A49" s="97">
        <v>5</v>
      </c>
      <c r="B49" s="93">
        <f t="shared" si="25"/>
        <v>4096</v>
      </c>
      <c r="C49" s="1">
        <f t="shared" si="22"/>
        <v>16384</v>
      </c>
      <c r="D49" s="9">
        <f>SUM($C$45:C49)</f>
        <v>18724</v>
      </c>
      <c r="E49" s="9">
        <f t="shared" si="23"/>
        <v>-31108.467211214058</v>
      </c>
      <c r="F49" s="9">
        <f t="shared" si="24"/>
        <v>1.1121563613648512E-3</v>
      </c>
      <c r="G49" s="287">
        <f t="shared" si="26"/>
        <v>1076274.5628773405</v>
      </c>
      <c r="O49" s="99">
        <v>5</v>
      </c>
      <c r="P49" s="93">
        <f t="shared" si="31"/>
        <v>11116</v>
      </c>
      <c r="Q49" s="1">
        <f t="shared" si="27"/>
        <v>44470</v>
      </c>
      <c r="R49" s="9">
        <f>SUM($Q$45:Q49)</f>
        <v>50818</v>
      </c>
      <c r="S49" s="282">
        <f t="shared" si="28"/>
        <v>-84430.147764338602</v>
      </c>
      <c r="T49" s="9">
        <f t="shared" si="29"/>
        <v>4.0977637274578838E-4</v>
      </c>
      <c r="U49" s="287">
        <f t="shared" si="30"/>
        <v>2921070.3234512229</v>
      </c>
    </row>
    <row r="50" spans="1:21" x14ac:dyDescent="0.2">
      <c r="A50" s="97">
        <v>6</v>
      </c>
      <c r="B50" s="93">
        <f t="shared" si="25"/>
        <v>32768</v>
      </c>
      <c r="C50" s="1">
        <f t="shared" si="22"/>
        <v>131072</v>
      </c>
      <c r="D50" s="9">
        <f>SUM($C$45:C50)</f>
        <v>149796</v>
      </c>
      <c r="E50" s="9">
        <f t="shared" si="23"/>
        <v>-248907.43548558999</v>
      </c>
      <c r="F50" s="9">
        <f t="shared" si="24"/>
        <v>1.6824065896432929E-4</v>
      </c>
      <c r="G50" s="287">
        <f t="shared" si="26"/>
        <v>10423335.126744473</v>
      </c>
      <c r="O50" s="99">
        <v>6</v>
      </c>
      <c r="P50" s="93">
        <f t="shared" si="31"/>
        <v>88940</v>
      </c>
      <c r="Q50" s="1">
        <f t="shared" si="27"/>
        <v>355766</v>
      </c>
      <c r="R50" s="9">
        <f>SUM($Q$45:Q50)</f>
        <v>406584</v>
      </c>
      <c r="S50" s="282">
        <f t="shared" si="28"/>
        <v>-675597.35072680924</v>
      </c>
      <c r="T50" s="9">
        <f t="shared" si="29"/>
        <v>6.1984184695464334E-5</v>
      </c>
      <c r="U50" s="287">
        <f t="shared" si="30"/>
        <v>28291551.771557819</v>
      </c>
    </row>
    <row r="51" spans="1:21" x14ac:dyDescent="0.2">
      <c r="A51" s="97">
        <v>7</v>
      </c>
      <c r="B51" s="93">
        <f t="shared" si="25"/>
        <v>262144</v>
      </c>
      <c r="C51" s="1">
        <f t="shared" si="22"/>
        <v>1048576</v>
      </c>
      <c r="D51" s="9">
        <f>SUM($C$45:C51)</f>
        <v>1198372</v>
      </c>
      <c r="E51" s="9">
        <f t="shared" si="23"/>
        <v>-1991318.7820269021</v>
      </c>
      <c r="F51" s="9">
        <f t="shared" si="24"/>
        <v>2.4685562066201946E-5</v>
      </c>
      <c r="G51" s="287">
        <f t="shared" si="26"/>
        <v>97886905.675947115</v>
      </c>
      <c r="O51" s="99">
        <v>7</v>
      </c>
      <c r="P51" s="93">
        <f t="shared" si="31"/>
        <v>711532</v>
      </c>
      <c r="Q51" s="1">
        <f t="shared" si="27"/>
        <v>2846134</v>
      </c>
      <c r="R51" s="9">
        <f>SUM($Q$45:Q51)</f>
        <v>3252718</v>
      </c>
      <c r="S51" s="282">
        <f t="shared" si="28"/>
        <v>-5404998.1525244089</v>
      </c>
      <c r="T51" s="9">
        <f t="shared" si="29"/>
        <v>9.0946975373821383E-6</v>
      </c>
      <c r="U51" s="287">
        <f t="shared" si="30"/>
        <v>265692539.59242651</v>
      </c>
    </row>
    <row r="52" spans="1:21" x14ac:dyDescent="0.2">
      <c r="A52" s="97">
        <v>8</v>
      </c>
      <c r="B52" s="93">
        <f t="shared" si="25"/>
        <v>2097152</v>
      </c>
      <c r="C52" s="1">
        <f t="shared" si="22"/>
        <v>8388608</v>
      </c>
      <c r="D52" s="9">
        <f>SUM($C$45:C52)</f>
        <v>9586980</v>
      </c>
      <c r="E52" s="9">
        <f t="shared" si="23"/>
        <v>-15930640.769297957</v>
      </c>
      <c r="F52" s="9">
        <f t="shared" si="24"/>
        <v>3.5427120178741861E-6</v>
      </c>
      <c r="G52" s="287">
        <f t="shared" si="26"/>
        <v>899088286.54563546</v>
      </c>
      <c r="O52" s="99">
        <v>8</v>
      </c>
      <c r="P52" s="93">
        <f t="shared" si="31"/>
        <v>5692268</v>
      </c>
      <c r="Q52" s="1">
        <f t="shared" si="27"/>
        <v>22769078</v>
      </c>
      <c r="R52" s="9">
        <f>SUM($Q$45:Q52)</f>
        <v>26021796</v>
      </c>
      <c r="S52" s="282">
        <f t="shared" si="28"/>
        <v>-43240299.265040137</v>
      </c>
      <c r="T52" s="9">
        <f t="shared" si="29"/>
        <v>1.3052100347385503E-6</v>
      </c>
      <c r="U52" s="287">
        <f t="shared" si="30"/>
        <v>2440381848.9743452</v>
      </c>
    </row>
    <row r="53" spans="1:21" x14ac:dyDescent="0.2">
      <c r="A53" s="97">
        <v>9</v>
      </c>
      <c r="B53" s="93">
        <f t="shared" si="25"/>
        <v>16777216</v>
      </c>
      <c r="C53" s="1">
        <f t="shared" si="22"/>
        <v>67108864</v>
      </c>
      <c r="D53" s="9">
        <f>SUM($C$45:C53)</f>
        <v>76695844</v>
      </c>
      <c r="E53" s="9">
        <f t="shared" si="23"/>
        <v>-127445266.38593967</v>
      </c>
      <c r="F53" s="9">
        <f t="shared" si="24"/>
        <v>4.9996841754456497E-7</v>
      </c>
      <c r="G53" s="287">
        <f t="shared" si="26"/>
        <v>8120634990.5043736</v>
      </c>
      <c r="O53" s="99">
        <v>9</v>
      </c>
      <c r="P53" s="93">
        <f t="shared" si="31"/>
        <v>45538156</v>
      </c>
      <c r="Q53" s="1">
        <f t="shared" si="27"/>
        <v>182152630</v>
      </c>
      <c r="R53" s="9">
        <f>SUM($Q$45:Q53)</f>
        <v>208174426</v>
      </c>
      <c r="S53" s="282">
        <f t="shared" si="28"/>
        <v>-345922853.08588672</v>
      </c>
      <c r="T53" s="9">
        <f t="shared" si="29"/>
        <v>1.8419889750014161E-7</v>
      </c>
      <c r="U53" s="287">
        <f t="shared" si="30"/>
        <v>22041722728.858208</v>
      </c>
    </row>
    <row r="54" spans="1:21" ht="17" thickBot="1" x14ac:dyDescent="0.25">
      <c r="A54" s="145">
        <v>10</v>
      </c>
      <c r="B54" s="94">
        <f t="shared" si="25"/>
        <v>134217728</v>
      </c>
      <c r="C54" s="111">
        <f t="shared" si="22"/>
        <v>536870912</v>
      </c>
      <c r="D54" s="10">
        <f>SUM($C$45:C54)</f>
        <v>613566756</v>
      </c>
      <c r="E54" s="10">
        <f t="shared" si="23"/>
        <v>-1019562350.5113946</v>
      </c>
      <c r="F54" s="10">
        <f t="shared" si="24"/>
        <v>6.9637294179336156E-8</v>
      </c>
      <c r="G54" s="288">
        <f t="shared" si="26"/>
        <v>72388481680.886642</v>
      </c>
      <c r="O54" s="100">
        <v>10</v>
      </c>
      <c r="P54" s="94">
        <f t="shared" si="31"/>
        <v>364305260</v>
      </c>
      <c r="Q54" s="111">
        <f t="shared" si="27"/>
        <v>1457221046</v>
      </c>
      <c r="R54" s="10">
        <f>SUM($Q$45:Q54)</f>
        <v>1665395472</v>
      </c>
      <c r="S54" s="283">
        <f t="shared" si="28"/>
        <v>-2767383508.5735211</v>
      </c>
      <c r="T54" s="10">
        <f t="shared" si="29"/>
        <v>2.565584535601101E-8</v>
      </c>
      <c r="U54" s="288">
        <f t="shared" si="30"/>
        <v>196483020694.00836</v>
      </c>
    </row>
  </sheetData>
  <mergeCells count="2">
    <mergeCell ref="A18:F18"/>
    <mergeCell ref="O18:T18"/>
  </mergeCells>
  <conditionalFormatting sqref="F45:F54">
    <cfRule type="cellIs" dxfId="288" priority="49" operator="equal">
      <formula>MAX($F$45:$F$54)</formula>
    </cfRule>
  </conditionalFormatting>
  <conditionalFormatting sqref="F21:F30">
    <cfRule type="cellIs" dxfId="287" priority="47" operator="equal">
      <formula>MAX($F$21:$F$30)</formula>
    </cfRule>
  </conditionalFormatting>
  <conditionalFormatting sqref="E33:E42">
    <cfRule type="cellIs" dxfId="286" priority="43" stopIfTrue="1" operator="lessThan">
      <formula>0</formula>
    </cfRule>
    <cfRule type="cellIs" dxfId="285" priority="44" operator="equal">
      <formula>MIN($E$33:$E$42)</formula>
    </cfRule>
  </conditionalFormatting>
  <conditionalFormatting sqref="E21:E30">
    <cfRule type="cellIs" dxfId="284" priority="39" stopIfTrue="1" operator="lessThan">
      <formula>0</formula>
    </cfRule>
    <cfRule type="cellIs" dxfId="283" priority="40" operator="equal">
      <formula>MIN($E$21:$E$30)</formula>
    </cfRule>
  </conditionalFormatting>
  <conditionalFormatting sqref="E45:E54">
    <cfRule type="cellIs" dxfId="282" priority="35" stopIfTrue="1" operator="lessThan">
      <formula>0</formula>
    </cfRule>
    <cfRule type="cellIs" dxfId="281" priority="36" operator="equal">
      <formula>MIN($E$45:$E$54)</formula>
    </cfRule>
  </conditionalFormatting>
  <conditionalFormatting sqref="F33:F42">
    <cfRule type="cellIs" dxfId="280" priority="25" operator="lessThanOrEqual">
      <formula>0</formula>
    </cfRule>
    <cfRule type="cellIs" dxfId="279" priority="26" operator="equal">
      <formula>MAX($F$33:$F$42)</formula>
    </cfRule>
  </conditionalFormatting>
  <conditionalFormatting sqref="R7:R16">
    <cfRule type="cellIs" dxfId="278" priority="19" operator="lessThanOrEqual">
      <formula>0</formula>
    </cfRule>
    <cfRule type="cellIs" dxfId="277" priority="20" operator="greaterThan">
      <formula>0</formula>
    </cfRule>
  </conditionalFormatting>
  <conditionalFormatting sqref="S7:T16">
    <cfRule type="cellIs" dxfId="276" priority="13" operator="lessThanOrEqual">
      <formula>0</formula>
    </cfRule>
    <cfRule type="cellIs" dxfId="275" priority="14" operator="greaterThan">
      <formula>0</formula>
    </cfRule>
  </conditionalFormatting>
  <conditionalFormatting sqref="U7:U16">
    <cfRule type="cellIs" dxfId="274" priority="15" operator="lessThanOrEqual">
      <formula>0</formula>
    </cfRule>
    <cfRule type="cellIs" dxfId="273" priority="16" operator="greaterThan">
      <formula>0</formula>
    </cfRule>
  </conditionalFormatting>
  <conditionalFormatting sqref="T21:T30">
    <cfRule type="cellIs" dxfId="272" priority="9" operator="equal">
      <formula>MAX($T$21:$T$30)</formula>
    </cfRule>
  </conditionalFormatting>
  <conditionalFormatting sqref="S33:S42">
    <cfRule type="cellIs" dxfId="271" priority="7" stopIfTrue="1" operator="lessThan">
      <formula>0</formula>
    </cfRule>
    <cfRule type="cellIs" dxfId="270" priority="8" operator="equal">
      <formula>MIN($E$21:$E$30)</formula>
    </cfRule>
  </conditionalFormatting>
  <conditionalFormatting sqref="T33:T42">
    <cfRule type="cellIs" dxfId="269" priority="6" operator="equal">
      <formula>MAX($T$21:$T$30)</formula>
    </cfRule>
  </conditionalFormatting>
  <conditionalFormatting sqref="S45:S54">
    <cfRule type="cellIs" dxfId="268" priority="4" stopIfTrue="1" operator="lessThan">
      <formula>0</formula>
    </cfRule>
    <cfRule type="cellIs" dxfId="267" priority="5" operator="equal">
      <formula>MIN($E$21:$E$30)</formula>
    </cfRule>
  </conditionalFormatting>
  <conditionalFormatting sqref="T45:T54">
    <cfRule type="cellIs" dxfId="266" priority="3" operator="equal">
      <formula>MAX($T$21:$T$30)</formula>
    </cfRule>
  </conditionalFormatting>
  <conditionalFormatting sqref="S21:S30">
    <cfRule type="cellIs" dxfId="265" priority="1" stopIfTrue="1" operator="lessThan">
      <formula>0</formula>
    </cfRule>
    <cfRule type="cellIs" dxfId="264" priority="2" operator="equal">
      <formula>MIN($E$21:$E$30)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>
    <pageSetUpPr fitToPage="1"/>
  </sheetPr>
  <dimension ref="A1:W54"/>
  <sheetViews>
    <sheetView workbookViewId="0">
      <selection activeCell="C7" sqref="C7:C16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0.99999999999999978</v>
      </c>
    </row>
    <row r="2" spans="1:23" x14ac:dyDescent="0.2">
      <c r="A2" t="s">
        <v>40</v>
      </c>
      <c r="B2" s="149" t="s">
        <v>125</v>
      </c>
      <c r="C2" s="155">
        <f>Analysis!B43</f>
        <v>0.17287183058645028</v>
      </c>
      <c r="D2" s="149" t="s">
        <v>126</v>
      </c>
      <c r="E2" s="155">
        <f>Analysis!J43</f>
        <v>0.8271281694135495</v>
      </c>
      <c r="F2" s="149" t="s">
        <v>47</v>
      </c>
      <c r="G2" s="155">
        <f>Analysis!S43</f>
        <v>-4.7231424100090829</v>
      </c>
      <c r="H2" t="s">
        <v>156</v>
      </c>
      <c r="I2" s="169">
        <f>Analysis!T43</f>
        <v>-8.3401677653174797</v>
      </c>
      <c r="J2" t="s">
        <v>48</v>
      </c>
      <c r="K2" s="169">
        <f>C2*G2+E2*I2</f>
        <v>-7.7148859708677096</v>
      </c>
      <c r="L2" t="s">
        <v>47</v>
      </c>
      <c r="M2" s="176">
        <v>3</v>
      </c>
      <c r="N2" t="s">
        <v>156</v>
      </c>
      <c r="O2" s="176">
        <v>5</v>
      </c>
    </row>
    <row r="4" spans="1:23" x14ac:dyDescent="0.2">
      <c r="A4" t="s">
        <v>123</v>
      </c>
      <c r="B4">
        <f>$C$2</f>
        <v>0.17287183058645028</v>
      </c>
      <c r="C4" t="s">
        <v>124</v>
      </c>
      <c r="D4">
        <f>$E$2</f>
        <v>0.8271281694135495</v>
      </c>
      <c r="E4" t="s">
        <v>47</v>
      </c>
      <c r="F4">
        <f>G2</f>
        <v>-4.7231424100090829</v>
      </c>
      <c r="G4" t="s">
        <v>156</v>
      </c>
      <c r="H4">
        <f>I2</f>
        <v>-8.3401677653174797</v>
      </c>
      <c r="I4" t="s">
        <v>48</v>
      </c>
      <c r="J4">
        <f>K2</f>
        <v>-7.7148859708677096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60">
        <v>-10</v>
      </c>
      <c r="N6" s="104" t="s">
        <v>136</v>
      </c>
      <c r="R6" s="188" t="s">
        <v>49</v>
      </c>
      <c r="S6" s="164" t="s">
        <v>130</v>
      </c>
      <c r="T6" s="165" t="s">
        <v>137</v>
      </c>
      <c r="U6" s="268" t="s">
        <v>48</v>
      </c>
      <c r="V6" s="175" t="s">
        <v>47</v>
      </c>
      <c r="W6" s="168" t="s">
        <v>156</v>
      </c>
    </row>
    <row r="7" spans="1:23" x14ac:dyDescent="0.2">
      <c r="A7" s="101">
        <v>1</v>
      </c>
      <c r="B7" s="95">
        <f>C7*B4</f>
        <v>0.17287183058645028</v>
      </c>
      <c r="C7" s="95">
        <v>1</v>
      </c>
      <c r="D7" s="22">
        <f>C7*D4</f>
        <v>0.8271281694135495</v>
      </c>
      <c r="E7" s="2"/>
      <c r="F7" s="2"/>
      <c r="G7" s="2"/>
      <c r="H7" s="2"/>
      <c r="I7" s="2"/>
      <c r="J7" s="2"/>
      <c r="K7" s="2"/>
      <c r="L7" s="2"/>
      <c r="M7" s="261"/>
      <c r="N7" s="96">
        <f>B7+D7</f>
        <v>0.99999999999999978</v>
      </c>
      <c r="R7" s="189">
        <f>B7-D7</f>
        <v>-0.65425633882709922</v>
      </c>
      <c r="S7" s="109">
        <f>SUM(C7)*$B$4*$F$4</f>
        <v>-0.81649827453876866</v>
      </c>
      <c r="T7" s="263">
        <f>SUM(C7)*$D$4*$H$4</f>
        <v>-6.8983876963289408</v>
      </c>
      <c r="U7" s="265">
        <f>S7+T7</f>
        <v>-7.7148859708677096</v>
      </c>
      <c r="V7" s="109">
        <f>(U7+W7*D7)/B7</f>
        <v>-39.843147250122449</v>
      </c>
      <c r="W7" s="57">
        <f>COUNT(D7:M7)</f>
        <v>1</v>
      </c>
    </row>
    <row r="8" spans="1:23" x14ac:dyDescent="0.2">
      <c r="A8" s="99">
        <v>2</v>
      </c>
      <c r="B8" s="97">
        <f>C8*B4</f>
        <v>0.20171439991845266</v>
      </c>
      <c r="C8" s="97">
        <f>1/(1-B4*D4*C7)</f>
        <v>1.1668436623489025</v>
      </c>
      <c r="D8" s="144">
        <f>C8*D4</f>
        <v>0.9651292624304495</v>
      </c>
      <c r="E8" s="1">
        <f>D8*D4</f>
        <v>0.79828560008154692</v>
      </c>
      <c r="F8" s="1"/>
      <c r="G8" s="1"/>
      <c r="H8" s="1"/>
      <c r="I8" s="1"/>
      <c r="J8" s="1"/>
      <c r="K8" s="1"/>
      <c r="L8" s="1"/>
      <c r="M8" s="262"/>
      <c r="N8" s="97">
        <f>B8+E8</f>
        <v>0.99999999999999956</v>
      </c>
      <c r="R8" s="190">
        <f>B8-E8</f>
        <v>-0.59657120016309428</v>
      </c>
      <c r="S8" s="93">
        <f>SUM(C8:D8)*$B$4*$F$4</f>
        <v>-1.740752214445713</v>
      </c>
      <c r="T8" s="262">
        <f>SUM(C8:D8)*$D$4*$H$4</f>
        <v>-14.707175793204309</v>
      </c>
      <c r="U8" s="266">
        <f>S8+T8</f>
        <v>-16.44792800765002</v>
      </c>
      <c r="V8" s="93">
        <f>(U8+W8*E8)/B8</f>
        <v>-73.625664868204268</v>
      </c>
      <c r="W8" s="9">
        <f>COUNT(D8:M8)</f>
        <v>2</v>
      </c>
    </row>
    <row r="9" spans="1:23" x14ac:dyDescent="0.2">
      <c r="A9" s="99">
        <v>3</v>
      </c>
      <c r="B9" s="97">
        <f>C9*B4</f>
        <v>0.20749026656128505</v>
      </c>
      <c r="C9" s="97">
        <f>1/(1-D4*B4*C8)</f>
        <v>1.2002549279277903</v>
      </c>
      <c r="D9" s="144">
        <f>C9*D4*C8</f>
        <v>1.1584011533194607</v>
      </c>
      <c r="E9" s="1">
        <f>D9*(D4)</f>
        <v>0.95814622539167005</v>
      </c>
      <c r="F9" s="1">
        <f>E9*D4</f>
        <v>0.79250973343871423</v>
      </c>
      <c r="G9" s="1"/>
      <c r="H9" s="1"/>
      <c r="I9" s="1"/>
      <c r="J9" s="1"/>
      <c r="K9" s="1"/>
      <c r="L9" s="1"/>
      <c r="M9" s="262"/>
      <c r="N9" s="97">
        <f>B9+F9</f>
        <v>0.99999999999999933</v>
      </c>
      <c r="R9" s="190">
        <f>B9-F9</f>
        <v>-0.58501946687742912</v>
      </c>
      <c r="S9" s="93">
        <f>SUM(C9:E9)*$B$4*$F$4</f>
        <v>-2.7081633603568869</v>
      </c>
      <c r="T9" s="262">
        <f>SUM(C9:E9)*$D$4*$H$4</f>
        <v>-22.880588223273385</v>
      </c>
      <c r="U9" s="266">
        <f t="shared" ref="U9:U16" si="0">S9+T9</f>
        <v>-25.588751583630273</v>
      </c>
      <c r="V9" s="93">
        <f>(U9+W9*F9)/B9</f>
        <v>-111.86656014275437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0.20868689312757091</v>
      </c>
      <c r="C10" s="97">
        <f>1/(1-D4*B4*C9)</f>
        <v>1.2071769727874209</v>
      </c>
      <c r="D10" s="144">
        <f>C10*D4*C9</f>
        <v>1.1984426385987466</v>
      </c>
      <c r="E10" s="1">
        <f>D10*D4*C8</f>
        <v>1.1566520598560102</v>
      </c>
      <c r="F10" s="1">
        <f>E10*D4</f>
        <v>0.95669950091711298</v>
      </c>
      <c r="G10" s="1">
        <f>F10*D4</f>
        <v>0.79131310687242806</v>
      </c>
      <c r="H10" s="1"/>
      <c r="I10" s="1"/>
      <c r="J10" s="1"/>
      <c r="K10" s="1"/>
      <c r="L10" s="1"/>
      <c r="M10" s="262"/>
      <c r="N10" s="97">
        <f>B10+G10</f>
        <v>0.999999999999999</v>
      </c>
      <c r="R10" s="190">
        <f>B10-G10</f>
        <v>-0.58262621374485712</v>
      </c>
      <c r="S10" s="93">
        <f>SUM(C10:F10)*$B$4*$F$4</f>
        <v>-3.6897321647584973</v>
      </c>
      <c r="T10" s="262">
        <f>SUM(C10:F10)*$D$4*$H$4</f>
        <v>-31.17361513408882</v>
      </c>
      <c r="U10" s="266">
        <f t="shared" si="0"/>
        <v>-34.863347298847316</v>
      </c>
      <c r="V10" s="93">
        <f>(U10+W10*G10)/B10</f>
        <v>-151.89307960984624</v>
      </c>
      <c r="W10" s="9">
        <f t="shared" si="1"/>
        <v>4</v>
      </c>
    </row>
    <row r="11" spans="1:23" x14ac:dyDescent="0.2">
      <c r="A11" s="99">
        <v>5</v>
      </c>
      <c r="B11" s="97">
        <f>C11*B4</f>
        <v>0.20893653462678746</v>
      </c>
      <c r="C11" s="97">
        <f>1/(1-D4*B4*C10)</f>
        <v>1.208621057103354</v>
      </c>
      <c r="D11" s="144">
        <f>C11*D4*C10</f>
        <v>1.2067961355856995</v>
      </c>
      <c r="E11" s="1">
        <f>D11*D4*C9</f>
        <v>1.1980645568831438</v>
      </c>
      <c r="F11" s="1">
        <f>E11*D4*C8</f>
        <v>1.1562871621286921</v>
      </c>
      <c r="G11" s="1">
        <f>F11*D4</f>
        <v>0.95639768372789324</v>
      </c>
      <c r="H11" s="1">
        <f>G11*D4</f>
        <v>0.79106346537321126</v>
      </c>
      <c r="I11" s="1"/>
      <c r="J11" s="1"/>
      <c r="K11" s="1"/>
      <c r="L11" s="1"/>
      <c r="M11" s="262"/>
      <c r="N11" s="97">
        <f>B11+H11</f>
        <v>0.99999999999999867</v>
      </c>
      <c r="R11" s="190">
        <f>B11-H11</f>
        <v>-0.58212693074642385</v>
      </c>
      <c r="S11" s="93">
        <f>SUM(C11:G11)*$B$4*$F$4</f>
        <v>-4.6754051448891367</v>
      </c>
      <c r="T11" s="262">
        <f>SUM(C11:G11)*$D$4*$H$4</f>
        <v>-39.501317189035696</v>
      </c>
      <c r="U11" s="266">
        <f t="shared" si="0"/>
        <v>-44.176722333924829</v>
      </c>
      <c r="V11" s="93">
        <f>(U11+W11*H11)/B11</f>
        <v>-192.50537048919753</v>
      </c>
      <c r="W11" s="9">
        <f t="shared" si="1"/>
        <v>5</v>
      </c>
    </row>
    <row r="12" spans="1:23" x14ac:dyDescent="0.2">
      <c r="A12" s="99">
        <v>6</v>
      </c>
      <c r="B12" s="97">
        <f>C12*B4</f>
        <v>0.2089886904176104</v>
      </c>
      <c r="C12" s="97">
        <f>1/(1-D4*B4*C11)</f>
        <v>1.2089227591831317</v>
      </c>
      <c r="D12" s="144">
        <f>C12*D4*C11</f>
        <v>1.2085413712250419</v>
      </c>
      <c r="E12" s="1">
        <f>D12*D4*C10</f>
        <v>1.206716570026716</v>
      </c>
      <c r="F12" s="1">
        <f>E12*D4*C9</f>
        <v>1.1979855670079231</v>
      </c>
      <c r="G12" s="1">
        <f>F12*D4*C8</f>
        <v>1.1562109266886806</v>
      </c>
      <c r="H12" s="1">
        <f>G12*D4</f>
        <v>0.95633462724795215</v>
      </c>
      <c r="I12" s="1">
        <f>H12*D4</f>
        <v>0.79101130958238786</v>
      </c>
      <c r="J12" s="1"/>
      <c r="K12" s="1"/>
      <c r="L12" s="1"/>
      <c r="M12" s="262"/>
      <c r="N12" s="97">
        <f>B12+I12</f>
        <v>0.99999999999999822</v>
      </c>
      <c r="R12" s="190">
        <f>B12-I12</f>
        <v>-0.58202261916477749</v>
      </c>
      <c r="S12" s="93">
        <f>SUM(C12:H12)*$B$4*$F$4</f>
        <v>-5.6621802365799194</v>
      </c>
      <c r="T12" s="262">
        <f>SUM(C12:H12)*$D$4*$H$4</f>
        <v>-47.838330706190831</v>
      </c>
      <c r="U12" s="266">
        <f t="shared" si="0"/>
        <v>-53.500510942770752</v>
      </c>
      <c r="V12" s="93">
        <f>(U12+W12*I12)/B12</f>
        <v>-233.28747114426696</v>
      </c>
      <c r="W12" s="9">
        <f t="shared" si="1"/>
        <v>6</v>
      </c>
    </row>
    <row r="13" spans="1:23" x14ac:dyDescent="0.2">
      <c r="A13" s="99">
        <v>7</v>
      </c>
      <c r="B13" s="97">
        <f>C13*B4</f>
        <v>0.20899959023783493</v>
      </c>
      <c r="C13" s="97">
        <f>1/(1-D4*B4*C12)</f>
        <v>1.208985810636845</v>
      </c>
      <c r="D13" s="144">
        <f>C13*D4*C12</f>
        <v>1.2089061007098822</v>
      </c>
      <c r="E13" s="1">
        <f>D13*D4*C11</f>
        <v>1.2085247180071663</v>
      </c>
      <c r="F13" s="1">
        <f>E13*D4*C10</f>
        <v>1.2066999419538729</v>
      </c>
      <c r="G13" s="1">
        <f>F13*D4*C9</f>
        <v>1.1979690592448178</v>
      </c>
      <c r="H13" s="1">
        <f>G13*D4*C8</f>
        <v>1.1561949945634504</v>
      </c>
      <c r="I13" s="1">
        <f>H13*D4</f>
        <v>0.9563214493383756</v>
      </c>
      <c r="J13" s="1">
        <f>I13*D4</f>
        <v>0.79100040976216313</v>
      </c>
      <c r="K13" s="1"/>
      <c r="L13" s="1"/>
      <c r="M13" s="262"/>
      <c r="N13" s="97">
        <f>B13+J13</f>
        <v>0.999999999999998</v>
      </c>
      <c r="R13" s="190">
        <f>B13-J13</f>
        <v>-0.58200081952432825</v>
      </c>
      <c r="S13" s="93">
        <f>SUM(C13:I13)*$B$4*$F$4</f>
        <v>-6.6492370423223637</v>
      </c>
      <c r="T13" s="262">
        <f>SUM(C13:I13)*$D$4*$H$4</f>
        <v>-56.177724354215144</v>
      </c>
      <c r="U13" s="266">
        <f t="shared" si="0"/>
        <v>-62.826961396537506</v>
      </c>
      <c r="V13" s="93">
        <f>(U13+W13*J13)/B13</f>
        <v>-274.11517153219393</v>
      </c>
      <c r="W13" s="9">
        <f t="shared" si="1"/>
        <v>7</v>
      </c>
    </row>
    <row r="14" spans="1:23" x14ac:dyDescent="0.2">
      <c r="A14" s="99">
        <v>8</v>
      </c>
      <c r="B14" s="97">
        <f>C14*B4</f>
        <v>0.20900186828923478</v>
      </c>
      <c r="C14" s="97">
        <f>1/(1-D4*B4*C13)</f>
        <v>1.2089989883268835</v>
      </c>
      <c r="D14" s="144">
        <f>C14*D4*C13</f>
        <v>1.2089823288032266</v>
      </c>
      <c r="E14" s="1">
        <f>D14*D4*C12</f>
        <v>1.2089026191058254</v>
      </c>
      <c r="F14" s="1">
        <f>E14*D4*C11</f>
        <v>1.2085212375014773</v>
      </c>
      <c r="G14" s="1">
        <f>F14*D4*C10</f>
        <v>1.2066964667034703</v>
      </c>
      <c r="H14" s="1">
        <f>G14*D4*C9</f>
        <v>1.1979656091390287</v>
      </c>
      <c r="I14" s="1">
        <f>H14*D4*C8</f>
        <v>1.1561916647653949</v>
      </c>
      <c r="J14" s="1">
        <f>I14*D4</f>
        <v>0.95631869516860535</v>
      </c>
      <c r="K14" s="1">
        <f>J14*D4</f>
        <v>0.79099813171076283</v>
      </c>
      <c r="L14" s="1"/>
      <c r="M14" s="262"/>
      <c r="N14" s="97">
        <f>B14+K14</f>
        <v>0.99999999999999756</v>
      </c>
      <c r="R14" s="190">
        <f>B14-K14</f>
        <v>-0.5819962634215281</v>
      </c>
      <c r="S14" s="93">
        <f>SUM(C14:J14)*$B$4*$F$4</f>
        <v>-7.6363634806580301</v>
      </c>
      <c r="T14" s="262">
        <f>SUM(C14:J14)*$D$4*$H$4</f>
        <v>-64.517706310432303</v>
      </c>
      <c r="U14" s="266">
        <f t="shared" si="0"/>
        <v>-72.154069791090336</v>
      </c>
      <c r="V14" s="93">
        <f>(U14+W14*K14)/B14</f>
        <v>-314.95452780502626</v>
      </c>
      <c r="W14" s="9">
        <f t="shared" si="1"/>
        <v>8</v>
      </c>
    </row>
    <row r="15" spans="1:23" x14ac:dyDescent="0.2">
      <c r="A15" s="99">
        <v>9</v>
      </c>
      <c r="B15" s="97">
        <f>C15*B4</f>
        <v>0.20900234440594684</v>
      </c>
      <c r="C15" s="97">
        <f>1/(1-D4*B4*C14)</f>
        <v>1.2090017424870636</v>
      </c>
      <c r="D15" s="144">
        <f>C15*D4*C14</f>
        <v>1.2089982606075622</v>
      </c>
      <c r="E15" s="1">
        <f>D15*D4*C13</f>
        <v>1.2089816010939332</v>
      </c>
      <c r="F15" s="1">
        <f>E15*D4*C12</f>
        <v>1.2089018914445109</v>
      </c>
      <c r="G15" s="1">
        <f>F15*D4*C11</f>
        <v>1.2085205100697236</v>
      </c>
      <c r="H15" s="1">
        <f>G15*D4*C10</f>
        <v>1.2066957403700804</v>
      </c>
      <c r="I15" s="1">
        <f>H15*D4*C9</f>
        <v>1.1979648880609068</v>
      </c>
      <c r="J15" s="1">
        <f>I15*D4*C8</f>
        <v>1.1561909688317991</v>
      </c>
      <c r="K15" s="1">
        <f>J15*D4</f>
        <v>0.95631811954232426</v>
      </c>
      <c r="L15" s="1">
        <f>K15*D4</f>
        <v>0.79099765559405066</v>
      </c>
      <c r="M15" s="262"/>
      <c r="N15" s="97">
        <f>B15+L15</f>
        <v>0.99999999999999756</v>
      </c>
      <c r="R15" s="190">
        <f>B15-L15</f>
        <v>-0.58199531118810377</v>
      </c>
      <c r="S15" s="93">
        <f>SUM(C15:K15)*$B$4*$F$4</f>
        <v>-8.6235067208417036</v>
      </c>
      <c r="T15" s="262">
        <f>SUM(C15:K15)*$D$4*$H$4</f>
        <v>-72.857830221219587</v>
      </c>
      <c r="U15" s="266">
        <f t="shared" si="0"/>
        <v>-81.48133694206129</v>
      </c>
      <c r="V15" s="93">
        <f>(U15+W15*L15)/B15</f>
        <v>-355.79676511800392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0.20900244391544337</v>
      </c>
      <c r="C16" s="145">
        <f>1/(1-D4*B4*C15)</f>
        <v>1.2090023181129257</v>
      </c>
      <c r="D16" s="153">
        <f>C16*D4*C15</f>
        <v>1.2090015903916003</v>
      </c>
      <c r="E16" s="111">
        <f>D16*D4*C14</f>
        <v>1.208998108512537</v>
      </c>
      <c r="F16" s="111">
        <f>E16*D4*C13</f>
        <v>1.2089814490010036</v>
      </c>
      <c r="G16" s="111">
        <f>F16*D4*C12</f>
        <v>1.2089017393616088</v>
      </c>
      <c r="H16" s="111">
        <f>G16*D4*C11</f>
        <v>1.2085203580348003</v>
      </c>
      <c r="I16" s="111">
        <f>H16*D4*C10</f>
        <v>1.2066955885647177</v>
      </c>
      <c r="J16" s="111">
        <f>I16*D4*C9</f>
        <v>1.1979647373539073</v>
      </c>
      <c r="K16" s="111">
        <f>J16*D4*C8</f>
        <v>1.1561908233800637</v>
      </c>
      <c r="L16" s="111">
        <f>K16*D4</f>
        <v>0.95631799923509664</v>
      </c>
      <c r="M16" s="264">
        <f>L16*D4</f>
        <v>0.79099755608455369</v>
      </c>
      <c r="N16" s="145">
        <f>B16+M16</f>
        <v>0.99999999999999711</v>
      </c>
      <c r="R16" s="191">
        <f>B16-M16</f>
        <v>-0.58199511216911026</v>
      </c>
      <c r="S16" s="94">
        <f>SUM(C16:L16)*$B$4*$F$4</f>
        <v>-9.6106539426354161</v>
      </c>
      <c r="T16" s="264">
        <f>SUM(C16:L16)*$D$4*$H$4</f>
        <v>-81.197987771624426</v>
      </c>
      <c r="U16" s="267">
        <f t="shared" si="0"/>
        <v>-90.808641714259835</v>
      </c>
      <c r="V16" s="94">
        <f>(U16+W16*M16)/B16</f>
        <v>-396.63969760541562</v>
      </c>
      <c r="W16" s="10">
        <f t="shared" si="1"/>
        <v>10</v>
      </c>
    </row>
    <row r="18" spans="1:21" x14ac:dyDescent="0.2">
      <c r="A18" s="356" t="s">
        <v>200</v>
      </c>
      <c r="B18" s="356"/>
      <c r="C18" s="356"/>
      <c r="D18" s="356"/>
      <c r="E18" s="356"/>
      <c r="F18" s="356"/>
      <c r="O18" s="356" t="s">
        <v>201</v>
      </c>
      <c r="P18" s="356"/>
      <c r="Q18" s="356"/>
      <c r="R18" s="356"/>
      <c r="S18" s="356"/>
      <c r="T18" s="356"/>
    </row>
    <row r="19" spans="1:21" ht="17" thickBot="1" x14ac:dyDescent="0.25"/>
    <row r="20" spans="1:21" ht="17" thickBot="1" x14ac:dyDescent="0.25">
      <c r="A20" s="29" t="s">
        <v>135</v>
      </c>
      <c r="B20" s="19" t="s">
        <v>140</v>
      </c>
      <c r="C20" s="19" t="s">
        <v>139</v>
      </c>
      <c r="D20" s="19" t="s">
        <v>138</v>
      </c>
      <c r="E20" s="167" t="s">
        <v>151</v>
      </c>
      <c r="F20" s="168" t="s">
        <v>152</v>
      </c>
      <c r="G20" s="166" t="s">
        <v>47</v>
      </c>
      <c r="O20" s="29" t="s">
        <v>135</v>
      </c>
      <c r="P20" s="118" t="s">
        <v>140</v>
      </c>
      <c r="Q20" s="118" t="s">
        <v>139</v>
      </c>
      <c r="R20" s="118" t="s">
        <v>138</v>
      </c>
      <c r="S20" s="166" t="s">
        <v>151</v>
      </c>
      <c r="T20" s="168" t="s">
        <v>152</v>
      </c>
      <c r="U20" s="293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5</v>
      </c>
      <c r="D21" s="57">
        <f>SUM($C$21:C21)</f>
        <v>5</v>
      </c>
      <c r="E21" s="57">
        <f t="shared" ref="E21:E30" si="3">D21/R7</f>
        <v>-7.6422645120467889</v>
      </c>
      <c r="F21" s="8">
        <f t="shared" ref="F21:F30" si="4">U7/E21</f>
        <v>1.0095026099536917</v>
      </c>
      <c r="G21" s="286">
        <f>E21*U7</f>
        <v>58.959199269649936</v>
      </c>
      <c r="O21" s="101">
        <v>1</v>
      </c>
      <c r="P21" s="109">
        <v>1</v>
      </c>
      <c r="Q21" s="110">
        <f>P21*5+10</f>
        <v>15</v>
      </c>
      <c r="R21" s="57">
        <f>SUM($Q$21)</f>
        <v>15</v>
      </c>
      <c r="S21" s="281">
        <f>R21/R7</f>
        <v>-22.926793536140366</v>
      </c>
      <c r="T21" s="8">
        <f>U7/S21</f>
        <v>0.33650086998456391</v>
      </c>
      <c r="U21" s="286">
        <f>S21*U7</f>
        <v>176.87759780894979</v>
      </c>
    </row>
    <row r="22" spans="1:21" x14ac:dyDescent="0.2">
      <c r="A22" s="97">
        <v>2</v>
      </c>
      <c r="B22" s="93">
        <f>C21</f>
        <v>5</v>
      </c>
      <c r="C22" s="1">
        <f t="shared" si="2"/>
        <v>25</v>
      </c>
      <c r="D22" s="9">
        <f>SUM($C$21:C22)</f>
        <v>30</v>
      </c>
      <c r="E22" s="9">
        <f t="shared" si="3"/>
        <v>-50.287375575284919</v>
      </c>
      <c r="F22" s="9">
        <f t="shared" si="4"/>
        <v>0.32707867172399818</v>
      </c>
      <c r="G22" s="287">
        <f t="shared" ref="G22:G30" si="5">E22*U8</f>
        <v>827.1231331559444</v>
      </c>
      <c r="O22" s="99">
        <v>2</v>
      </c>
      <c r="P22" s="93">
        <f>Q21</f>
        <v>15</v>
      </c>
      <c r="Q22" s="1">
        <f t="shared" ref="Q22:Q30" si="6">P22*5+10</f>
        <v>85</v>
      </c>
      <c r="R22" s="9">
        <f>SUM($Q$21:Q22)</f>
        <v>100</v>
      </c>
      <c r="S22" s="282">
        <f t="shared" ref="S22:S30" si="7">R22/R8</f>
        <v>-167.62458525094974</v>
      </c>
      <c r="T22" s="9">
        <f>U8/S22</f>
        <v>9.8123601517199455E-2</v>
      </c>
      <c r="U22" s="287">
        <f t="shared" ref="U22:U30" si="8">S22*U8</f>
        <v>2757.0771105198146</v>
      </c>
    </row>
    <row r="23" spans="1:21" x14ac:dyDescent="0.2">
      <c r="A23" s="97">
        <v>3</v>
      </c>
      <c r="B23" s="93">
        <f t="shared" ref="B23:B30" si="9">C22</f>
        <v>25</v>
      </c>
      <c r="C23" s="1">
        <f t="shared" si="2"/>
        <v>125</v>
      </c>
      <c r="D23" s="9">
        <f>SUM($C$21:C23)</f>
        <v>155</v>
      </c>
      <c r="E23" s="9">
        <f t="shared" si="3"/>
        <v>-264.94844834364284</v>
      </c>
      <c r="F23" s="9">
        <f t="shared" si="4"/>
        <v>9.6580114900092592E-2</v>
      </c>
      <c r="G23" s="287">
        <f t="shared" si="5"/>
        <v>6779.7000271337747</v>
      </c>
      <c r="O23" s="99">
        <v>3</v>
      </c>
      <c r="P23" s="93">
        <f t="shared" ref="P23:P30" si="10">Q22</f>
        <v>85</v>
      </c>
      <c r="Q23" s="1">
        <f t="shared" si="6"/>
        <v>435</v>
      </c>
      <c r="R23" s="9">
        <f>SUM($Q$21:Q23)</f>
        <v>535</v>
      </c>
      <c r="S23" s="282">
        <f t="shared" si="7"/>
        <v>-914.49948299257369</v>
      </c>
      <c r="T23" s="9">
        <f t="shared" ref="T23:T30" si="11">U9/S23</f>
        <v>2.7981154784138977E-2</v>
      </c>
      <c r="U23" s="287">
        <f t="shared" si="8"/>
        <v>23400.900093655287</v>
      </c>
    </row>
    <row r="24" spans="1:21" x14ac:dyDescent="0.2">
      <c r="A24" s="97">
        <v>4</v>
      </c>
      <c r="B24" s="93">
        <f t="shared" si="9"/>
        <v>125</v>
      </c>
      <c r="C24" s="1">
        <f t="shared" si="2"/>
        <v>625</v>
      </c>
      <c r="D24" s="9">
        <f>SUM($C$21:C24)</f>
        <v>780</v>
      </c>
      <c r="E24" s="9">
        <f t="shared" si="3"/>
        <v>-1338.7657156489984</v>
      </c>
      <c r="F24" s="9">
        <f t="shared" si="4"/>
        <v>2.6041410301537699E-2</v>
      </c>
      <c r="G24" s="287">
        <f t="shared" si="5"/>
        <v>46673.854096460898</v>
      </c>
      <c r="O24" s="99">
        <v>4</v>
      </c>
      <c r="P24" s="93">
        <f t="shared" si="10"/>
        <v>435</v>
      </c>
      <c r="Q24" s="1">
        <f t="shared" si="6"/>
        <v>2185</v>
      </c>
      <c r="R24" s="9">
        <f>SUM($Q$21:Q24)</f>
        <v>2720</v>
      </c>
      <c r="S24" s="282">
        <f t="shared" si="7"/>
        <v>-4668.5163417503536</v>
      </c>
      <c r="T24" s="9">
        <f t="shared" si="11"/>
        <v>7.4677573658821338E-3</v>
      </c>
      <c r="U24" s="287">
        <f t="shared" si="8"/>
        <v>162760.10659278673</v>
      </c>
    </row>
    <row r="25" spans="1:21" x14ac:dyDescent="0.2">
      <c r="A25" s="97">
        <v>5</v>
      </c>
      <c r="B25" s="93">
        <f t="shared" si="9"/>
        <v>625</v>
      </c>
      <c r="C25" s="1">
        <f t="shared" si="2"/>
        <v>3125</v>
      </c>
      <c r="D25" s="9">
        <f>SUM($C$21:C25)</f>
        <v>3905</v>
      </c>
      <c r="E25" s="9">
        <f t="shared" si="3"/>
        <v>-6708.158983458934</v>
      </c>
      <c r="F25" s="9">
        <f t="shared" si="4"/>
        <v>6.5855210711100272E-3</v>
      </c>
      <c r="G25" s="287">
        <f t="shared" si="5"/>
        <v>296344.47678408877</v>
      </c>
      <c r="O25" s="99">
        <v>5</v>
      </c>
      <c r="P25" s="93">
        <f t="shared" si="10"/>
        <v>2185</v>
      </c>
      <c r="Q25" s="1">
        <f t="shared" si="6"/>
        <v>10935</v>
      </c>
      <c r="R25" s="9">
        <f>SUM($Q$21:Q25)</f>
        <v>13655</v>
      </c>
      <c r="S25" s="282">
        <f t="shared" si="7"/>
        <v>-23457.083462005568</v>
      </c>
      <c r="T25" s="9">
        <f t="shared" si="11"/>
        <v>1.8832998742354197E-3</v>
      </c>
      <c r="U25" s="287">
        <f t="shared" si="8"/>
        <v>1036257.0628647201</v>
      </c>
    </row>
    <row r="26" spans="1:21" x14ac:dyDescent="0.2">
      <c r="A26" s="97">
        <v>6</v>
      </c>
      <c r="B26" s="93">
        <f t="shared" si="9"/>
        <v>3125</v>
      </c>
      <c r="C26" s="1">
        <f t="shared" si="2"/>
        <v>15625</v>
      </c>
      <c r="D26" s="9">
        <f>SUM($C$21:C26)</f>
        <v>19530</v>
      </c>
      <c r="E26" s="9">
        <f t="shared" si="3"/>
        <v>-33555.396915718193</v>
      </c>
      <c r="F26" s="9">
        <f t="shared" si="4"/>
        <v>1.5943936254769725E-3</v>
      </c>
      <c r="G26" s="287">
        <f t="shared" si="5"/>
        <v>1795230.8798783971</v>
      </c>
      <c r="O26" s="99">
        <v>6</v>
      </c>
      <c r="P26" s="93">
        <f t="shared" si="10"/>
        <v>10935</v>
      </c>
      <c r="Q26" s="1">
        <f t="shared" si="6"/>
        <v>54685</v>
      </c>
      <c r="R26" s="9">
        <f>SUM($Q$21:Q26)</f>
        <v>68340</v>
      </c>
      <c r="S26" s="282">
        <f t="shared" si="7"/>
        <v>-117418.11701076198</v>
      </c>
      <c r="T26" s="9">
        <f t="shared" si="11"/>
        <v>4.5564102290847629E-4</v>
      </c>
      <c r="U26" s="287">
        <f t="shared" si="8"/>
        <v>6281929.2540138084</v>
      </c>
    </row>
    <row r="27" spans="1:21" x14ac:dyDescent="0.2">
      <c r="A27" s="97">
        <v>7</v>
      </c>
      <c r="B27" s="93">
        <f t="shared" si="9"/>
        <v>15625</v>
      </c>
      <c r="C27" s="1">
        <f t="shared" si="2"/>
        <v>78125</v>
      </c>
      <c r="D27" s="9">
        <f>SUM($C$21:C27)</f>
        <v>97655</v>
      </c>
      <c r="E27" s="9">
        <f t="shared" si="3"/>
        <v>-167791.85994929328</v>
      </c>
      <c r="F27" s="9">
        <f t="shared" si="4"/>
        <v>3.7443390528911128E-4</v>
      </c>
      <c r="G27" s="287">
        <f t="shared" si="5"/>
        <v>10541852.707687477</v>
      </c>
      <c r="O27" s="99">
        <v>7</v>
      </c>
      <c r="P27" s="93">
        <f t="shared" si="10"/>
        <v>54685</v>
      </c>
      <c r="Q27" s="1">
        <f t="shared" si="6"/>
        <v>273435</v>
      </c>
      <c r="R27" s="9">
        <f>SUM($Q$21:Q27)</f>
        <v>341775</v>
      </c>
      <c r="S27" s="282">
        <f t="shared" si="7"/>
        <v>-587241.44113634434</v>
      </c>
      <c r="T27" s="9">
        <f t="shared" si="11"/>
        <v>1.0698659358059591E-4</v>
      </c>
      <c r="U27" s="287">
        <f t="shared" si="8"/>
        <v>36894595.352720156</v>
      </c>
    </row>
    <row r="28" spans="1:21" x14ac:dyDescent="0.2">
      <c r="A28" s="97">
        <v>8</v>
      </c>
      <c r="B28" s="93">
        <f t="shared" si="9"/>
        <v>78125</v>
      </c>
      <c r="C28" s="1">
        <f t="shared" si="2"/>
        <v>390625</v>
      </c>
      <c r="D28" s="9">
        <f>SUM($C$21:C28)</f>
        <v>488280</v>
      </c>
      <c r="E28" s="9">
        <f t="shared" si="3"/>
        <v>-838974.45858058485</v>
      </c>
      <c r="F28" s="9">
        <f t="shared" si="4"/>
        <v>8.6002701337492294E-5</v>
      </c>
      <c r="G28" s="287">
        <f t="shared" si="5"/>
        <v>60535421.637365751</v>
      </c>
      <c r="O28" s="99">
        <v>8</v>
      </c>
      <c r="P28" s="93">
        <f t="shared" si="10"/>
        <v>273435</v>
      </c>
      <c r="Q28" s="1">
        <f t="shared" si="6"/>
        <v>1367185</v>
      </c>
      <c r="R28" s="9">
        <f>SUM($Q$21:Q28)</f>
        <v>1708960</v>
      </c>
      <c r="S28" s="282">
        <f t="shared" si="7"/>
        <v>-2936376.2405502507</v>
      </c>
      <c r="T28" s="9">
        <f t="shared" si="11"/>
        <v>2.4572487951192965E-5</v>
      </c>
      <c r="U28" s="287">
        <f t="shared" si="8"/>
        <v>211871496.19356227</v>
      </c>
    </row>
    <row r="29" spans="1:21" x14ac:dyDescent="0.2">
      <c r="A29" s="97">
        <v>9</v>
      </c>
      <c r="B29" s="93">
        <f t="shared" si="9"/>
        <v>390625</v>
      </c>
      <c r="C29" s="1">
        <f t="shared" si="2"/>
        <v>1953125</v>
      </c>
      <c r="D29" s="9">
        <f>SUM($C$21:C29)</f>
        <v>2441405</v>
      </c>
      <c r="E29" s="9">
        <f t="shared" si="3"/>
        <v>-4194887.7474906771</v>
      </c>
      <c r="F29" s="9">
        <f t="shared" si="4"/>
        <v>1.9423961222991553E-5</v>
      </c>
      <c r="G29" s="287">
        <f t="shared" si="5"/>
        <v>341805061.98741239</v>
      </c>
      <c r="O29" s="99">
        <v>9</v>
      </c>
      <c r="P29" s="93">
        <f t="shared" si="10"/>
        <v>1367185</v>
      </c>
      <c r="Q29" s="1">
        <f t="shared" si="6"/>
        <v>6835935</v>
      </c>
      <c r="R29" s="9">
        <f>SUM($Q$21:Q29)</f>
        <v>8544895</v>
      </c>
      <c r="S29" s="282">
        <f t="shared" si="7"/>
        <v>-14682068.456112092</v>
      </c>
      <c r="T29" s="9">
        <f t="shared" si="11"/>
        <v>5.5497178197763344E-6</v>
      </c>
      <c r="U29" s="287">
        <f t="shared" si="8"/>
        <v>1196314566.8788791</v>
      </c>
    </row>
    <row r="30" spans="1:21" ht="17" thickBot="1" x14ac:dyDescent="0.25">
      <c r="A30" s="145">
        <v>10</v>
      </c>
      <c r="B30" s="94">
        <f t="shared" si="9"/>
        <v>1953125</v>
      </c>
      <c r="C30" s="111">
        <f t="shared" si="2"/>
        <v>9765625</v>
      </c>
      <c r="D30" s="10">
        <f>SUM($C$21:C30)</f>
        <v>12207030</v>
      </c>
      <c r="E30" s="10">
        <f t="shared" si="3"/>
        <v>-20974454.501007915</v>
      </c>
      <c r="F30" s="10">
        <f t="shared" si="4"/>
        <v>4.3294876493639482E-6</v>
      </c>
      <c r="G30" s="288">
        <f t="shared" si="5"/>
        <v>1904661723.9340723</v>
      </c>
      <c r="O30" s="100">
        <v>10</v>
      </c>
      <c r="P30" s="94">
        <f t="shared" si="10"/>
        <v>6835935</v>
      </c>
      <c r="Q30" s="111">
        <f t="shared" si="6"/>
        <v>34179685</v>
      </c>
      <c r="R30" s="10">
        <f>SUM($Q$21:Q30)</f>
        <v>42724580</v>
      </c>
      <c r="S30" s="283">
        <f t="shared" si="7"/>
        <v>-73410547.797840476</v>
      </c>
      <c r="T30" s="10">
        <f t="shared" si="11"/>
        <v>1.2369971950669896E-6</v>
      </c>
      <c r="U30" s="288">
        <f t="shared" si="8"/>
        <v>6666312133.0216417</v>
      </c>
    </row>
    <row r="31" spans="1:21" ht="17" thickBot="1" x14ac:dyDescent="0.25"/>
    <row r="32" spans="1:21" ht="17" thickBot="1" x14ac:dyDescent="0.25">
      <c r="A32" s="117" t="s">
        <v>135</v>
      </c>
      <c r="B32" s="118" t="s">
        <v>140</v>
      </c>
      <c r="C32" s="118" t="s">
        <v>139</v>
      </c>
      <c r="D32" s="170" t="s">
        <v>138</v>
      </c>
      <c r="E32" s="167" t="s">
        <v>151</v>
      </c>
      <c r="F32" s="168" t="s">
        <v>152</v>
      </c>
      <c r="G32" s="290" t="s">
        <v>47</v>
      </c>
      <c r="O32" s="29" t="s">
        <v>135</v>
      </c>
      <c r="P32" s="118" t="s">
        <v>140</v>
      </c>
      <c r="Q32" s="118" t="s">
        <v>139</v>
      </c>
      <c r="R32" s="118" t="s">
        <v>138</v>
      </c>
      <c r="S32" s="166" t="s">
        <v>151</v>
      </c>
      <c r="T32" s="168" t="s">
        <v>152</v>
      </c>
      <c r="U32" s="294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5</v>
      </c>
      <c r="D33" s="57">
        <f>SUM($C$33:C33)</f>
        <v>5</v>
      </c>
      <c r="E33" s="9">
        <f t="shared" ref="E33:E42" si="13">D33/R7</f>
        <v>-7.6422645120467889</v>
      </c>
      <c r="F33" s="8">
        <f t="shared" ref="F33:F42" si="14">U7/E33</f>
        <v>1.0095026099536917</v>
      </c>
      <c r="G33" s="289">
        <f>E33*U7</f>
        <v>58.959199269649936</v>
      </c>
      <c r="O33" s="101">
        <v>1</v>
      </c>
      <c r="P33" s="109">
        <v>1</v>
      </c>
      <c r="Q33" s="110">
        <f>P33*5+10</f>
        <v>15</v>
      </c>
      <c r="R33" s="57">
        <f>SUM($Q$21)</f>
        <v>15</v>
      </c>
      <c r="S33" s="281">
        <f>R33/R7</f>
        <v>-22.926793536140366</v>
      </c>
      <c r="T33" s="8">
        <f>U7/S33</f>
        <v>0.33650086998456391</v>
      </c>
      <c r="U33" s="289">
        <f>S33*U7</f>
        <v>176.87759780894979</v>
      </c>
    </row>
    <row r="34" spans="1:21" x14ac:dyDescent="0.2">
      <c r="A34" s="97">
        <v>2</v>
      </c>
      <c r="B34" s="93">
        <f t="shared" ref="B34:B42" si="15">B33*($O$2+1)</f>
        <v>6</v>
      </c>
      <c r="C34" s="1">
        <f t="shared" si="12"/>
        <v>30</v>
      </c>
      <c r="D34" s="9">
        <f>SUM($C$33:C34)</f>
        <v>35</v>
      </c>
      <c r="E34" s="9">
        <f t="shared" si="13"/>
        <v>-58.668604837832412</v>
      </c>
      <c r="F34" s="9">
        <f t="shared" si="14"/>
        <v>0.28035314719199839</v>
      </c>
      <c r="G34" s="287">
        <f t="shared" ref="G34:G42" si="16">E34*U8</f>
        <v>964.97698868193515</v>
      </c>
      <c r="O34" s="99">
        <v>2</v>
      </c>
      <c r="P34" s="93">
        <f>Q33+1</f>
        <v>16</v>
      </c>
      <c r="Q34" s="1">
        <f t="shared" ref="Q34:Q42" si="17">P34*5+10</f>
        <v>90</v>
      </c>
      <c r="R34" s="9">
        <f>SUM($Q$33:Q34)</f>
        <v>105</v>
      </c>
      <c r="S34" s="282">
        <f>R34/R8</f>
        <v>-176.00581451349723</v>
      </c>
      <c r="T34" s="9">
        <f t="shared" ref="T34:T42" si="18">U8/S34</f>
        <v>9.3451049063999481E-2</v>
      </c>
      <c r="U34" s="287">
        <f t="shared" ref="U34:U42" si="19">S34*U8</f>
        <v>2894.9309660458057</v>
      </c>
    </row>
    <row r="35" spans="1:21" x14ac:dyDescent="0.2">
      <c r="A35" s="97">
        <v>3</v>
      </c>
      <c r="B35" s="93">
        <f t="shared" si="15"/>
        <v>36</v>
      </c>
      <c r="C35" s="1">
        <f t="shared" si="12"/>
        <v>180</v>
      </c>
      <c r="D35" s="9">
        <f>SUM($C$33:C35)</f>
        <v>215</v>
      </c>
      <c r="E35" s="9">
        <f t="shared" si="13"/>
        <v>-367.50913802505295</v>
      </c>
      <c r="F35" s="9">
        <f t="shared" si="14"/>
        <v>6.9627524695415596E-2</v>
      </c>
      <c r="G35" s="287">
        <f t="shared" si="16"/>
        <v>9404.1000376371703</v>
      </c>
      <c r="O35" s="99">
        <v>3</v>
      </c>
      <c r="P35" s="93">
        <f t="shared" ref="P35:P42" si="20">Q34+1</f>
        <v>91</v>
      </c>
      <c r="Q35" s="1">
        <f t="shared" si="17"/>
        <v>465</v>
      </c>
      <c r="R35" s="9">
        <f>SUM($Q$33:Q35)</f>
        <v>570</v>
      </c>
      <c r="S35" s="282">
        <f t="shared" ref="S35:S42" si="21">R35/R9</f>
        <v>-974.32655197339625</v>
      </c>
      <c r="T35" s="9">
        <f t="shared" si="18"/>
        <v>2.6263013700902373E-2</v>
      </c>
      <c r="U35" s="287">
        <f t="shared" si="19"/>
        <v>24931.800099782267</v>
      </c>
    </row>
    <row r="36" spans="1:21" x14ac:dyDescent="0.2">
      <c r="A36" s="97">
        <v>4</v>
      </c>
      <c r="B36" s="93">
        <f t="shared" si="15"/>
        <v>216</v>
      </c>
      <c r="C36" s="1">
        <f t="shared" si="12"/>
        <v>1080</v>
      </c>
      <c r="D36" s="9">
        <f>SUM($C$33:C36)</f>
        <v>1295</v>
      </c>
      <c r="E36" s="9">
        <f t="shared" si="13"/>
        <v>-2222.6943612377604</v>
      </c>
      <c r="F36" s="9">
        <f t="shared" si="14"/>
        <v>1.568517377235475E-2</v>
      </c>
      <c r="G36" s="287">
        <f t="shared" si="16"/>
        <v>77490.565455021628</v>
      </c>
      <c r="O36" s="99">
        <v>4</v>
      </c>
      <c r="P36" s="93">
        <f t="shared" si="20"/>
        <v>466</v>
      </c>
      <c r="Q36" s="1">
        <f t="shared" si="17"/>
        <v>2340</v>
      </c>
      <c r="R36" s="9">
        <f>SUM($Q$33:Q36)</f>
        <v>2910</v>
      </c>
      <c r="S36" s="282">
        <f t="shared" si="21"/>
        <v>-4994.6259391520325</v>
      </c>
      <c r="T36" s="9">
        <f t="shared" si="18"/>
        <v>6.9801718334018574E-3</v>
      </c>
      <c r="U36" s="287">
        <f t="shared" si="19"/>
        <v>174129.37874448876</v>
      </c>
    </row>
    <row r="37" spans="1:21" x14ac:dyDescent="0.2">
      <c r="A37" s="97">
        <v>5</v>
      </c>
      <c r="B37" s="93">
        <f t="shared" si="15"/>
        <v>1296</v>
      </c>
      <c r="C37" s="1">
        <f t="shared" si="12"/>
        <v>6480</v>
      </c>
      <c r="D37" s="9">
        <f>SUM($C$33:C37)</f>
        <v>7775</v>
      </c>
      <c r="E37" s="9">
        <f t="shared" si="13"/>
        <v>-13356.193622635907</v>
      </c>
      <c r="F37" s="9">
        <f t="shared" si="14"/>
        <v>3.3075832517922383E-3</v>
      </c>
      <c r="G37" s="287">
        <f t="shared" si="16"/>
        <v>590032.85710532404</v>
      </c>
      <c r="O37" s="99">
        <v>5</v>
      </c>
      <c r="P37" s="93">
        <f t="shared" si="20"/>
        <v>2341</v>
      </c>
      <c r="Q37" s="1">
        <f t="shared" si="17"/>
        <v>11715</v>
      </c>
      <c r="R37" s="9">
        <f>SUM($Q$33:Q37)</f>
        <v>14625</v>
      </c>
      <c r="S37" s="282">
        <f t="shared" si="21"/>
        <v>-25123.386717819951</v>
      </c>
      <c r="T37" s="9">
        <f t="shared" si="18"/>
        <v>1.7583904124912585E-3</v>
      </c>
      <c r="U37" s="287">
        <f t="shared" si="19"/>
        <v>1109868.8791209471</v>
      </c>
    </row>
    <row r="38" spans="1:21" x14ac:dyDescent="0.2">
      <c r="A38" s="97">
        <v>6</v>
      </c>
      <c r="B38" s="93">
        <f t="shared" si="15"/>
        <v>7776</v>
      </c>
      <c r="C38" s="1">
        <f t="shared" si="12"/>
        <v>38880</v>
      </c>
      <c r="D38" s="9">
        <f>SUM($C$33:C38)</f>
        <v>46655</v>
      </c>
      <c r="E38" s="9">
        <f t="shared" si="13"/>
        <v>-80160.114854215688</v>
      </c>
      <c r="F38" s="9">
        <f t="shared" si="14"/>
        <v>6.6742058740896517E-4</v>
      </c>
      <c r="G38" s="287">
        <f t="shared" si="16"/>
        <v>4288607.1019317266</v>
      </c>
      <c r="O38" s="99">
        <v>6</v>
      </c>
      <c r="P38" s="93">
        <f t="shared" si="20"/>
        <v>11716</v>
      </c>
      <c r="Q38" s="1">
        <f t="shared" si="17"/>
        <v>58590</v>
      </c>
      <c r="R38" s="9">
        <f>SUM($Q$33:Q38)</f>
        <v>73215</v>
      </c>
      <c r="S38" s="282">
        <f t="shared" si="21"/>
        <v>-125794.08014256567</v>
      </c>
      <c r="T38" s="9">
        <f t="shared" si="18"/>
        <v>4.2530229468777263E-4</v>
      </c>
      <c r="U38" s="287">
        <f t="shared" si="19"/>
        <v>6730047.5612031156</v>
      </c>
    </row>
    <row r="39" spans="1:21" x14ac:dyDescent="0.2">
      <c r="A39" s="97">
        <v>7</v>
      </c>
      <c r="B39" s="93">
        <f t="shared" si="15"/>
        <v>46656</v>
      </c>
      <c r="C39" s="1">
        <f t="shared" si="12"/>
        <v>233280</v>
      </c>
      <c r="D39" s="9">
        <f>SUM($C$33:C39)</f>
        <v>279935</v>
      </c>
      <c r="E39" s="9">
        <f t="shared" si="13"/>
        <v>-480987.29522201029</v>
      </c>
      <c r="F39" s="9">
        <f t="shared" si="14"/>
        <v>1.3062083348280195E-4</v>
      </c>
      <c r="G39" s="287">
        <f t="shared" si="16"/>
        <v>30218970.229138229</v>
      </c>
      <c r="O39" s="99">
        <v>7</v>
      </c>
      <c r="P39" s="93">
        <f t="shared" si="20"/>
        <v>58591</v>
      </c>
      <c r="Q39" s="1">
        <f t="shared" si="17"/>
        <v>292965</v>
      </c>
      <c r="R39" s="9">
        <f>SUM($Q$33:Q39)</f>
        <v>366180</v>
      </c>
      <c r="S39" s="282">
        <f t="shared" si="21"/>
        <v>-629174.37178057665</v>
      </c>
      <c r="T39" s="9">
        <f t="shared" si="18"/>
        <v>9.9856199194407565E-5</v>
      </c>
      <c r="U39" s="287">
        <f t="shared" si="19"/>
        <v>39529113.967549026</v>
      </c>
    </row>
    <row r="40" spans="1:21" x14ac:dyDescent="0.2">
      <c r="A40" s="97">
        <v>8</v>
      </c>
      <c r="B40" s="93">
        <f t="shared" si="15"/>
        <v>279936</v>
      </c>
      <c r="C40" s="1">
        <f t="shared" si="12"/>
        <v>1399680</v>
      </c>
      <c r="D40" s="9">
        <f>SUM($C$33:C40)</f>
        <v>1679615</v>
      </c>
      <c r="E40" s="9">
        <f t="shared" si="13"/>
        <v>-2885954.954634286</v>
      </c>
      <c r="F40" s="9">
        <f t="shared" si="14"/>
        <v>2.5001800417995037E-5</v>
      </c>
      <c r="G40" s="287">
        <f t="shared" si="16"/>
        <v>208233395.21062523</v>
      </c>
      <c r="O40" s="99">
        <v>8</v>
      </c>
      <c r="P40" s="93">
        <f t="shared" si="20"/>
        <v>292966</v>
      </c>
      <c r="Q40" s="1">
        <f t="shared" si="17"/>
        <v>1464840</v>
      </c>
      <c r="R40" s="9">
        <f>SUM($Q$33:Q40)</f>
        <v>1831020</v>
      </c>
      <c r="S40" s="282">
        <f t="shared" si="21"/>
        <v>-3146102.6729544983</v>
      </c>
      <c r="T40" s="9">
        <f t="shared" si="18"/>
        <v>2.2934429448651974E-5</v>
      </c>
      <c r="U40" s="287">
        <f t="shared" si="19"/>
        <v>227004111.83429474</v>
      </c>
    </row>
    <row r="41" spans="1:21" x14ac:dyDescent="0.2">
      <c r="A41" s="97">
        <v>9</v>
      </c>
      <c r="B41" s="93">
        <f t="shared" si="15"/>
        <v>1679616</v>
      </c>
      <c r="C41" s="1">
        <f t="shared" si="12"/>
        <v>8398080</v>
      </c>
      <c r="D41" s="9">
        <f>SUM($C$33:C41)</f>
        <v>10077695</v>
      </c>
      <c r="E41" s="9">
        <f t="shared" si="13"/>
        <v>-17315766.650124848</v>
      </c>
      <c r="F41" s="9">
        <f t="shared" si="14"/>
        <v>4.7056153266811206E-6</v>
      </c>
      <c r="G41" s="287">
        <f t="shared" si="16"/>
        <v>1410911816.8289306</v>
      </c>
      <c r="O41" s="99">
        <v>9</v>
      </c>
      <c r="P41" s="93">
        <f t="shared" si="20"/>
        <v>1464841</v>
      </c>
      <c r="Q41" s="1">
        <f t="shared" si="17"/>
        <v>7324215</v>
      </c>
      <c r="R41" s="9">
        <f>SUM($Q$33:Q41)</f>
        <v>9155235</v>
      </c>
      <c r="S41" s="282">
        <f t="shared" si="21"/>
        <v>-15730771.062932124</v>
      </c>
      <c r="T41" s="9">
        <f t="shared" si="18"/>
        <v>5.1797420874087557E-6</v>
      </c>
      <c r="U41" s="287">
        <f t="shared" si="19"/>
        <v>1281764257.3372002</v>
      </c>
    </row>
    <row r="42" spans="1:21" ht="17" thickBot="1" x14ac:dyDescent="0.25">
      <c r="A42" s="145">
        <v>10</v>
      </c>
      <c r="B42" s="94">
        <f t="shared" si="15"/>
        <v>10077696</v>
      </c>
      <c r="C42" s="111">
        <f t="shared" si="12"/>
        <v>50388480</v>
      </c>
      <c r="D42" s="10">
        <f>SUM($C$33:C42)</f>
        <v>60466175</v>
      </c>
      <c r="E42" s="9">
        <f t="shared" si="13"/>
        <v>-103894644.01967409</v>
      </c>
      <c r="F42" s="10">
        <f t="shared" si="14"/>
        <v>8.7404545798399178E-7</v>
      </c>
      <c r="G42" s="288">
        <f t="shared" si="16"/>
        <v>9434531504.8131523</v>
      </c>
      <c r="O42" s="100">
        <v>10</v>
      </c>
      <c r="P42" s="94">
        <f t="shared" si="20"/>
        <v>7324216</v>
      </c>
      <c r="Q42" s="111">
        <f t="shared" si="17"/>
        <v>36621090</v>
      </c>
      <c r="R42" s="10">
        <f>SUM($Q$33:Q42)</f>
        <v>45776325</v>
      </c>
      <c r="S42" s="283">
        <f t="shared" si="21"/>
        <v>-78654139.945248842</v>
      </c>
      <c r="T42" s="10">
        <f t="shared" si="18"/>
        <v>1.1545309856222666E-6</v>
      </c>
      <c r="U42" s="288">
        <f t="shared" si="19"/>
        <v>7142475613.6313543</v>
      </c>
    </row>
    <row r="43" spans="1:21" ht="17" thickBot="1" x14ac:dyDescent="0.25">
      <c r="U43" s="285"/>
    </row>
    <row r="44" spans="1:21" ht="17" thickBot="1" x14ac:dyDescent="0.25">
      <c r="A44" s="117" t="s">
        <v>135</v>
      </c>
      <c r="B44" s="118" t="s">
        <v>140</v>
      </c>
      <c r="C44" s="118" t="s">
        <v>139</v>
      </c>
      <c r="D44" s="170" t="s">
        <v>138</v>
      </c>
      <c r="E44" s="167" t="s">
        <v>151</v>
      </c>
      <c r="F44" s="168" t="s">
        <v>152</v>
      </c>
      <c r="G44" s="290" t="s">
        <v>47</v>
      </c>
      <c r="O44" s="29" t="s">
        <v>135</v>
      </c>
      <c r="P44" s="118" t="s">
        <v>140</v>
      </c>
      <c r="Q44" s="118" t="s">
        <v>139</v>
      </c>
      <c r="R44" s="118" t="s">
        <v>138</v>
      </c>
      <c r="S44" s="166" t="s">
        <v>151</v>
      </c>
      <c r="T44" s="168" t="s">
        <v>152</v>
      </c>
      <c r="U44" s="294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5</v>
      </c>
      <c r="D45" s="57">
        <f>SUM(C45:C45)</f>
        <v>5</v>
      </c>
      <c r="E45" s="57">
        <f t="shared" ref="E45:E54" si="23">D45/R7</f>
        <v>-7.6422645120467889</v>
      </c>
      <c r="F45" s="8">
        <f t="shared" ref="F45:F54" si="24">U7/E45</f>
        <v>1.0095026099536917</v>
      </c>
      <c r="G45" s="286">
        <f>E45*U7</f>
        <v>58.959199269649936</v>
      </c>
      <c r="O45" s="101">
        <v>1</v>
      </c>
      <c r="P45" s="109">
        <v>1</v>
      </c>
      <c r="Q45" s="110">
        <f>P45*5+10</f>
        <v>15</v>
      </c>
      <c r="R45" s="57">
        <f>SUM($Q$21)</f>
        <v>15</v>
      </c>
      <c r="S45" s="281">
        <f>R45/R7</f>
        <v>-22.926793536140366</v>
      </c>
      <c r="T45" s="8">
        <f>U7/S45</f>
        <v>0.33650086998456391</v>
      </c>
      <c r="U45" s="289">
        <f>S45*U7</f>
        <v>176.87759780894979</v>
      </c>
    </row>
    <row r="46" spans="1:21" x14ac:dyDescent="0.2">
      <c r="A46" s="97">
        <v>2</v>
      </c>
      <c r="B46" s="93">
        <f t="shared" ref="B46:B54" si="25">B45*$O$2*2</f>
        <v>10</v>
      </c>
      <c r="C46" s="1">
        <f t="shared" si="22"/>
        <v>50</v>
      </c>
      <c r="D46" s="9">
        <f>SUM($C$45:C46)</f>
        <v>55</v>
      </c>
      <c r="E46" s="9">
        <f t="shared" si="23"/>
        <v>-92.19352188802236</v>
      </c>
      <c r="F46" s="9">
        <f t="shared" si="24"/>
        <v>0.1784065482130899</v>
      </c>
      <c r="G46" s="287">
        <f t="shared" ref="G46:G54" si="26">E46*U8</f>
        <v>1516.3924107858982</v>
      </c>
      <c r="O46" s="99">
        <v>2</v>
      </c>
      <c r="P46" s="93">
        <f>Q45*2</f>
        <v>30</v>
      </c>
      <c r="Q46" s="1">
        <f t="shared" ref="Q46:Q54" si="27">P46*5+10</f>
        <v>160</v>
      </c>
      <c r="R46" s="9">
        <f>SUM($Q$45:Q46)</f>
        <v>175</v>
      </c>
      <c r="S46" s="282">
        <f t="shared" ref="S46:S54" si="28">R46/R8</f>
        <v>-293.34302418916207</v>
      </c>
      <c r="T46" s="9">
        <f t="shared" ref="T46:T54" si="29">U8/S46</f>
        <v>5.6070629438399681E-2</v>
      </c>
      <c r="U46" s="287">
        <f t="shared" ref="U46:U54" si="30">S46*U8</f>
        <v>4824.8849434096765</v>
      </c>
    </row>
    <row r="47" spans="1:21" x14ac:dyDescent="0.2">
      <c r="A47" s="97">
        <v>3</v>
      </c>
      <c r="B47" s="93">
        <f t="shared" si="25"/>
        <v>100</v>
      </c>
      <c r="C47" s="1">
        <f t="shared" si="22"/>
        <v>500</v>
      </c>
      <c r="D47" s="9">
        <f>SUM($C$45:C47)</f>
        <v>555</v>
      </c>
      <c r="E47" s="9">
        <f t="shared" si="23"/>
        <v>-948.68637955304371</v>
      </c>
      <c r="F47" s="9">
        <f t="shared" si="24"/>
        <v>2.6972824882007841E-2</v>
      </c>
      <c r="G47" s="287">
        <f t="shared" si="26"/>
        <v>24275.700097156419</v>
      </c>
      <c r="O47" s="99">
        <v>3</v>
      </c>
      <c r="P47" s="93">
        <f t="shared" ref="P47:P54" si="31">Q46*2</f>
        <v>320</v>
      </c>
      <c r="Q47" s="1">
        <f t="shared" si="27"/>
        <v>1610</v>
      </c>
      <c r="R47" s="9">
        <f>SUM($Q$45:Q47)</f>
        <v>1785</v>
      </c>
      <c r="S47" s="282">
        <f t="shared" si="28"/>
        <v>-3051.1805180219512</v>
      </c>
      <c r="T47" s="9">
        <f t="shared" si="29"/>
        <v>8.3865085767587406E-3</v>
      </c>
      <c r="U47" s="287">
        <f t="shared" si="30"/>
        <v>78075.900312476035</v>
      </c>
    </row>
    <row r="48" spans="1:21" x14ac:dyDescent="0.2">
      <c r="A48" s="97">
        <v>4</v>
      </c>
      <c r="B48" s="93">
        <f t="shared" si="25"/>
        <v>1000</v>
      </c>
      <c r="C48" s="1">
        <f t="shared" si="22"/>
        <v>5000</v>
      </c>
      <c r="D48" s="9">
        <f>SUM($C$45:C48)</f>
        <v>5555</v>
      </c>
      <c r="E48" s="9">
        <f t="shared" si="23"/>
        <v>-9534.4148082438296</v>
      </c>
      <c r="F48" s="9">
        <f t="shared" si="24"/>
        <v>3.6565796643023224E-3</v>
      </c>
      <c r="G48" s="287">
        <f t="shared" si="26"/>
        <v>332401.61475107737</v>
      </c>
      <c r="O48" s="99">
        <v>4</v>
      </c>
      <c r="P48" s="93">
        <f t="shared" si="31"/>
        <v>3220</v>
      </c>
      <c r="Q48" s="1">
        <f t="shared" si="27"/>
        <v>16110</v>
      </c>
      <c r="R48" s="9">
        <f>SUM($Q$45:Q48)</f>
        <v>17895</v>
      </c>
      <c r="S48" s="282">
        <f t="shared" si="28"/>
        <v>-30714.37497633183</v>
      </c>
      <c r="T48" s="9">
        <f t="shared" si="29"/>
        <v>1.1350824272254487E-3</v>
      </c>
      <c r="U48" s="287">
        <f t="shared" si="30"/>
        <v>1070805.9218668819</v>
      </c>
    </row>
    <row r="49" spans="1:21" x14ac:dyDescent="0.2">
      <c r="A49" s="97">
        <v>5</v>
      </c>
      <c r="B49" s="93">
        <f t="shared" si="25"/>
        <v>10000</v>
      </c>
      <c r="C49" s="1">
        <f t="shared" si="22"/>
        <v>50000</v>
      </c>
      <c r="D49" s="9">
        <f>SUM($C$45:C49)</f>
        <v>55555</v>
      </c>
      <c r="E49" s="9">
        <f t="shared" si="23"/>
        <v>-95434.512759554695</v>
      </c>
      <c r="F49" s="9">
        <f t="shared" si="24"/>
        <v>4.6290090509737479E-4</v>
      </c>
      <c r="G49" s="287">
        <f t="shared" si="26"/>
        <v>4215983.9712522542</v>
      </c>
      <c r="O49" s="99">
        <v>5</v>
      </c>
      <c r="P49" s="93">
        <f t="shared" si="31"/>
        <v>32220</v>
      </c>
      <c r="Q49" s="1">
        <f t="shared" si="27"/>
        <v>161110</v>
      </c>
      <c r="R49" s="9">
        <f>SUM($Q$45:Q49)</f>
        <v>179005</v>
      </c>
      <c r="S49" s="282">
        <f t="shared" si="28"/>
        <v>-307501.66423407593</v>
      </c>
      <c r="T49" s="9">
        <f t="shared" si="29"/>
        <v>1.4366336014460298E-4</v>
      </c>
      <c r="U49" s="287">
        <f t="shared" si="30"/>
        <v>13584415.638088556</v>
      </c>
    </row>
    <row r="50" spans="1:21" x14ac:dyDescent="0.2">
      <c r="A50" s="97">
        <v>6</v>
      </c>
      <c r="B50" s="93">
        <f t="shared" si="25"/>
        <v>100000</v>
      </c>
      <c r="C50" s="1">
        <f t="shared" si="22"/>
        <v>500000</v>
      </c>
      <c r="D50" s="9">
        <f>SUM($C$45:C50)</f>
        <v>555555</v>
      </c>
      <c r="E50" s="9">
        <f t="shared" si="23"/>
        <v>-954524.75850034924</v>
      </c>
      <c r="F50" s="9">
        <f t="shared" si="24"/>
        <v>5.6049369559387051E-5</v>
      </c>
      <c r="G50" s="287">
        <f t="shared" si="26"/>
        <v>51067562.287293546</v>
      </c>
      <c r="O50" s="99">
        <v>6</v>
      </c>
      <c r="P50" s="93">
        <f t="shared" si="31"/>
        <v>322220</v>
      </c>
      <c r="Q50" s="1">
        <f t="shared" si="27"/>
        <v>1611110</v>
      </c>
      <c r="R50" s="9">
        <f>SUM($Q$45:Q50)</f>
        <v>1790115</v>
      </c>
      <c r="S50" s="282">
        <f t="shared" si="28"/>
        <v>-3075679.434192569</v>
      </c>
      <c r="T50" s="9">
        <f t="shared" si="29"/>
        <v>1.7394696712538173E-5</v>
      </c>
      <c r="U50" s="287">
        <f t="shared" si="30"/>
        <v>164550421.22547451</v>
      </c>
    </row>
    <row r="51" spans="1:21" x14ac:dyDescent="0.2">
      <c r="A51" s="97">
        <v>7</v>
      </c>
      <c r="B51" s="93">
        <f t="shared" si="25"/>
        <v>1000000</v>
      </c>
      <c r="C51" s="1">
        <f t="shared" si="22"/>
        <v>5000000</v>
      </c>
      <c r="D51" s="9">
        <f>SUM($C$45:C51)</f>
        <v>5555555</v>
      </c>
      <c r="E51" s="9">
        <f t="shared" si="23"/>
        <v>-9545613.7064215448</v>
      </c>
      <c r="F51" s="9">
        <f t="shared" si="24"/>
        <v>6.5817624019577102E-6</v>
      </c>
      <c r="G51" s="287">
        <f t="shared" si="26"/>
        <v>599721903.83960569</v>
      </c>
      <c r="O51" s="99">
        <v>7</v>
      </c>
      <c r="P51" s="93">
        <f t="shared" si="31"/>
        <v>3222220</v>
      </c>
      <c r="Q51" s="1">
        <f t="shared" si="27"/>
        <v>16111110</v>
      </c>
      <c r="R51" s="9">
        <f>SUM($Q$45:Q51)</f>
        <v>17901225</v>
      </c>
      <c r="S51" s="282">
        <f t="shared" si="28"/>
        <v>-30758075.24572001</v>
      </c>
      <c r="T51" s="9">
        <f t="shared" si="29"/>
        <v>2.0426168053308176E-6</v>
      </c>
      <c r="U51" s="287">
        <f t="shared" si="30"/>
        <v>1932436406.0946469</v>
      </c>
    </row>
    <row r="52" spans="1:21" x14ac:dyDescent="0.2">
      <c r="A52" s="97">
        <v>8</v>
      </c>
      <c r="B52" s="93">
        <f t="shared" si="25"/>
        <v>10000000</v>
      </c>
      <c r="C52" s="1">
        <f t="shared" si="22"/>
        <v>50000000</v>
      </c>
      <c r="D52" s="9">
        <f>SUM($C$45:C52)</f>
        <v>55555555</v>
      </c>
      <c r="E52" s="9">
        <f t="shared" si="23"/>
        <v>-95456892.924692601</v>
      </c>
      <c r="F52" s="9">
        <f t="shared" si="24"/>
        <v>7.558811897220852E-7</v>
      </c>
      <c r="G52" s="287">
        <f t="shared" si="26"/>
        <v>6887603314.1289072</v>
      </c>
      <c r="O52" s="99">
        <v>8</v>
      </c>
      <c r="P52" s="93">
        <f t="shared" si="31"/>
        <v>32222220</v>
      </c>
      <c r="Q52" s="1">
        <f t="shared" si="27"/>
        <v>161111110</v>
      </c>
      <c r="R52" s="9">
        <f>SUM($Q$45:Q52)</f>
        <v>179012335</v>
      </c>
      <c r="S52" s="282">
        <f t="shared" si="28"/>
        <v>-307583306.37312871</v>
      </c>
      <c r="T52" s="9">
        <f t="shared" si="29"/>
        <v>2.3458382914825805E-7</v>
      </c>
      <c r="U52" s="287">
        <f t="shared" si="30"/>
        <v>22193387354.621052</v>
      </c>
    </row>
    <row r="53" spans="1:21" x14ac:dyDescent="0.2">
      <c r="A53" s="97">
        <v>9</v>
      </c>
      <c r="B53" s="93">
        <f t="shared" si="25"/>
        <v>100000000</v>
      </c>
      <c r="C53" s="1">
        <f t="shared" si="22"/>
        <v>500000000</v>
      </c>
      <c r="D53" s="9">
        <f>SUM($C$45:C53)</f>
        <v>555555555</v>
      </c>
      <c r="E53" s="9">
        <f t="shared" si="23"/>
        <v>-954570499.65895975</v>
      </c>
      <c r="F53" s="9">
        <f t="shared" si="24"/>
        <v>8.535916097467102E-8</v>
      </c>
      <c r="G53" s="287">
        <f t="shared" si="26"/>
        <v>77779680517.663498</v>
      </c>
      <c r="O53" s="99">
        <v>9</v>
      </c>
      <c r="P53" s="93">
        <f t="shared" si="31"/>
        <v>322222220</v>
      </c>
      <c r="Q53" s="1">
        <f t="shared" si="27"/>
        <v>1611111110</v>
      </c>
      <c r="R53" s="9">
        <f>SUM($Q$45:Q53)</f>
        <v>1790123445</v>
      </c>
      <c r="S53" s="282">
        <f t="shared" si="28"/>
        <v>-3075838259.4966016</v>
      </c>
      <c r="T53" s="9">
        <f t="shared" si="29"/>
        <v>2.6490774243570501E-8</v>
      </c>
      <c r="U53" s="287">
        <f t="shared" si="30"/>
        <v>250623413601.32596</v>
      </c>
    </row>
    <row r="54" spans="1:21" ht="17" thickBot="1" x14ac:dyDescent="0.25">
      <c r="A54" s="145">
        <v>10</v>
      </c>
      <c r="B54" s="94">
        <f t="shared" si="25"/>
        <v>1000000000</v>
      </c>
      <c r="C54" s="111">
        <f t="shared" si="22"/>
        <v>5000000000</v>
      </c>
      <c r="D54" s="10">
        <f>SUM($C$45:C54)</f>
        <v>5555555555</v>
      </c>
      <c r="E54" s="10">
        <f t="shared" si="23"/>
        <v>-9545708269.4291134</v>
      </c>
      <c r="F54" s="10">
        <f t="shared" si="24"/>
        <v>9.5130334126260382E-9</v>
      </c>
      <c r="G54" s="288">
        <f t="shared" si="26"/>
        <v>866832802147.43567</v>
      </c>
      <c r="O54" s="100">
        <v>10</v>
      </c>
      <c r="P54" s="94">
        <f t="shared" si="31"/>
        <v>3222222220</v>
      </c>
      <c r="Q54" s="111">
        <f t="shared" si="27"/>
        <v>16111111110</v>
      </c>
      <c r="R54" s="10">
        <f>SUM($Q$45:Q54)</f>
        <v>17901234555</v>
      </c>
      <c r="S54" s="283">
        <f t="shared" si="28"/>
        <v>-30758393293.513504</v>
      </c>
      <c r="T54" s="10">
        <f t="shared" si="29"/>
        <v>2.9523207160957285E-9</v>
      </c>
      <c r="U54" s="288">
        <f t="shared" si="30"/>
        <v>2793127916296.9604</v>
      </c>
    </row>
  </sheetData>
  <mergeCells count="2">
    <mergeCell ref="A18:F18"/>
    <mergeCell ref="O18:T18"/>
  </mergeCells>
  <conditionalFormatting sqref="F45:F54">
    <cfRule type="cellIs" dxfId="263" priority="53" operator="equal">
      <formula>MAX($F$45:$F$54)</formula>
    </cfRule>
  </conditionalFormatting>
  <conditionalFormatting sqref="F21:F30">
    <cfRule type="cellIs" dxfId="262" priority="51" operator="equal">
      <formula>MAX($F$21:$F$30)</formula>
    </cfRule>
  </conditionalFormatting>
  <conditionalFormatting sqref="E33:E42">
    <cfRule type="cellIs" dxfId="261" priority="49" stopIfTrue="1" operator="lessThan">
      <formula>0</formula>
    </cfRule>
    <cfRule type="cellIs" dxfId="260" priority="50" operator="equal">
      <formula>MIN($E$33:$E$42)</formula>
    </cfRule>
  </conditionalFormatting>
  <conditionalFormatting sqref="E21:E30">
    <cfRule type="cellIs" dxfId="259" priority="45" stopIfTrue="1" operator="lessThan">
      <formula>0</formula>
    </cfRule>
    <cfRule type="cellIs" dxfId="258" priority="46" operator="equal">
      <formula>MIN($E$21:$E$30)</formula>
    </cfRule>
  </conditionalFormatting>
  <conditionalFormatting sqref="E45:E54">
    <cfRule type="cellIs" dxfId="257" priority="41" stopIfTrue="1" operator="lessThan">
      <formula>0</formula>
    </cfRule>
    <cfRule type="cellIs" dxfId="256" priority="42" operator="equal">
      <formula>MIN($E$45:$E$54)</formula>
    </cfRule>
  </conditionalFormatting>
  <conditionalFormatting sqref="F33:F42">
    <cfRule type="cellIs" dxfId="255" priority="31" operator="lessThanOrEqual">
      <formula>0</formula>
    </cfRule>
    <cfRule type="cellIs" dxfId="254" priority="32" operator="equal">
      <formula>MAX($F$33:$F$42)</formula>
    </cfRule>
  </conditionalFormatting>
  <conditionalFormatting sqref="S7:T16">
    <cfRule type="cellIs" dxfId="253" priority="13" operator="lessThanOrEqual">
      <formula>0</formula>
    </cfRule>
    <cfRule type="cellIs" dxfId="252" priority="14" operator="greaterThan">
      <formula>0</formula>
    </cfRule>
  </conditionalFormatting>
  <conditionalFormatting sqref="U7:U16">
    <cfRule type="cellIs" dxfId="251" priority="15" operator="lessThanOrEqual">
      <formula>0</formula>
    </cfRule>
    <cfRule type="cellIs" dxfId="250" priority="16" operator="greaterThan">
      <formula>0</formula>
    </cfRule>
  </conditionalFormatting>
  <conditionalFormatting sqref="R7:R16">
    <cfRule type="cellIs" dxfId="249" priority="17" operator="lessThanOrEqual">
      <formula>0</formula>
    </cfRule>
    <cfRule type="cellIs" dxfId="248" priority="18" operator="greaterThan">
      <formula>0</formula>
    </cfRule>
  </conditionalFormatting>
  <conditionalFormatting sqref="T21:T30">
    <cfRule type="cellIs" dxfId="247" priority="9" operator="equal">
      <formula>MAX($T$21:$T$30)</formula>
    </cfRule>
  </conditionalFormatting>
  <conditionalFormatting sqref="S33:S42">
    <cfRule type="cellIs" dxfId="246" priority="7" stopIfTrue="1" operator="lessThan">
      <formula>0</formula>
    </cfRule>
    <cfRule type="cellIs" dxfId="245" priority="8" operator="equal">
      <formula>MIN($E$21:$E$30)</formula>
    </cfRule>
  </conditionalFormatting>
  <conditionalFormatting sqref="T33:T42">
    <cfRule type="cellIs" dxfId="244" priority="6" operator="equal">
      <formula>MAX($T$21:$T$30)</formula>
    </cfRule>
  </conditionalFormatting>
  <conditionalFormatting sqref="S45:S54">
    <cfRule type="cellIs" dxfId="243" priority="4" stopIfTrue="1" operator="lessThan">
      <formula>0</formula>
    </cfRule>
    <cfRule type="cellIs" dxfId="242" priority="5" operator="equal">
      <formula>MIN($E$21:$E$30)</formula>
    </cfRule>
  </conditionalFormatting>
  <conditionalFormatting sqref="T45:T54">
    <cfRule type="cellIs" dxfId="241" priority="3" operator="equal">
      <formula>MAX($T$21:$T$30)</formula>
    </cfRule>
  </conditionalFormatting>
  <conditionalFormatting sqref="S21:S30">
    <cfRule type="cellIs" dxfId="240" priority="1" stopIfTrue="1" operator="lessThan">
      <formula>0</formula>
    </cfRule>
    <cfRule type="cellIs" dxfId="239" priority="2" operator="equal">
      <formula>MIN($E$21:$E$30)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>
    <pageSetUpPr fitToPage="1"/>
  </sheetPr>
  <dimension ref="A1:W54"/>
  <sheetViews>
    <sheetView workbookViewId="0">
      <selection activeCell="C7" sqref="C7:C16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0.99999999999999978</v>
      </c>
    </row>
    <row r="2" spans="1:23" x14ac:dyDescent="0.2">
      <c r="A2" t="s">
        <v>40</v>
      </c>
      <c r="B2" s="149" t="s">
        <v>125</v>
      </c>
      <c r="C2" s="155">
        <f>Analysis!B44</f>
        <v>0.17668959682725349</v>
      </c>
      <c r="D2" s="149" t="s">
        <v>126</v>
      </c>
      <c r="E2" s="155">
        <f>Analysis!K44</f>
        <v>0.82331040317274629</v>
      </c>
      <c r="F2" s="149" t="s">
        <v>47</v>
      </c>
      <c r="G2" s="155">
        <f>Analysis!S44</f>
        <v>-5.7583459501734051</v>
      </c>
      <c r="H2" t="s">
        <v>156</v>
      </c>
      <c r="I2" s="169">
        <f>Analysis!T44</f>
        <v>-10.168139578728123</v>
      </c>
      <c r="J2" t="s">
        <v>48</v>
      </c>
      <c r="K2" s="169">
        <f>C2*G2+E2*I2</f>
        <v>-9.3889749204073958</v>
      </c>
      <c r="L2" t="s">
        <v>47</v>
      </c>
      <c r="M2" s="176">
        <v>3</v>
      </c>
      <c r="N2" t="s">
        <v>156</v>
      </c>
      <c r="O2" s="176">
        <v>6</v>
      </c>
    </row>
    <row r="4" spans="1:23" x14ac:dyDescent="0.2">
      <c r="A4" t="s">
        <v>123</v>
      </c>
      <c r="B4">
        <f>$C$2</f>
        <v>0.17668959682725349</v>
      </c>
      <c r="C4" t="s">
        <v>124</v>
      </c>
      <c r="D4">
        <f>$E$2</f>
        <v>0.82331040317274629</v>
      </c>
      <c r="E4" t="s">
        <v>47</v>
      </c>
      <c r="F4">
        <f>G2</f>
        <v>-5.7583459501734051</v>
      </c>
      <c r="G4" t="s">
        <v>156</v>
      </c>
      <c r="H4">
        <f>I2</f>
        <v>-10.168139578728123</v>
      </c>
      <c r="I4" t="s">
        <v>48</v>
      </c>
      <c r="J4">
        <f>K2</f>
        <v>-9.3889749204073958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60">
        <v>-10</v>
      </c>
      <c r="N6" s="104" t="s">
        <v>136</v>
      </c>
      <c r="R6" s="188" t="s">
        <v>49</v>
      </c>
      <c r="S6" s="164" t="s">
        <v>130</v>
      </c>
      <c r="T6" s="165" t="s">
        <v>137</v>
      </c>
      <c r="U6" s="268" t="s">
        <v>48</v>
      </c>
      <c r="V6" s="175" t="s">
        <v>47</v>
      </c>
      <c r="W6" s="168" t="s">
        <v>156</v>
      </c>
    </row>
    <row r="7" spans="1:23" x14ac:dyDescent="0.2">
      <c r="A7" s="101">
        <v>1</v>
      </c>
      <c r="B7" s="95">
        <f>C7*B4</f>
        <v>0.17668959682725349</v>
      </c>
      <c r="C7" s="95">
        <v>1</v>
      </c>
      <c r="D7" s="22">
        <f>C7*D4</f>
        <v>0.82331040317274629</v>
      </c>
      <c r="E7" s="2"/>
      <c r="F7" s="2"/>
      <c r="G7" s="2"/>
      <c r="H7" s="2"/>
      <c r="I7" s="2"/>
      <c r="J7" s="2"/>
      <c r="K7" s="2"/>
      <c r="L7" s="2"/>
      <c r="M7" s="261"/>
      <c r="N7" s="96">
        <f>B7+D7</f>
        <v>0.99999999999999978</v>
      </c>
      <c r="R7" s="189">
        <f>B7-D7</f>
        <v>-0.64662080634549279</v>
      </c>
      <c r="S7" s="109">
        <f>SUM(C7)*$B$4*$F$4</f>
        <v>-1.017439824327987</v>
      </c>
      <c r="T7" s="263">
        <f>SUM(C7)*$D$4*$H$4</f>
        <v>-8.371535096079409</v>
      </c>
      <c r="U7" s="265">
        <f>S7+T7</f>
        <v>-9.3889749204073958</v>
      </c>
      <c r="V7" s="109">
        <f>(U7+W7*D7)/B7</f>
        <v>-48.478601293143242</v>
      </c>
      <c r="W7" s="57">
        <f>COUNT(D7:M7)</f>
        <v>1</v>
      </c>
    </row>
    <row r="8" spans="1:23" x14ac:dyDescent="0.2">
      <c r="A8" s="99">
        <v>2</v>
      </c>
      <c r="B8" s="97">
        <f>C8*B4</f>
        <v>0.20676825396522708</v>
      </c>
      <c r="C8" s="97">
        <f>1/(1-B4*D4*C7)</f>
        <v>1.170234454535436</v>
      </c>
      <c r="D8" s="144">
        <f>C8*D4</f>
        <v>0.9634662005702086</v>
      </c>
      <c r="E8" s="1">
        <f>D8*D4</f>
        <v>0.79323174603477242</v>
      </c>
      <c r="F8" s="1"/>
      <c r="G8" s="1"/>
      <c r="H8" s="1"/>
      <c r="I8" s="1"/>
      <c r="J8" s="1"/>
      <c r="K8" s="1"/>
      <c r="L8" s="1"/>
      <c r="M8" s="262"/>
      <c r="N8" s="97">
        <f>B8+E8</f>
        <v>0.99999999999999956</v>
      </c>
      <c r="R8" s="190">
        <f>B8-E8</f>
        <v>-0.58646349206954529</v>
      </c>
      <c r="S8" s="93">
        <f>SUM(C8:D8)*$B$4*$F$4</f>
        <v>-2.1709120196991973</v>
      </c>
      <c r="T8" s="262">
        <f>SUM(C8:D8)*$D$4*$H$4</f>
        <v>-17.862349918744531</v>
      </c>
      <c r="U8" s="266">
        <f>S8+T8</f>
        <v>-20.033261938443729</v>
      </c>
      <c r="V8" s="93">
        <f>(U8+W8*E8)/B8</f>
        <v>-89.214848472224588</v>
      </c>
      <c r="W8" s="9">
        <f>COUNT(D8:M8)</f>
        <v>2</v>
      </c>
    </row>
    <row r="9" spans="1:23" x14ac:dyDescent="0.2">
      <c r="A9" s="99">
        <v>3</v>
      </c>
      <c r="B9" s="97">
        <f>C9*B4</f>
        <v>0.21293918239076753</v>
      </c>
      <c r="C9" s="97">
        <f>1/(1-D4*B4*C8)</f>
        <v>1.2051597050105596</v>
      </c>
      <c r="D9" s="144">
        <f>C9*D4*C8</f>
        <v>1.1611306420668372</v>
      </c>
      <c r="E9" s="1">
        <f>D9*(D4)</f>
        <v>0.95597093705627756</v>
      </c>
      <c r="F9" s="1">
        <f>E9*D4</f>
        <v>0.78706081760923197</v>
      </c>
      <c r="G9" s="1"/>
      <c r="H9" s="1"/>
      <c r="I9" s="1"/>
      <c r="J9" s="1"/>
      <c r="K9" s="1"/>
      <c r="L9" s="1"/>
      <c r="M9" s="262"/>
      <c r="N9" s="97">
        <f>B9+F9</f>
        <v>0.99999999999999956</v>
      </c>
      <c r="R9" s="190">
        <f>B9-F9</f>
        <v>-0.57412163521846438</v>
      </c>
      <c r="S9" s="93">
        <f>SUM(C9:E9)*$B$4*$F$4</f>
        <v>-3.3802009373006379</v>
      </c>
      <c r="T9" s="262">
        <f>SUM(C9:E9)*$D$4*$H$4</f>
        <v>-27.812426938470903</v>
      </c>
      <c r="U9" s="266">
        <f t="shared" ref="U9:U16" si="0">S9+T9</f>
        <v>-31.192627875771542</v>
      </c>
      <c r="V9" s="93">
        <f>(U9+W9*F9)/B9</f>
        <v>-135.39755858569455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0.21425102466624765</v>
      </c>
      <c r="C10" s="97">
        <f>1/(1-D4*B4*C9)</f>
        <v>1.2125842636661701</v>
      </c>
      <c r="D10" s="144">
        <f>C10*D4*C9</f>
        <v>1.2031509918153827</v>
      </c>
      <c r="E10" s="1">
        <f>D10*D4*C8</f>
        <v>1.1591953147966447</v>
      </c>
      <c r="F10" s="1">
        <f>E10*D4</f>
        <v>0.95437756198118406</v>
      </c>
      <c r="G10" s="1">
        <f>F10*D4</f>
        <v>0.78574897533375132</v>
      </c>
      <c r="H10" s="1"/>
      <c r="I10" s="1"/>
      <c r="J10" s="1"/>
      <c r="K10" s="1"/>
      <c r="L10" s="1"/>
      <c r="M10" s="262"/>
      <c r="N10" s="97">
        <f>B10+G10</f>
        <v>0.999999999999999</v>
      </c>
      <c r="R10" s="190">
        <f>B10-G10</f>
        <v>-0.57149795066750364</v>
      </c>
      <c r="S10" s="93">
        <f>SUM(C10:F10)*$B$4*$F$4</f>
        <v>-4.608298470413307</v>
      </c>
      <c r="T10" s="262">
        <f>SUM(C10:F10)*$D$4*$H$4</f>
        <v>-37.91726199016729</v>
      </c>
      <c r="U10" s="266">
        <f t="shared" si="0"/>
        <v>-42.5255604605806</v>
      </c>
      <c r="V10" s="93">
        <f>(U10+W10*G10)/B10</f>
        <v>-183.81505815710474</v>
      </c>
      <c r="W10" s="9">
        <f t="shared" si="1"/>
        <v>4</v>
      </c>
    </row>
    <row r="11" spans="1:23" x14ac:dyDescent="0.2">
      <c r="A11" s="99">
        <v>5</v>
      </c>
      <c r="B11" s="97">
        <f>C11*B4</f>
        <v>0.21453198771707768</v>
      </c>
      <c r="C11" s="97">
        <f>1/(1-D4*B4*C10)</f>
        <v>1.2141744141666817</v>
      </c>
      <c r="D11" s="144">
        <f>C11*D4*C10</f>
        <v>1.2121506756058564</v>
      </c>
      <c r="E11" s="1">
        <f>D11*D4*C9</f>
        <v>1.2027207768435766</v>
      </c>
      <c r="F11" s="1">
        <f>E11*D4*C8</f>
        <v>1.1587808172123306</v>
      </c>
      <c r="G11" s="1">
        <f>F11*D4</f>
        <v>0.95403630180792831</v>
      </c>
      <c r="H11" s="1">
        <f>G11*D4</f>
        <v>0.78546801228292129</v>
      </c>
      <c r="I11" s="1"/>
      <c r="J11" s="1"/>
      <c r="K11" s="1"/>
      <c r="L11" s="1"/>
      <c r="M11" s="262"/>
      <c r="N11" s="97">
        <f>B11+H11</f>
        <v>0.999999999999999</v>
      </c>
      <c r="R11" s="190">
        <f>B11-H11</f>
        <v>-0.57093602456584358</v>
      </c>
      <c r="S11" s="93">
        <f>SUM(C11:G11)*$B$4*$F$4</f>
        <v>-5.8420000674212424</v>
      </c>
      <c r="T11" s="262">
        <f>SUM(C11:G11)*$D$4*$H$4</f>
        <v>-48.068207501134204</v>
      </c>
      <c r="U11" s="266">
        <f t="shared" si="0"/>
        <v>-53.91020756855545</v>
      </c>
      <c r="V11" s="93">
        <f>(U11+W11*H11)/B11</f>
        <v>-232.98561691908469</v>
      </c>
      <c r="W11" s="9">
        <f t="shared" si="1"/>
        <v>5</v>
      </c>
    </row>
    <row r="12" spans="1:23" x14ac:dyDescent="0.2">
      <c r="A12" s="99">
        <v>6</v>
      </c>
      <c r="B12" s="97">
        <f>C12*B4</f>
        <v>0.21459225865375181</v>
      </c>
      <c r="C12" s="97">
        <f>1/(1-D4*B4*C11)</f>
        <v>1.2145155261379375</v>
      </c>
      <c r="D12" s="144">
        <f>C12*D4*C11</f>
        <v>1.2140812475092448</v>
      </c>
      <c r="E12" s="1">
        <f>D12*D4*C10</f>
        <v>1.2120576642349707</v>
      </c>
      <c r="F12" s="1">
        <f>E12*D4*C9</f>
        <v>1.2026284890525467</v>
      </c>
      <c r="G12" s="1">
        <f>F12*D4*C8</f>
        <v>1.1586919010449479</v>
      </c>
      <c r="H12" s="1">
        <f>G12*D4</f>
        <v>0.9539630962023119</v>
      </c>
      <c r="I12" s="1">
        <f>H12*D4</f>
        <v>0.7854077413462468</v>
      </c>
      <c r="J12" s="1"/>
      <c r="K12" s="1"/>
      <c r="L12" s="1"/>
      <c r="M12" s="262"/>
      <c r="N12" s="97">
        <f>B12+I12</f>
        <v>0.99999999999999867</v>
      </c>
      <c r="R12" s="190">
        <f>B12-I12</f>
        <v>-0.57081548269249494</v>
      </c>
      <c r="S12" s="93">
        <f>SUM(C12:H12)*$B$4*$F$4</f>
        <v>-7.0772482596160744</v>
      </c>
      <c r="T12" s="262">
        <f>SUM(C12:H12)*$D$4*$H$4</f>
        <v>-58.231878458439034</v>
      </c>
      <c r="U12" s="266">
        <f t="shared" si="0"/>
        <v>-65.309126718055111</v>
      </c>
      <c r="V12" s="93">
        <f>(U12+W12*I12)/B12</f>
        <v>-282.38055114444455</v>
      </c>
      <c r="W12" s="9">
        <f t="shared" si="1"/>
        <v>6</v>
      </c>
    </row>
    <row r="13" spans="1:23" x14ac:dyDescent="0.2">
      <c r="A13" s="99">
        <v>7</v>
      </c>
      <c r="B13" s="97">
        <f>C13*B4</f>
        <v>0.2146051921172025</v>
      </c>
      <c r="C13" s="97">
        <f>1/(1-D4*B4*C12)</f>
        <v>1.2145887249209044</v>
      </c>
      <c r="D13" s="144">
        <f>C13*D4*C12</f>
        <v>1.2144955264723611</v>
      </c>
      <c r="E13" s="1">
        <f>D13*D4*C11</f>
        <v>1.21406125499502</v>
      </c>
      <c r="F13" s="1">
        <f>E13*D4*C10</f>
        <v>1.2120377050434887</v>
      </c>
      <c r="G13" s="1">
        <f>F13*D4*C9</f>
        <v>1.2026086851331435</v>
      </c>
      <c r="H13" s="1">
        <f>G13*D4*C8</f>
        <v>1.158672820637964</v>
      </c>
      <c r="I13" s="1">
        <f>H13*D4</f>
        <v>0.95394738710474525</v>
      </c>
      <c r="J13" s="1">
        <f>I13*D4</f>
        <v>0.7853948078827957</v>
      </c>
      <c r="K13" s="1"/>
      <c r="L13" s="1"/>
      <c r="M13" s="262"/>
      <c r="N13" s="97">
        <f>B13+J13</f>
        <v>0.99999999999999822</v>
      </c>
      <c r="R13" s="190">
        <f>B13-J13</f>
        <v>-0.57078961576559317</v>
      </c>
      <c r="S13" s="93">
        <f>SUM(C13:I13)*$B$4*$F$4</f>
        <v>-8.3129026560940105</v>
      </c>
      <c r="T13" s="262">
        <f>SUM(C13:I13)*$D$4*$H$4</f>
        <v>-68.398891680643331</v>
      </c>
      <c r="U13" s="266">
        <f t="shared" si="0"/>
        <v>-76.711794336737341</v>
      </c>
      <c r="V13" s="93">
        <f>(U13+W13*J13)/B13</f>
        <v>-331.83740793496554</v>
      </c>
      <c r="W13" s="9">
        <f t="shared" si="1"/>
        <v>7</v>
      </c>
    </row>
    <row r="14" spans="1:23" x14ac:dyDescent="0.2">
      <c r="A14" s="99">
        <v>8</v>
      </c>
      <c r="B14" s="97">
        <f>C14*B4</f>
        <v>0.21460796769580218</v>
      </c>
      <c r="C14" s="97">
        <f>1/(1-D4*B4*C13)</f>
        <v>1.214604433704271</v>
      </c>
      <c r="D14" s="144">
        <f>C14*D4*C13</f>
        <v>1.2145844325746362</v>
      </c>
      <c r="E14" s="1">
        <f>D14*D4*C12</f>
        <v>1.2144912344554555</v>
      </c>
      <c r="F14" s="1">
        <f>E14*D4*C11</f>
        <v>1.2140569645128261</v>
      </c>
      <c r="G14" s="1">
        <f>F14*D4*C10</f>
        <v>1.2120334217125033</v>
      </c>
      <c r="H14" s="1">
        <f>G14*D4*C9</f>
        <v>1.2026044351242344</v>
      </c>
      <c r="I14" s="1">
        <f>H14*D4*C8</f>
        <v>1.1586687258980279</v>
      </c>
      <c r="J14" s="1">
        <f>I14*D4</f>
        <v>0.95394401586275768</v>
      </c>
      <c r="K14" s="1">
        <f>J14*D4</f>
        <v>0.78539203230419574</v>
      </c>
      <c r="L14" s="1"/>
      <c r="M14" s="262"/>
      <c r="N14" s="97">
        <f>B14+K14</f>
        <v>0.99999999999999789</v>
      </c>
      <c r="R14" s="190">
        <f>B14-K14</f>
        <v>-0.57078406460839359</v>
      </c>
      <c r="S14" s="93">
        <f>SUM(C14:J14)*$B$4*$F$4</f>
        <v>-9.5486602000224892</v>
      </c>
      <c r="T14" s="262">
        <f>SUM(C14:J14)*$D$4*$H$4</f>
        <v>-78.566753604148317</v>
      </c>
      <c r="U14" s="266">
        <f t="shared" si="0"/>
        <v>-88.115413804170799</v>
      </c>
      <c r="V14" s="93">
        <f>(U14+W14*K14)/B14</f>
        <v>-381.31052832917675</v>
      </c>
      <c r="W14" s="9">
        <f t="shared" si="1"/>
        <v>8</v>
      </c>
    </row>
    <row r="15" spans="1:23" x14ac:dyDescent="0.2">
      <c r="A15" s="99">
        <v>9</v>
      </c>
      <c r="B15" s="97">
        <f>C15*B4</f>
        <v>0.21460856335663284</v>
      </c>
      <c r="C15" s="97">
        <f>1/(1-D4*B4*C14)</f>
        <v>1.2146078049317872</v>
      </c>
      <c r="D15" s="144">
        <f>C15*D4*C14</f>
        <v>1.2146035125180905</v>
      </c>
      <c r="E15" s="1">
        <f>D15*D4*C13</f>
        <v>1.2145835114036252</v>
      </c>
      <c r="F15" s="1">
        <f>E15*D4*C12</f>
        <v>1.2144903133551281</v>
      </c>
      <c r="G15" s="1">
        <f>F15*D4*C11</f>
        <v>1.2140560437418599</v>
      </c>
      <c r="H15" s="1">
        <f>G15*D4*C10</f>
        <v>1.2120325024762422</v>
      </c>
      <c r="I15" s="1">
        <f>H15*D4*C9</f>
        <v>1.2026035230391512</v>
      </c>
      <c r="J15" s="1">
        <f>I15*D4*C8</f>
        <v>1.1586678471348784</v>
      </c>
      <c r="K15" s="1">
        <f>J15*D4</f>
        <v>0.95394329236791464</v>
      </c>
      <c r="L15" s="1">
        <f>K15*D4</f>
        <v>0.78539143664336475</v>
      </c>
      <c r="M15" s="262"/>
      <c r="N15" s="97">
        <f>B15+L15</f>
        <v>0.99999999999999756</v>
      </c>
      <c r="R15" s="190">
        <f>B15-L15</f>
        <v>-0.57078287328673194</v>
      </c>
      <c r="S15" s="93">
        <f>SUM(C15:K15)*$B$4*$F$4</f>
        <v>-10.784443309758549</v>
      </c>
      <c r="T15" s="262">
        <f>SUM(C15:K15)*$D$4*$H$4</f>
        <v>-88.734825884128782</v>
      </c>
      <c r="U15" s="266">
        <f t="shared" si="0"/>
        <v>-99.519269193887325</v>
      </c>
      <c r="V15" s="93">
        <f>(U15+W15*L15)/B15</f>
        <v>-430.78777854015073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0.21460869119052717</v>
      </c>
      <c r="C16" s="145">
        <f>1/(1-D4*B4*C15)</f>
        <v>1.2146085284259636</v>
      </c>
      <c r="D16" s="153">
        <f>C16*D4*C15</f>
        <v>1.2146076072366776</v>
      </c>
      <c r="E16" s="111">
        <f>D16*D4*C14</f>
        <v>1.2146033148236794</v>
      </c>
      <c r="F16" s="111">
        <f>E16*D4*C13</f>
        <v>1.2145833137124695</v>
      </c>
      <c r="G16" s="111">
        <f>F16*D4*C12</f>
        <v>1.2144901156791419</v>
      </c>
      <c r="H16" s="111">
        <f>G16*D4*C11</f>
        <v>1.2140558461365574</v>
      </c>
      <c r="I16" s="111">
        <f>H16*D4*C10</f>
        <v>1.2120323052003006</v>
      </c>
      <c r="J16" s="111">
        <f>I16*D4*C9</f>
        <v>1.2026033272979133</v>
      </c>
      <c r="K16" s="111">
        <f>J16*D4*C8</f>
        <v>1.1586676585448117</v>
      </c>
      <c r="L16" s="111">
        <f>K16*D4</f>
        <v>0.95394313709975087</v>
      </c>
      <c r="M16" s="264">
        <f>L16*D4</f>
        <v>0.78539130880947028</v>
      </c>
      <c r="N16" s="145">
        <f>B16+M16</f>
        <v>0.99999999999999745</v>
      </c>
      <c r="R16" s="191">
        <f>B16-M16</f>
        <v>-0.57078261761894311</v>
      </c>
      <c r="S16" s="94">
        <f>SUM(C16:L16)*$B$4*$F$4</f>
        <v>-12.02023264222232</v>
      </c>
      <c r="T16" s="264">
        <f>SUM(C16:L16)*$D$4*$H$4</f>
        <v>-98.902949364958829</v>
      </c>
      <c r="U16" s="267">
        <f t="shared" si="0"/>
        <v>-110.92318200718115</v>
      </c>
      <c r="V16" s="94">
        <f>(U16+W16*M16)/B16</f>
        <v>-480.26605235471442</v>
      </c>
      <c r="W16" s="10">
        <f t="shared" si="1"/>
        <v>10</v>
      </c>
    </row>
    <row r="18" spans="1:21" x14ac:dyDescent="0.2">
      <c r="A18" s="356" t="s">
        <v>200</v>
      </c>
      <c r="B18" s="356"/>
      <c r="C18" s="356"/>
      <c r="D18" s="356"/>
      <c r="E18" s="356"/>
      <c r="F18" s="356"/>
      <c r="O18" s="356" t="s">
        <v>201</v>
      </c>
      <c r="P18" s="356"/>
      <c r="Q18" s="356"/>
      <c r="R18" s="356"/>
      <c r="S18" s="356"/>
      <c r="T18" s="356"/>
    </row>
    <row r="19" spans="1:21" ht="17" thickBot="1" x14ac:dyDescent="0.25"/>
    <row r="20" spans="1:21" ht="17" thickBot="1" x14ac:dyDescent="0.25">
      <c r="A20" s="29" t="s">
        <v>135</v>
      </c>
      <c r="B20" s="19" t="s">
        <v>140</v>
      </c>
      <c r="C20" s="19" t="s">
        <v>139</v>
      </c>
      <c r="D20" s="19" t="s">
        <v>138</v>
      </c>
      <c r="E20" s="167" t="s">
        <v>151</v>
      </c>
      <c r="F20" s="168" t="s">
        <v>152</v>
      </c>
      <c r="G20" s="166" t="s">
        <v>47</v>
      </c>
      <c r="O20" s="29" t="s">
        <v>135</v>
      </c>
      <c r="P20" s="118" t="s">
        <v>140</v>
      </c>
      <c r="Q20" s="118" t="s">
        <v>139</v>
      </c>
      <c r="R20" s="118" t="s">
        <v>138</v>
      </c>
      <c r="S20" s="166" t="s">
        <v>151</v>
      </c>
      <c r="T20" s="168" t="s">
        <v>152</v>
      </c>
      <c r="U20" s="293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6</v>
      </c>
      <c r="D21" s="57">
        <f>SUM($C$21:C21)</f>
        <v>6</v>
      </c>
      <c r="E21" s="57">
        <f t="shared" ref="E21:E30" si="3">D21/R7</f>
        <v>-9.2790085644014511</v>
      </c>
      <c r="F21" s="8">
        <f t="shared" ref="F21:F30" si="4">U7/E21</f>
        <v>1.0118510889652399</v>
      </c>
      <c r="G21" s="286">
        <f>E21*U7</f>
        <v>87.120378697410658</v>
      </c>
      <c r="O21" s="101">
        <v>1</v>
      </c>
      <c r="P21" s="109">
        <v>1</v>
      </c>
      <c r="Q21" s="110">
        <f>P21*6+15</f>
        <v>21</v>
      </c>
      <c r="R21" s="57">
        <f>SUM($Q$21)</f>
        <v>21</v>
      </c>
      <c r="S21" s="281">
        <f>R21/R7</f>
        <v>-32.476529975405079</v>
      </c>
      <c r="T21" s="8">
        <f>U7/S21</f>
        <v>0.28910031113292567</v>
      </c>
      <c r="U21" s="286">
        <f>S21*U7</f>
        <v>304.92132544093732</v>
      </c>
    </row>
    <row r="22" spans="1:21" x14ac:dyDescent="0.2">
      <c r="A22" s="97">
        <v>2</v>
      </c>
      <c r="B22" s="93">
        <f>C21</f>
        <v>6</v>
      </c>
      <c r="C22" s="1">
        <f t="shared" si="2"/>
        <v>36</v>
      </c>
      <c r="D22" s="9">
        <f>SUM($C$21:C22)</f>
        <v>42</v>
      </c>
      <c r="E22" s="9">
        <f t="shared" si="3"/>
        <v>-71.615711068029213</v>
      </c>
      <c r="F22" s="9">
        <f t="shared" si="4"/>
        <v>0.27973277985627665</v>
      </c>
      <c r="G22" s="287">
        <f t="shared" ref="G22:G30" si="5">E22*U8</f>
        <v>1434.6962987337329</v>
      </c>
      <c r="O22" s="99">
        <v>2</v>
      </c>
      <c r="P22" s="93">
        <f>Q21</f>
        <v>21</v>
      </c>
      <c r="Q22" s="1">
        <f t="shared" ref="Q22:Q30" si="6">P22*6+15</f>
        <v>141</v>
      </c>
      <c r="R22" s="9">
        <f>SUM($Q$21:Q22)</f>
        <v>162</v>
      </c>
      <c r="S22" s="282">
        <f t="shared" ref="S22:S30" si="7">R22/R8</f>
        <v>-276.23202840525556</v>
      </c>
      <c r="T22" s="9">
        <f>U8/S22</f>
        <v>7.2523313296071715E-2</v>
      </c>
      <c r="U22" s="287">
        <f t="shared" ref="U22:U30" si="8">S22*U8</f>
        <v>5533.8285808301134</v>
      </c>
    </row>
    <row r="23" spans="1:21" x14ac:dyDescent="0.2">
      <c r="A23" s="97">
        <v>3</v>
      </c>
      <c r="B23" s="93">
        <f t="shared" ref="B23:B30" si="9">C22</f>
        <v>36</v>
      </c>
      <c r="C23" s="1">
        <f t="shared" si="2"/>
        <v>216</v>
      </c>
      <c r="D23" s="9">
        <f>SUM($C$21:C23)</f>
        <v>258</v>
      </c>
      <c r="E23" s="9">
        <f t="shared" si="3"/>
        <v>-449.38212422847647</v>
      </c>
      <c r="F23" s="9">
        <f t="shared" si="4"/>
        <v>6.9412257840306246E-2</v>
      </c>
      <c r="G23" s="287">
        <f t="shared" si="5"/>
        <v>14017.409375082605</v>
      </c>
      <c r="O23" s="99">
        <v>3</v>
      </c>
      <c r="P23" s="93">
        <f t="shared" ref="P23:P30" si="10">Q22</f>
        <v>141</v>
      </c>
      <c r="Q23" s="1">
        <f t="shared" si="6"/>
        <v>861</v>
      </c>
      <c r="R23" s="9">
        <f>SUM($Q$21:Q23)</f>
        <v>1023</v>
      </c>
      <c r="S23" s="282">
        <f t="shared" si="7"/>
        <v>-1781.8523763012845</v>
      </c>
      <c r="T23" s="9">
        <f t="shared" ref="T23:T30" si="11">U9/S23</f>
        <v>1.7505730716323571E-2</v>
      </c>
      <c r="U23" s="287">
        <f t="shared" si="8"/>
        <v>55580.658103525209</v>
      </c>
    </row>
    <row r="24" spans="1:21" x14ac:dyDescent="0.2">
      <c r="A24" s="97">
        <v>4</v>
      </c>
      <c r="B24" s="93">
        <f t="shared" si="9"/>
        <v>216</v>
      </c>
      <c r="C24" s="1">
        <f t="shared" si="2"/>
        <v>1296</v>
      </c>
      <c r="D24" s="9">
        <f>SUM($C$21:C24)</f>
        <v>1554</v>
      </c>
      <c r="E24" s="9">
        <f t="shared" si="3"/>
        <v>-2719.1698556135575</v>
      </c>
      <c r="F24" s="9">
        <f t="shared" si="4"/>
        <v>1.5639170305153691E-2</v>
      </c>
      <c r="G24" s="287">
        <f t="shared" si="5"/>
        <v>115634.22209748256</v>
      </c>
      <c r="O24" s="99">
        <v>4</v>
      </c>
      <c r="P24" s="93">
        <f t="shared" si="10"/>
        <v>861</v>
      </c>
      <c r="Q24" s="1">
        <f t="shared" si="6"/>
        <v>5181</v>
      </c>
      <c r="R24" s="9">
        <f>SUM($Q$21:Q24)</f>
        <v>6204</v>
      </c>
      <c r="S24" s="282">
        <f t="shared" si="7"/>
        <v>-10855.681971831733</v>
      </c>
      <c r="T24" s="9">
        <f t="shared" si="11"/>
        <v>3.917355037751263E-3</v>
      </c>
      <c r="U24" s="287">
        <f t="shared" si="8"/>
        <v>461643.96003396518</v>
      </c>
    </row>
    <row r="25" spans="1:21" x14ac:dyDescent="0.2">
      <c r="A25" s="97">
        <v>5</v>
      </c>
      <c r="B25" s="93">
        <f t="shared" si="9"/>
        <v>1296</v>
      </c>
      <c r="C25" s="1">
        <f t="shared" si="2"/>
        <v>7776</v>
      </c>
      <c r="D25" s="9">
        <f>SUM($C$21:C25)</f>
        <v>9330</v>
      </c>
      <c r="E25" s="9">
        <f t="shared" si="3"/>
        <v>-16341.58574438319</v>
      </c>
      <c r="F25" s="9">
        <f t="shared" si="4"/>
        <v>3.298958155703162E-3</v>
      </c>
      <c r="G25" s="287">
        <f t="shared" si="5"/>
        <v>880978.27947904449</v>
      </c>
      <c r="O25" s="99">
        <v>5</v>
      </c>
      <c r="P25" s="93">
        <f t="shared" si="10"/>
        <v>5181</v>
      </c>
      <c r="Q25" s="1">
        <f t="shared" si="6"/>
        <v>31101</v>
      </c>
      <c r="R25" s="9">
        <f>SUM($Q$21:Q25)</f>
        <v>37305</v>
      </c>
      <c r="S25" s="282">
        <f t="shared" si="7"/>
        <v>-65340.070331641466</v>
      </c>
      <c r="T25" s="9">
        <f t="shared" si="11"/>
        <v>8.2507115916661308E-4</v>
      </c>
      <c r="U25" s="287">
        <f t="shared" si="8"/>
        <v>3522496.754122803</v>
      </c>
    </row>
    <row r="26" spans="1:21" x14ac:dyDescent="0.2">
      <c r="A26" s="97">
        <v>6</v>
      </c>
      <c r="B26" s="93">
        <f t="shared" si="9"/>
        <v>7776</v>
      </c>
      <c r="C26" s="1">
        <f t="shared" si="2"/>
        <v>46656</v>
      </c>
      <c r="D26" s="9">
        <f>SUM($C$21:C26)</f>
        <v>55986</v>
      </c>
      <c r="E26" s="9">
        <f t="shared" si="3"/>
        <v>-98080.7313353137</v>
      </c>
      <c r="F26" s="9">
        <f t="shared" si="4"/>
        <v>6.6587112299131826E-4</v>
      </c>
      <c r="G26" s="287">
        <f t="shared" si="5"/>
        <v>6405566.9113775212</v>
      </c>
      <c r="O26" s="99">
        <v>6</v>
      </c>
      <c r="P26" s="93">
        <f t="shared" si="10"/>
        <v>31101</v>
      </c>
      <c r="Q26" s="1">
        <f t="shared" si="6"/>
        <v>186621</v>
      </c>
      <c r="R26" s="9">
        <f>SUM($Q$21:Q26)</f>
        <v>223926</v>
      </c>
      <c r="S26" s="282">
        <f t="shared" si="7"/>
        <v>-392291.3915084388</v>
      </c>
      <c r="T26" s="9">
        <f t="shared" si="11"/>
        <v>1.664811620436749E-4</v>
      </c>
      <c r="U26" s="287">
        <f t="shared" si="8"/>
        <v>25620208.198426798</v>
      </c>
    </row>
    <row r="27" spans="1:21" x14ac:dyDescent="0.2">
      <c r="A27" s="97">
        <v>7</v>
      </c>
      <c r="B27" s="93">
        <f t="shared" si="9"/>
        <v>46656</v>
      </c>
      <c r="C27" s="1">
        <f t="shared" si="2"/>
        <v>279936</v>
      </c>
      <c r="D27" s="9">
        <f>SUM($C$21:C27)</f>
        <v>335922</v>
      </c>
      <c r="E27" s="9">
        <f t="shared" si="3"/>
        <v>-588521.56858080172</v>
      </c>
      <c r="F27" s="9">
        <f t="shared" si="4"/>
        <v>1.3034661503014244E-4</v>
      </c>
      <c r="G27" s="287">
        <f t="shared" si="5"/>
        <v>45146545.531704523</v>
      </c>
      <c r="O27" s="99">
        <v>7</v>
      </c>
      <c r="P27" s="93">
        <f t="shared" si="10"/>
        <v>186621</v>
      </c>
      <c r="Q27" s="1">
        <f t="shared" si="6"/>
        <v>1119741</v>
      </c>
      <c r="R27" s="9">
        <f>SUM($Q$21:Q27)</f>
        <v>1343667</v>
      </c>
      <c r="S27" s="282">
        <f t="shared" si="7"/>
        <v>-2354049.4831843707</v>
      </c>
      <c r="T27" s="9">
        <f t="shared" si="11"/>
        <v>3.2587163050186923E-5</v>
      </c>
      <c r="U27" s="287">
        <f t="shared" si="8"/>
        <v>180583359.81254226</v>
      </c>
    </row>
    <row r="28" spans="1:21" x14ac:dyDescent="0.2">
      <c r="A28" s="97">
        <v>8</v>
      </c>
      <c r="B28" s="93">
        <f t="shared" si="9"/>
        <v>279936</v>
      </c>
      <c r="C28" s="1">
        <f t="shared" si="2"/>
        <v>1679616</v>
      </c>
      <c r="D28" s="9">
        <f>SUM($C$21:C28)</f>
        <v>2015538</v>
      </c>
      <c r="E28" s="9">
        <f t="shared" si="3"/>
        <v>-3531174.2653201618</v>
      </c>
      <c r="F28" s="9">
        <f t="shared" si="4"/>
        <v>2.4953572716463375E-5</v>
      </c>
      <c r="G28" s="287">
        <f t="shared" si="5"/>
        <v>311150881.60332489</v>
      </c>
      <c r="O28" s="99">
        <v>8</v>
      </c>
      <c r="P28" s="93">
        <f t="shared" si="10"/>
        <v>1119741</v>
      </c>
      <c r="Q28" s="1">
        <f t="shared" si="6"/>
        <v>6718461</v>
      </c>
      <c r="R28" s="9">
        <f>SUM($Q$21:Q28)</f>
        <v>8062128</v>
      </c>
      <c r="S28" s="282">
        <f t="shared" si="7"/>
        <v>-14124655.013855906</v>
      </c>
      <c r="T28" s="9">
        <f t="shared" si="11"/>
        <v>6.2384117500733259E-6</v>
      </c>
      <c r="U28" s="287">
        <f t="shared" si="8"/>
        <v>1244599821.387069</v>
      </c>
    </row>
    <row r="29" spans="1:21" x14ac:dyDescent="0.2">
      <c r="A29" s="97">
        <v>9</v>
      </c>
      <c r="B29" s="93">
        <f t="shared" si="9"/>
        <v>1679616</v>
      </c>
      <c r="C29" s="1">
        <f t="shared" si="2"/>
        <v>10077696</v>
      </c>
      <c r="D29" s="9">
        <f>SUM($C$21:C29)</f>
        <v>12093234</v>
      </c>
      <c r="E29" s="9">
        <f t="shared" si="3"/>
        <v>-21187100.3247937</v>
      </c>
      <c r="F29" s="9">
        <f t="shared" si="4"/>
        <v>4.6971632582221395E-6</v>
      </c>
      <c r="G29" s="287">
        <f t="shared" si="5"/>
        <v>2108524740.6610417</v>
      </c>
      <c r="O29" s="99">
        <v>9</v>
      </c>
      <c r="P29" s="93">
        <f t="shared" si="10"/>
        <v>6718461</v>
      </c>
      <c r="Q29" s="1">
        <f t="shared" si="6"/>
        <v>40310781</v>
      </c>
      <c r="R29" s="9">
        <f>SUM($Q$21:Q29)</f>
        <v>48372909</v>
      </c>
      <c r="S29" s="282">
        <f t="shared" si="7"/>
        <v>-84748353.995723233</v>
      </c>
      <c r="T29" s="9">
        <f t="shared" si="11"/>
        <v>1.1742914700019955E-6</v>
      </c>
      <c r="U29" s="287">
        <f t="shared" si="8"/>
        <v>8434094255.039237</v>
      </c>
    </row>
    <row r="30" spans="1:21" ht="17" thickBot="1" x14ac:dyDescent="0.25">
      <c r="A30" s="145">
        <v>10</v>
      </c>
      <c r="B30" s="94">
        <f t="shared" si="9"/>
        <v>10077696</v>
      </c>
      <c r="C30" s="111">
        <f t="shared" si="2"/>
        <v>60466176</v>
      </c>
      <c r="D30" s="10">
        <f>SUM($C$21:C30)</f>
        <v>72559410</v>
      </c>
      <c r="E30" s="10">
        <f t="shared" si="3"/>
        <v>-127122669.40203314</v>
      </c>
      <c r="F30" s="10">
        <f t="shared" si="4"/>
        <v>8.725680677486395E-7</v>
      </c>
      <c r="G30" s="288">
        <f t="shared" si="5"/>
        <v>14100850995.32044</v>
      </c>
      <c r="O30" s="100">
        <v>10</v>
      </c>
      <c r="P30" s="94">
        <f t="shared" si="10"/>
        <v>40310781</v>
      </c>
      <c r="Q30" s="111">
        <f t="shared" si="6"/>
        <v>241864701</v>
      </c>
      <c r="R30" s="10">
        <f>SUM($Q$21:Q30)</f>
        <v>290237610</v>
      </c>
      <c r="S30" s="283">
        <f t="shared" si="7"/>
        <v>-508490625.04871839</v>
      </c>
      <c r="T30" s="10">
        <f t="shared" si="11"/>
        <v>2.1814203948510088E-7</v>
      </c>
      <c r="U30" s="288">
        <f t="shared" si="8"/>
        <v>56403398151.224297</v>
      </c>
    </row>
    <row r="31" spans="1:21" ht="17" thickBot="1" x14ac:dyDescent="0.25"/>
    <row r="32" spans="1:21" ht="17" thickBot="1" x14ac:dyDescent="0.25">
      <c r="A32" s="117" t="s">
        <v>135</v>
      </c>
      <c r="B32" s="118" t="s">
        <v>140</v>
      </c>
      <c r="C32" s="118" t="s">
        <v>139</v>
      </c>
      <c r="D32" s="170" t="s">
        <v>138</v>
      </c>
      <c r="E32" s="167" t="s">
        <v>151</v>
      </c>
      <c r="F32" s="168" t="s">
        <v>152</v>
      </c>
      <c r="G32" s="290" t="s">
        <v>47</v>
      </c>
      <c r="O32" s="29" t="s">
        <v>135</v>
      </c>
      <c r="P32" s="118" t="s">
        <v>140</v>
      </c>
      <c r="Q32" s="118" t="s">
        <v>139</v>
      </c>
      <c r="R32" s="118" t="s">
        <v>138</v>
      </c>
      <c r="S32" s="166" t="s">
        <v>151</v>
      </c>
      <c r="T32" s="168" t="s">
        <v>152</v>
      </c>
      <c r="U32" s="294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6</v>
      </c>
      <c r="D33" s="57">
        <f>SUM($C$33:C33)</f>
        <v>6</v>
      </c>
      <c r="E33" s="9">
        <f t="shared" ref="E33:E42" si="13">D33/R7</f>
        <v>-9.2790085644014511</v>
      </c>
      <c r="F33" s="8">
        <f t="shared" ref="F33:F42" si="14">U7/E33</f>
        <v>1.0118510889652399</v>
      </c>
      <c r="G33" s="289">
        <f>E33*U7</f>
        <v>87.120378697410658</v>
      </c>
      <c r="O33" s="101">
        <v>1</v>
      </c>
      <c r="P33" s="109">
        <v>1</v>
      </c>
      <c r="Q33" s="110">
        <f>P33*6+15</f>
        <v>21</v>
      </c>
      <c r="R33" s="57">
        <f>SUM($Q$21)</f>
        <v>21</v>
      </c>
      <c r="S33" s="281">
        <f>R33/R7</f>
        <v>-32.476529975405079</v>
      </c>
      <c r="T33" s="8">
        <f>U7/S33</f>
        <v>0.28910031113292567</v>
      </c>
      <c r="U33" s="289">
        <f>S33*U7</f>
        <v>304.92132544093732</v>
      </c>
    </row>
    <row r="34" spans="1:21" x14ac:dyDescent="0.2">
      <c r="A34" s="97">
        <v>2</v>
      </c>
      <c r="B34" s="93">
        <f t="shared" ref="B34:B42" si="15">B33*($O$2+1)</f>
        <v>7</v>
      </c>
      <c r="C34" s="1">
        <f t="shared" si="12"/>
        <v>42</v>
      </c>
      <c r="D34" s="9">
        <f>SUM($C$33:C34)</f>
        <v>48</v>
      </c>
      <c r="E34" s="9">
        <f t="shared" si="13"/>
        <v>-81.846526934890534</v>
      </c>
      <c r="F34" s="9">
        <f t="shared" si="14"/>
        <v>0.24476618237424203</v>
      </c>
      <c r="G34" s="287">
        <f t="shared" ref="G34:G42" si="16">E34*U8</f>
        <v>1639.6529128385521</v>
      </c>
      <c r="O34" s="99">
        <v>2</v>
      </c>
      <c r="P34" s="93">
        <f>Q33+1</f>
        <v>22</v>
      </c>
      <c r="Q34" s="1">
        <f t="shared" ref="Q34:Q42" si="17">P34*6+15</f>
        <v>147</v>
      </c>
      <c r="R34" s="9">
        <f>SUM($Q$33:Q34)</f>
        <v>168</v>
      </c>
      <c r="S34" s="282">
        <f>R34/R8</f>
        <v>-286.46284427211685</v>
      </c>
      <c r="T34" s="9">
        <f t="shared" ref="T34:T42" si="18">U8/S34</f>
        <v>6.9933194964069162E-2</v>
      </c>
      <c r="U34" s="287">
        <f t="shared" ref="U34:U42" si="19">S34*U8</f>
        <v>5738.7851949349315</v>
      </c>
    </row>
    <row r="35" spans="1:21" x14ac:dyDescent="0.2">
      <c r="A35" s="97">
        <v>3</v>
      </c>
      <c r="B35" s="93">
        <f t="shared" si="15"/>
        <v>49</v>
      </c>
      <c r="C35" s="1">
        <f t="shared" si="12"/>
        <v>294</v>
      </c>
      <c r="D35" s="9">
        <f>SUM($C$33:C35)</f>
        <v>342</v>
      </c>
      <c r="E35" s="9">
        <f t="shared" si="13"/>
        <v>-595.69258327960836</v>
      </c>
      <c r="F35" s="9">
        <f t="shared" si="14"/>
        <v>5.236363310759945E-2</v>
      </c>
      <c r="G35" s="287">
        <f t="shared" si="16"/>
        <v>18581.217078597874</v>
      </c>
      <c r="O35" s="99">
        <v>3</v>
      </c>
      <c r="P35" s="93">
        <f t="shared" ref="P35:P42" si="20">Q34+1</f>
        <v>148</v>
      </c>
      <c r="Q35" s="1">
        <f t="shared" si="17"/>
        <v>903</v>
      </c>
      <c r="R35" s="9">
        <f>SUM($Q$33:Q35)</f>
        <v>1071</v>
      </c>
      <c r="S35" s="282">
        <f t="shared" ref="S35:S42" si="21">R35/R9</f>
        <v>-1865.4583529019312</v>
      </c>
      <c r="T35" s="9">
        <f t="shared" si="18"/>
        <v>1.6721160152006549E-2</v>
      </c>
      <c r="U35" s="287">
        <f t="shared" si="19"/>
        <v>58188.548219819648</v>
      </c>
    </row>
    <row r="36" spans="1:21" x14ac:dyDescent="0.2">
      <c r="A36" s="97">
        <v>4</v>
      </c>
      <c r="B36" s="93">
        <f t="shared" si="15"/>
        <v>343</v>
      </c>
      <c r="C36" s="1">
        <f t="shared" si="12"/>
        <v>2058</v>
      </c>
      <c r="D36" s="9">
        <f>SUM($C$33:C36)</f>
        <v>2400</v>
      </c>
      <c r="E36" s="9">
        <f t="shared" si="13"/>
        <v>-4199.4901244997027</v>
      </c>
      <c r="F36" s="9">
        <f t="shared" si="14"/>
        <v>1.0126362772587015E-2</v>
      </c>
      <c r="G36" s="287">
        <f t="shared" si="16"/>
        <v>178585.67119302327</v>
      </c>
      <c r="O36" s="99">
        <v>4</v>
      </c>
      <c r="P36" s="93">
        <f t="shared" si="20"/>
        <v>904</v>
      </c>
      <c r="Q36" s="1">
        <f t="shared" si="17"/>
        <v>5439</v>
      </c>
      <c r="R36" s="9">
        <f>SUM($Q$33:Q36)</f>
        <v>6510</v>
      </c>
      <c r="S36" s="282">
        <f t="shared" si="21"/>
        <v>-11391.116962705444</v>
      </c>
      <c r="T36" s="9">
        <f t="shared" si="18"/>
        <v>3.7332212986495908E-3</v>
      </c>
      <c r="U36" s="287">
        <f t="shared" si="19"/>
        <v>484413.63311107561</v>
      </c>
    </row>
    <row r="37" spans="1:21" x14ac:dyDescent="0.2">
      <c r="A37" s="97">
        <v>5</v>
      </c>
      <c r="B37" s="93">
        <f t="shared" si="15"/>
        <v>2401</v>
      </c>
      <c r="C37" s="1">
        <f t="shared" si="12"/>
        <v>14406</v>
      </c>
      <c r="D37" s="9">
        <f>SUM($C$33:C37)</f>
        <v>16806</v>
      </c>
      <c r="E37" s="9">
        <f t="shared" si="13"/>
        <v>-29435.872456602774</v>
      </c>
      <c r="F37" s="9">
        <f t="shared" si="14"/>
        <v>1.8314458879394562E-3</v>
      </c>
      <c r="G37" s="287">
        <f t="shared" si="16"/>
        <v>1586893.9940969797</v>
      </c>
      <c r="O37" s="99">
        <v>5</v>
      </c>
      <c r="P37" s="93">
        <f t="shared" si="20"/>
        <v>5440</v>
      </c>
      <c r="Q37" s="1">
        <f t="shared" si="17"/>
        <v>32655</v>
      </c>
      <c r="R37" s="9">
        <f>SUM($Q$33:Q37)</f>
        <v>39165</v>
      </c>
      <c r="S37" s="282">
        <f t="shared" si="21"/>
        <v>-68597.878422161593</v>
      </c>
      <c r="T37" s="9">
        <f t="shared" si="18"/>
        <v>7.8588738906448352E-4</v>
      </c>
      <c r="U37" s="287">
        <f t="shared" si="19"/>
        <v>3698125.8645012625</v>
      </c>
    </row>
    <row r="38" spans="1:21" x14ac:dyDescent="0.2">
      <c r="A38" s="97">
        <v>6</v>
      </c>
      <c r="B38" s="93">
        <f t="shared" si="15"/>
        <v>16807</v>
      </c>
      <c r="C38" s="1">
        <f t="shared" si="12"/>
        <v>100842</v>
      </c>
      <c r="D38" s="9">
        <f>SUM($C$33:C38)</f>
        <v>117648</v>
      </c>
      <c r="E38" s="9">
        <f t="shared" si="13"/>
        <v>-206105.13128526747</v>
      </c>
      <c r="F38" s="9">
        <f t="shared" si="14"/>
        <v>3.168728808971844E-4</v>
      </c>
      <c r="G38" s="287">
        <f t="shared" si="16"/>
        <v>13460546.136350919</v>
      </c>
      <c r="O38" s="99">
        <v>6</v>
      </c>
      <c r="P38" s="93">
        <f t="shared" si="20"/>
        <v>32656</v>
      </c>
      <c r="Q38" s="1">
        <f t="shared" si="17"/>
        <v>195951</v>
      </c>
      <c r="R38" s="9">
        <f>SUM($Q$33:Q38)</f>
        <v>235116</v>
      </c>
      <c r="S38" s="282">
        <f t="shared" si="21"/>
        <v>-411894.92424237513</v>
      </c>
      <c r="T38" s="9">
        <f t="shared" si="18"/>
        <v>1.5855773614637859E-4</v>
      </c>
      <c r="U38" s="287">
        <f t="shared" si="19"/>
        <v>26900497.801868986</v>
      </c>
    </row>
    <row r="39" spans="1:21" x14ac:dyDescent="0.2">
      <c r="A39" s="97">
        <v>7</v>
      </c>
      <c r="B39" s="93">
        <f t="shared" si="15"/>
        <v>117649</v>
      </c>
      <c r="C39" s="1">
        <f t="shared" si="12"/>
        <v>705894</v>
      </c>
      <c r="D39" s="9">
        <f>SUM($C$33:C39)</f>
        <v>823542</v>
      </c>
      <c r="E39" s="9">
        <f t="shared" si="13"/>
        <v>-1442811.8123617107</v>
      </c>
      <c r="F39" s="9">
        <f t="shared" si="14"/>
        <v>5.3168260530920727E-5</v>
      </c>
      <c r="G39" s="287">
        <f t="shared" si="16"/>
        <v>110680683.01650682</v>
      </c>
      <c r="O39" s="99">
        <v>7</v>
      </c>
      <c r="P39" s="93">
        <f t="shared" si="20"/>
        <v>195952</v>
      </c>
      <c r="Q39" s="1">
        <f t="shared" si="17"/>
        <v>1175727</v>
      </c>
      <c r="R39" s="9">
        <f>SUM($Q$33:Q39)</f>
        <v>1410843</v>
      </c>
      <c r="S39" s="282">
        <f t="shared" si="21"/>
        <v>-2471739.0804449962</v>
      </c>
      <c r="T39" s="9">
        <f t="shared" si="18"/>
        <v>3.103555506470636E-5</v>
      </c>
      <c r="U39" s="287">
        <f t="shared" si="19"/>
        <v>189611539.99317282</v>
      </c>
    </row>
    <row r="40" spans="1:21" x14ac:dyDescent="0.2">
      <c r="A40" s="97">
        <v>8</v>
      </c>
      <c r="B40" s="93">
        <f t="shared" si="15"/>
        <v>823543</v>
      </c>
      <c r="C40" s="1">
        <f t="shared" si="12"/>
        <v>4941258</v>
      </c>
      <c r="D40" s="9">
        <f>SUM($C$33:C40)</f>
        <v>5764800</v>
      </c>
      <c r="E40" s="9">
        <f t="shared" si="13"/>
        <v>-10099791.422795139</v>
      </c>
      <c r="F40" s="9">
        <f t="shared" si="14"/>
        <v>8.7244785674776503E-6</v>
      </c>
      <c r="G40" s="287">
        <f t="shared" si="16"/>
        <v>889947300.5554086</v>
      </c>
      <c r="O40" s="99">
        <v>8</v>
      </c>
      <c r="P40" s="93">
        <f t="shared" si="20"/>
        <v>1175728</v>
      </c>
      <c r="Q40" s="1">
        <f t="shared" si="17"/>
        <v>7054383</v>
      </c>
      <c r="R40" s="9">
        <f>SUM($Q$33:Q40)</f>
        <v>8465226</v>
      </c>
      <c r="S40" s="282">
        <f t="shared" si="21"/>
        <v>-14830873.047950042</v>
      </c>
      <c r="T40" s="9">
        <f t="shared" si="18"/>
        <v>5.9413504194448162E-6</v>
      </c>
      <c r="U40" s="287">
        <f t="shared" si="19"/>
        <v>1306828515.6972418</v>
      </c>
    </row>
    <row r="41" spans="1:21" x14ac:dyDescent="0.2">
      <c r="A41" s="97">
        <v>9</v>
      </c>
      <c r="B41" s="93">
        <f t="shared" si="15"/>
        <v>5764801</v>
      </c>
      <c r="C41" s="1">
        <f t="shared" si="12"/>
        <v>34588806</v>
      </c>
      <c r="D41" s="9">
        <f>SUM($C$33:C41)</f>
        <v>40353606</v>
      </c>
      <c r="E41" s="9">
        <f t="shared" si="13"/>
        <v>-70698698.031411365</v>
      </c>
      <c r="F41" s="9">
        <f t="shared" si="14"/>
        <v>1.4076534924259993E-6</v>
      </c>
      <c r="G41" s="287">
        <f t="shared" si="16"/>
        <v>7035882761.0453796</v>
      </c>
      <c r="O41" s="99">
        <v>9</v>
      </c>
      <c r="P41" s="93">
        <f t="shared" si="20"/>
        <v>7054384</v>
      </c>
      <c r="Q41" s="1">
        <f t="shared" si="17"/>
        <v>42326319</v>
      </c>
      <c r="R41" s="9">
        <f>SUM($Q$33:Q41)</f>
        <v>50791545</v>
      </c>
      <c r="S41" s="282">
        <f t="shared" si="21"/>
        <v>-88985755.13930136</v>
      </c>
      <c r="T41" s="9">
        <f t="shared" si="18"/>
        <v>1.1183730366517251E-6</v>
      </c>
      <c r="U41" s="287">
        <f t="shared" si="19"/>
        <v>8855797320.1294746</v>
      </c>
    </row>
    <row r="42" spans="1:21" ht="17" thickBot="1" x14ac:dyDescent="0.25">
      <c r="A42" s="145">
        <v>10</v>
      </c>
      <c r="B42" s="94">
        <f t="shared" si="15"/>
        <v>40353607</v>
      </c>
      <c r="C42" s="111">
        <f t="shared" si="12"/>
        <v>242121642</v>
      </c>
      <c r="D42" s="10">
        <f>SUM($C$33:C42)</f>
        <v>282475248</v>
      </c>
      <c r="E42" s="9">
        <f t="shared" si="13"/>
        <v>-494891118.4057495</v>
      </c>
      <c r="F42" s="10">
        <f t="shared" si="14"/>
        <v>2.2413653808237849E-7</v>
      </c>
      <c r="G42" s="288">
        <f t="shared" si="16"/>
        <v>54894897600.658394</v>
      </c>
      <c r="O42" s="100">
        <v>10</v>
      </c>
      <c r="P42" s="94">
        <f t="shared" si="20"/>
        <v>42326320</v>
      </c>
      <c r="Q42" s="111">
        <f t="shared" si="17"/>
        <v>253957935</v>
      </c>
      <c r="R42" s="10">
        <f>SUM($Q$33:Q42)</f>
        <v>304749480</v>
      </c>
      <c r="S42" s="283">
        <f t="shared" si="21"/>
        <v>-533915137.90535933</v>
      </c>
      <c r="T42" s="10">
        <f t="shared" si="18"/>
        <v>2.077543304772212E-7</v>
      </c>
      <c r="U42" s="288">
        <f t="shared" si="19"/>
        <v>59223566018.265396</v>
      </c>
    </row>
    <row r="43" spans="1:21" ht="17" thickBot="1" x14ac:dyDescent="0.25">
      <c r="U43" s="285"/>
    </row>
    <row r="44" spans="1:21" ht="17" thickBot="1" x14ac:dyDescent="0.25">
      <c r="A44" s="117" t="s">
        <v>135</v>
      </c>
      <c r="B44" s="118" t="s">
        <v>140</v>
      </c>
      <c r="C44" s="118" t="s">
        <v>139</v>
      </c>
      <c r="D44" s="170" t="s">
        <v>138</v>
      </c>
      <c r="E44" s="167" t="s">
        <v>151</v>
      </c>
      <c r="F44" s="168" t="s">
        <v>152</v>
      </c>
      <c r="G44" s="290" t="s">
        <v>47</v>
      </c>
      <c r="O44" s="29" t="s">
        <v>135</v>
      </c>
      <c r="P44" s="118" t="s">
        <v>140</v>
      </c>
      <c r="Q44" s="118" t="s">
        <v>139</v>
      </c>
      <c r="R44" s="118" t="s">
        <v>138</v>
      </c>
      <c r="S44" s="166" t="s">
        <v>151</v>
      </c>
      <c r="T44" s="168" t="s">
        <v>152</v>
      </c>
      <c r="U44" s="294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6</v>
      </c>
      <c r="D45" s="57">
        <f>SUM(C45:C45)</f>
        <v>6</v>
      </c>
      <c r="E45" s="57">
        <f t="shared" ref="E45:E54" si="23">D45/R7</f>
        <v>-9.2790085644014511</v>
      </c>
      <c r="F45" s="8">
        <f t="shared" ref="F45:F54" si="24">U7/E45</f>
        <v>1.0118510889652399</v>
      </c>
      <c r="G45" s="286">
        <f>E45*U7</f>
        <v>87.120378697410658</v>
      </c>
      <c r="O45" s="101">
        <v>1</v>
      </c>
      <c r="P45" s="109">
        <v>1</v>
      </c>
      <c r="Q45" s="110">
        <f>P45*6+15</f>
        <v>21</v>
      </c>
      <c r="R45" s="57">
        <f>SUM($Q$21)</f>
        <v>21</v>
      </c>
      <c r="S45" s="281">
        <f>R45/R7</f>
        <v>-32.476529975405079</v>
      </c>
      <c r="T45" s="8">
        <f>U7/S45</f>
        <v>0.28910031113292567</v>
      </c>
      <c r="U45" s="289">
        <f>S45*U7</f>
        <v>304.92132544093732</v>
      </c>
    </row>
    <row r="46" spans="1:21" x14ac:dyDescent="0.2">
      <c r="A46" s="97">
        <v>2</v>
      </c>
      <c r="B46" s="93">
        <f t="shared" ref="B46:B54" si="25">B45*$O$2*2</f>
        <v>12</v>
      </c>
      <c r="C46" s="1">
        <f t="shared" si="22"/>
        <v>72</v>
      </c>
      <c r="D46" s="9">
        <f>SUM($C$45:C46)</f>
        <v>78</v>
      </c>
      <c r="E46" s="9">
        <f t="shared" si="23"/>
        <v>-133.00060626919711</v>
      </c>
      <c r="F46" s="9">
        <f t="shared" si="24"/>
        <v>0.15062534299953356</v>
      </c>
      <c r="G46" s="287">
        <f t="shared" ref="G46:G54" si="26">E46*U8</f>
        <v>2664.4359833626468</v>
      </c>
      <c r="O46" s="99">
        <v>2</v>
      </c>
      <c r="P46" s="93">
        <f>Q45*2</f>
        <v>42</v>
      </c>
      <c r="Q46" s="1">
        <f t="shared" ref="Q46:Q54" si="27">P46*6+15</f>
        <v>267</v>
      </c>
      <c r="R46" s="9">
        <f>SUM($Q$45:Q46)</f>
        <v>288</v>
      </c>
      <c r="S46" s="282">
        <f t="shared" ref="S46:S54" si="28">R46/R8</f>
        <v>-491.0791616093432</v>
      </c>
      <c r="T46" s="9">
        <f t="shared" ref="T46:T54" si="29">U8/S46</f>
        <v>4.0794363729040342E-2</v>
      </c>
      <c r="U46" s="287">
        <f t="shared" ref="U46:U54" si="30">S46*U8</f>
        <v>9837.917477031313</v>
      </c>
    </row>
    <row r="47" spans="1:21" x14ac:dyDescent="0.2">
      <c r="A47" s="97">
        <v>3</v>
      </c>
      <c r="B47" s="93">
        <f t="shared" si="25"/>
        <v>144</v>
      </c>
      <c r="C47" s="1">
        <f t="shared" si="22"/>
        <v>864</v>
      </c>
      <c r="D47" s="9">
        <f>SUM($C$45:C47)</f>
        <v>942</v>
      </c>
      <c r="E47" s="9">
        <f t="shared" si="23"/>
        <v>-1640.7672907876931</v>
      </c>
      <c r="F47" s="9">
        <f t="shared" si="24"/>
        <v>1.9011000554988337E-2</v>
      </c>
      <c r="G47" s="287">
        <f t="shared" si="26"/>
        <v>51179.843532278348</v>
      </c>
      <c r="O47" s="99">
        <v>3</v>
      </c>
      <c r="P47" s="93">
        <f t="shared" ref="P47:P54" si="31">Q46*2</f>
        <v>534</v>
      </c>
      <c r="Q47" s="1">
        <f t="shared" si="27"/>
        <v>3219</v>
      </c>
      <c r="R47" s="9">
        <f>SUM($Q$45:Q47)</f>
        <v>3507</v>
      </c>
      <c r="S47" s="282">
        <f t="shared" si="28"/>
        <v>-6108.4616653847552</v>
      </c>
      <c r="T47" s="9">
        <f t="shared" si="29"/>
        <v>5.1064620823493053E-3</v>
      </c>
      <c r="U47" s="287">
        <f t="shared" si="30"/>
        <v>190538.97162176238</v>
      </c>
    </row>
    <row r="48" spans="1:21" x14ac:dyDescent="0.2">
      <c r="A48" s="97">
        <v>4</v>
      </c>
      <c r="B48" s="93">
        <f t="shared" si="25"/>
        <v>1728</v>
      </c>
      <c r="C48" s="1">
        <f t="shared" si="22"/>
        <v>10368</v>
      </c>
      <c r="D48" s="9">
        <f>SUM($C$45:C48)</f>
        <v>11310</v>
      </c>
      <c r="E48" s="9">
        <f t="shared" si="23"/>
        <v>-19790.097211704851</v>
      </c>
      <c r="F48" s="9">
        <f t="shared" si="24"/>
        <v>2.1488302965701886E-3</v>
      </c>
      <c r="G48" s="287">
        <f t="shared" si="26"/>
        <v>841584.97549712216</v>
      </c>
      <c r="O48" s="99">
        <v>4</v>
      </c>
      <c r="P48" s="93">
        <f t="shared" si="31"/>
        <v>6438</v>
      </c>
      <c r="Q48" s="1">
        <f t="shared" si="27"/>
        <v>38643</v>
      </c>
      <c r="R48" s="9">
        <f>SUM($Q$45:Q48)</f>
        <v>42150</v>
      </c>
      <c r="S48" s="282">
        <f t="shared" si="28"/>
        <v>-73753.545311526032</v>
      </c>
      <c r="T48" s="9">
        <f t="shared" si="29"/>
        <v>5.765900511081574E-4</v>
      </c>
      <c r="U48" s="287">
        <f t="shared" si="30"/>
        <v>3136410.8503274713</v>
      </c>
    </row>
    <row r="49" spans="1:21" x14ac:dyDescent="0.2">
      <c r="A49" s="97">
        <v>5</v>
      </c>
      <c r="B49" s="93">
        <f t="shared" si="25"/>
        <v>20736</v>
      </c>
      <c r="C49" s="1">
        <f t="shared" si="22"/>
        <v>124416</v>
      </c>
      <c r="D49" s="9">
        <f>SUM($C$45:C49)</f>
        <v>135726</v>
      </c>
      <c r="E49" s="9">
        <f t="shared" si="23"/>
        <v>-237725.40908276022</v>
      </c>
      <c r="F49" s="9">
        <f t="shared" si="24"/>
        <v>2.2677511746246483E-4</v>
      </c>
      <c r="G49" s="287">
        <f t="shared" si="26"/>
        <v>12815826.14797136</v>
      </c>
      <c r="O49" s="99">
        <v>5</v>
      </c>
      <c r="P49" s="93">
        <f t="shared" si="31"/>
        <v>77286</v>
      </c>
      <c r="Q49" s="1">
        <f t="shared" si="27"/>
        <v>463731</v>
      </c>
      <c r="R49" s="9">
        <f>SUM($Q$45:Q49)</f>
        <v>505881</v>
      </c>
      <c r="S49" s="282">
        <f t="shared" si="28"/>
        <v>-886055.49174215563</v>
      </c>
      <c r="T49" s="9">
        <f t="shared" si="29"/>
        <v>6.084292470504032E-5</v>
      </c>
      <c r="U49" s="287">
        <f t="shared" si="30"/>
        <v>47767435.47707808</v>
      </c>
    </row>
    <row r="50" spans="1:21" x14ac:dyDescent="0.2">
      <c r="A50" s="97">
        <v>6</v>
      </c>
      <c r="B50" s="93">
        <f t="shared" si="25"/>
        <v>248832</v>
      </c>
      <c r="C50" s="1">
        <f t="shared" si="22"/>
        <v>1492992</v>
      </c>
      <c r="D50" s="9">
        <f>SUM($C$45:C50)</f>
        <v>1628718</v>
      </c>
      <c r="E50" s="9">
        <f t="shared" si="23"/>
        <v>-2853317.839799047</v>
      </c>
      <c r="F50" s="9">
        <f t="shared" si="24"/>
        <v>2.2888836920689738E-5</v>
      </c>
      <c r="G50" s="287">
        <f t="shared" si="26"/>
        <v>186347696.36632323</v>
      </c>
      <c r="O50" s="99">
        <v>6</v>
      </c>
      <c r="P50" s="93">
        <f t="shared" si="31"/>
        <v>927462</v>
      </c>
      <c r="Q50" s="1">
        <f t="shared" si="27"/>
        <v>5564787</v>
      </c>
      <c r="R50" s="9">
        <f>SUM($Q$45:Q50)</f>
        <v>6070668</v>
      </c>
      <c r="S50" s="282">
        <f t="shared" si="28"/>
        <v>-10635079.432963351</v>
      </c>
      <c r="T50" s="9">
        <f t="shared" si="29"/>
        <v>6.140915743010809E-6</v>
      </c>
      <c r="U50" s="287">
        <f t="shared" si="30"/>
        <v>694567750.3439852</v>
      </c>
    </row>
    <row r="51" spans="1:21" x14ac:dyDescent="0.2">
      <c r="A51" s="97">
        <v>7</v>
      </c>
      <c r="B51" s="93">
        <f t="shared" si="25"/>
        <v>2985984</v>
      </c>
      <c r="C51" s="1">
        <f t="shared" si="22"/>
        <v>17915904</v>
      </c>
      <c r="D51" s="9">
        <f>SUM($C$45:C51)</f>
        <v>19544622</v>
      </c>
      <c r="E51" s="9">
        <f t="shared" si="23"/>
        <v>-34241376.262224108</v>
      </c>
      <c r="F51" s="9">
        <f t="shared" si="24"/>
        <v>2.240324505337351E-6</v>
      </c>
      <c r="G51" s="287">
        <f t="shared" si="26"/>
        <v>2626717413.6345758</v>
      </c>
      <c r="O51" s="99">
        <v>7</v>
      </c>
      <c r="P51" s="93">
        <f t="shared" si="31"/>
        <v>11129574</v>
      </c>
      <c r="Q51" s="1">
        <f t="shared" si="27"/>
        <v>66777459</v>
      </c>
      <c r="R51" s="9">
        <f>SUM($Q$45:Q51)</f>
        <v>72848127</v>
      </c>
      <c r="S51" s="282">
        <f t="shared" si="28"/>
        <v>-127626931.16322674</v>
      </c>
      <c r="T51" s="9">
        <f t="shared" si="29"/>
        <v>6.0106275092227852E-7</v>
      </c>
      <c r="U51" s="287">
        <f t="shared" si="30"/>
        <v>9790490895.2223835</v>
      </c>
    </row>
    <row r="52" spans="1:21" x14ac:dyDescent="0.2">
      <c r="A52" s="97">
        <v>8</v>
      </c>
      <c r="B52" s="93">
        <f t="shared" si="25"/>
        <v>35831808</v>
      </c>
      <c r="C52" s="1">
        <f t="shared" si="22"/>
        <v>214990848</v>
      </c>
      <c r="D52" s="9">
        <f>SUM($C$45:C52)</f>
        <v>234535470</v>
      </c>
      <c r="E52" s="9">
        <f t="shared" si="23"/>
        <v>-410900521.83028495</v>
      </c>
      <c r="F52" s="9">
        <f t="shared" si="24"/>
        <v>2.1444463835596025E-7</v>
      </c>
      <c r="G52" s="287">
        <f t="shared" si="26"/>
        <v>36206669513.425278</v>
      </c>
      <c r="O52" s="99">
        <v>8</v>
      </c>
      <c r="P52" s="93">
        <f t="shared" si="31"/>
        <v>133554918</v>
      </c>
      <c r="Q52" s="1">
        <f t="shared" si="27"/>
        <v>801329523</v>
      </c>
      <c r="R52" s="9">
        <f>SUM($Q$45:Q52)</f>
        <v>874177650</v>
      </c>
      <c r="S52" s="282">
        <f t="shared" si="28"/>
        <v>-1531538289.5276871</v>
      </c>
      <c r="T52" s="9">
        <f t="shared" si="29"/>
        <v>5.7533928081775103E-8</v>
      </c>
      <c r="U52" s="287">
        <f t="shared" si="30"/>
        <v>134952130138.66409</v>
      </c>
    </row>
    <row r="53" spans="1:21" x14ac:dyDescent="0.2">
      <c r="A53" s="97">
        <v>9</v>
      </c>
      <c r="B53" s="93">
        <f t="shared" si="25"/>
        <v>429981696</v>
      </c>
      <c r="C53" s="1">
        <f t="shared" si="22"/>
        <v>2579890176</v>
      </c>
      <c r="D53" s="9">
        <f>SUM($C$45:C53)</f>
        <v>2814425646</v>
      </c>
      <c r="E53" s="9">
        <f t="shared" si="23"/>
        <v>-4930816563.9128723</v>
      </c>
      <c r="F53" s="9">
        <f t="shared" si="24"/>
        <v>2.018312137633312E-8</v>
      </c>
      <c r="G53" s="287">
        <f t="shared" si="26"/>
        <v>490711260969.72369</v>
      </c>
      <c r="O53" s="99">
        <v>9</v>
      </c>
      <c r="P53" s="93">
        <f t="shared" si="31"/>
        <v>1602659046</v>
      </c>
      <c r="Q53" s="1">
        <f t="shared" si="27"/>
        <v>9615954291</v>
      </c>
      <c r="R53" s="9">
        <f>SUM($Q$45:Q53)</f>
        <v>10490131941</v>
      </c>
      <c r="S53" s="282">
        <f t="shared" si="28"/>
        <v>-18378498080.355499</v>
      </c>
      <c r="T53" s="9">
        <f t="shared" si="29"/>
        <v>5.4149837902294086E-9</v>
      </c>
      <c r="U53" s="287">
        <f t="shared" si="30"/>
        <v>1829014697838.2405</v>
      </c>
    </row>
    <row r="54" spans="1:21" ht="17" thickBot="1" x14ac:dyDescent="0.25">
      <c r="A54" s="145">
        <v>10</v>
      </c>
      <c r="B54" s="94">
        <f t="shared" si="25"/>
        <v>5159780352</v>
      </c>
      <c r="C54" s="111">
        <f t="shared" si="22"/>
        <v>30958682112</v>
      </c>
      <c r="D54" s="10">
        <f>SUM($C$45:C54)</f>
        <v>33773107758</v>
      </c>
      <c r="E54" s="10">
        <f t="shared" si="23"/>
        <v>-59169825281.096893</v>
      </c>
      <c r="F54" s="10">
        <f t="shared" si="24"/>
        <v>1.8746579270805792E-9</v>
      </c>
      <c r="G54" s="288">
        <f t="shared" si="26"/>
        <v>6563305298988.2197</v>
      </c>
      <c r="O54" s="100">
        <v>10</v>
      </c>
      <c r="P54" s="94">
        <f t="shared" si="31"/>
        <v>19231908582</v>
      </c>
      <c r="Q54" s="111">
        <f t="shared" si="27"/>
        <v>115391451507</v>
      </c>
      <c r="R54" s="10">
        <f>SUM($Q$45:Q54)</f>
        <v>125881583448</v>
      </c>
      <c r="S54" s="283">
        <f t="shared" si="28"/>
        <v>-220542076023.83414</v>
      </c>
      <c r="T54" s="10">
        <f t="shared" si="29"/>
        <v>5.0295700488098069E-10</v>
      </c>
      <c r="U54" s="288">
        <f t="shared" si="30"/>
        <v>24463228839033.336</v>
      </c>
    </row>
  </sheetData>
  <mergeCells count="2">
    <mergeCell ref="A18:F18"/>
    <mergeCell ref="O18:T18"/>
  </mergeCells>
  <conditionalFormatting sqref="F45:F54">
    <cfRule type="cellIs" dxfId="238" priority="53" operator="equal">
      <formula>MAX($F$45:$F$54)</formula>
    </cfRule>
  </conditionalFormatting>
  <conditionalFormatting sqref="F21:F30">
    <cfRule type="cellIs" dxfId="237" priority="51" operator="equal">
      <formula>MAX($F$21:$F$30)</formula>
    </cfRule>
  </conditionalFormatting>
  <conditionalFormatting sqref="E33:E42">
    <cfRule type="cellIs" dxfId="236" priority="49" stopIfTrue="1" operator="lessThan">
      <formula>0</formula>
    </cfRule>
    <cfRule type="cellIs" dxfId="235" priority="50" operator="equal">
      <formula>MIN($E$33:$E$42)</formula>
    </cfRule>
  </conditionalFormatting>
  <conditionalFormatting sqref="E21:E30">
    <cfRule type="cellIs" dxfId="234" priority="45" stopIfTrue="1" operator="lessThan">
      <formula>0</formula>
    </cfRule>
    <cfRule type="cellIs" dxfId="233" priority="46" operator="equal">
      <formula>MIN($E$21:$E$30)</formula>
    </cfRule>
  </conditionalFormatting>
  <conditionalFormatting sqref="E45:E54">
    <cfRule type="cellIs" dxfId="232" priority="41" stopIfTrue="1" operator="lessThan">
      <formula>0</formula>
    </cfRule>
    <cfRule type="cellIs" dxfId="231" priority="42" operator="equal">
      <formula>MIN($E$45:$E$54)</formula>
    </cfRule>
  </conditionalFormatting>
  <conditionalFormatting sqref="F33:F42">
    <cfRule type="cellIs" dxfId="230" priority="31" operator="lessThanOrEqual">
      <formula>0</formula>
    </cfRule>
    <cfRule type="cellIs" dxfId="229" priority="32" operator="equal">
      <formula>MAX($F$33:$F$42)</formula>
    </cfRule>
  </conditionalFormatting>
  <conditionalFormatting sqref="S7:T16">
    <cfRule type="cellIs" dxfId="228" priority="13" operator="lessThanOrEqual">
      <formula>0</formula>
    </cfRule>
    <cfRule type="cellIs" dxfId="227" priority="14" operator="greaterThan">
      <formula>0</formula>
    </cfRule>
  </conditionalFormatting>
  <conditionalFormatting sqref="U7:U16">
    <cfRule type="cellIs" dxfId="226" priority="15" operator="lessThanOrEqual">
      <formula>0</formula>
    </cfRule>
    <cfRule type="cellIs" dxfId="225" priority="16" operator="greaterThan">
      <formula>0</formula>
    </cfRule>
  </conditionalFormatting>
  <conditionalFormatting sqref="R7:R16">
    <cfRule type="cellIs" dxfId="224" priority="17" operator="lessThanOrEqual">
      <formula>0</formula>
    </cfRule>
    <cfRule type="cellIs" dxfId="223" priority="18" operator="greaterThan">
      <formula>0</formula>
    </cfRule>
  </conditionalFormatting>
  <conditionalFormatting sqref="T21:T30">
    <cfRule type="cellIs" dxfId="222" priority="9" operator="equal">
      <formula>MAX($T$21:$T$30)</formula>
    </cfRule>
  </conditionalFormatting>
  <conditionalFormatting sqref="S33:S42">
    <cfRule type="cellIs" dxfId="221" priority="7" stopIfTrue="1" operator="lessThan">
      <formula>0</formula>
    </cfRule>
    <cfRule type="cellIs" dxfId="220" priority="8" operator="equal">
      <formula>MIN($E$21:$E$30)</formula>
    </cfRule>
  </conditionalFormatting>
  <conditionalFormatting sqref="T33:T42">
    <cfRule type="cellIs" dxfId="219" priority="6" operator="equal">
      <formula>MAX($T$21:$T$30)</formula>
    </cfRule>
  </conditionalFormatting>
  <conditionalFormatting sqref="S45:S54">
    <cfRule type="cellIs" dxfId="218" priority="4" stopIfTrue="1" operator="lessThan">
      <formula>0</formula>
    </cfRule>
    <cfRule type="cellIs" dxfId="217" priority="5" operator="equal">
      <formula>MIN($E$21:$E$30)</formula>
    </cfRule>
  </conditionalFormatting>
  <conditionalFormatting sqref="T45:T54">
    <cfRule type="cellIs" dxfId="216" priority="3" operator="equal">
      <formula>MAX($T$21:$T$30)</formula>
    </cfRule>
  </conditionalFormatting>
  <conditionalFormatting sqref="S21:S30">
    <cfRule type="cellIs" dxfId="215" priority="1" stopIfTrue="1" operator="lessThan">
      <formula>0</formula>
    </cfRule>
    <cfRule type="cellIs" dxfId="214" priority="2" operator="equal">
      <formula>MIN($E$21:$E$30)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54"/>
  <sheetViews>
    <sheetView topLeftCell="A14" workbookViewId="0">
      <selection activeCell="K9" sqref="K9"/>
    </sheetView>
  </sheetViews>
  <sheetFormatPr baseColWidth="10" defaultColWidth="8.83203125" defaultRowHeight="16" x14ac:dyDescent="0.2"/>
  <sheetData>
    <row r="1" spans="1:11" x14ac:dyDescent="0.2">
      <c r="A1" t="s">
        <v>7</v>
      </c>
      <c r="B1">
        <v>1</v>
      </c>
      <c r="C1">
        <v>2</v>
      </c>
      <c r="D1">
        <v>3</v>
      </c>
      <c r="E1" t="s">
        <v>53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>
        <v>2</v>
      </c>
      <c r="B2">
        <f>(SUM(HS!B4:B11)+Rules!$B$5*HS!B12+HS!B36)/(9+Rules!$B$5)</f>
        <v>-0.20335368314889377</v>
      </c>
      <c r="C2">
        <f>(SUM(HS!C4:C11)+Rules!$B$5*HS!C12+HS!C36)/(9+Rules!$B$5)</f>
        <v>-7.5884358318949102E-2</v>
      </c>
      <c r="D2">
        <f>(SUM(HS!D4:D11)+Rules!$B$5*HS!D12+HS!D36)/(9+Rules!$B$5)</f>
        <v>-4.9750706146412048E-2</v>
      </c>
      <c r="E2">
        <f>(SUM(HS!E4:E11)+Rules!$B$5*HS!E12+HS!E36)/(9+Rules!$B$5)</f>
        <v>-2.2100412135834389E-2</v>
      </c>
      <c r="F2">
        <f>(SUM(HS!F4:F11)+Rules!$B$5*HS!F12+HS!F36)/(9+Rules!$B$5)</f>
        <v>1.3730032284783571E-2</v>
      </c>
      <c r="G2">
        <f>(SUM(HS!G4:G11)+Rules!$B$5*HS!G12+HS!G36)/(9+Rules!$B$5)</f>
        <v>3.8883411946301231E-2</v>
      </c>
      <c r="H2">
        <f>(SUM(HS!H4:H11)+Rules!$B$5*HS!H12+HS!H36)/(9+Rules!$B$5)</f>
        <v>-2.7257021375862247E-2</v>
      </c>
      <c r="I2">
        <f>(SUM(HS!I4:I11)+Rules!$B$5*HS!I12+HS!I36)/(9+Rules!$B$5)</f>
        <v>-0.10316172777512726</v>
      </c>
      <c r="J2">
        <f>(SUM(HS!J4:J11)+Rules!$B$5*HS!J12+HS!J36)/(9+Rules!$B$5)</f>
        <v>-0.19004714305350842</v>
      </c>
      <c r="K2">
        <f>(SUM(HS!K4:K11)+Rules!$B$5*HS!K12+HS!K36)/(9+Rules!$B$5)</f>
        <v>-0.24199803315764098</v>
      </c>
    </row>
    <row r="3" spans="1:11" x14ac:dyDescent="0.2">
      <c r="A3">
        <v>3</v>
      </c>
      <c r="B3">
        <f>(SUM(HS!B5:B12)+Rules!$B$5*HS!B13+HS!B37)/(9+Rules!$B$5)</f>
        <v>-0.22793749290805351</v>
      </c>
      <c r="C3">
        <f>(SUM(HS!C5:C12)+Rules!$B$5*HS!C13+HS!C37)/(9+Rules!$B$5)</f>
        <v>-0.10052250439785246</v>
      </c>
      <c r="D3">
        <f>(SUM(HS!D5:D12)+Rules!$B$5*HS!D13+HS!D37)/(9+Rules!$B$5)</f>
        <v>-6.8875858278897514E-2</v>
      </c>
      <c r="E3">
        <f>(SUM(HS!E5:E12)+Rules!$B$5*HS!E13+HS!E37)/(9+Rules!$B$5)</f>
        <v>-3.6261290708905339E-2</v>
      </c>
      <c r="F3">
        <f>(SUM(HS!F5:F12)+Rules!$B$5*HS!F13+HS!F37)/(9+Rules!$B$5)</f>
        <v>1.6995712139687808E-4</v>
      </c>
      <c r="G3">
        <f>(SUM(HS!G5:G12)+Rules!$B$5*HS!G13+HS!G37)/(9+Rules!$B$5)</f>
        <v>2.447130320655936E-2</v>
      </c>
      <c r="H3">
        <f>(SUM(HS!H5:H12)+Rules!$B$5*HS!H13+HS!H37)/(9+Rules!$B$5)</f>
        <v>-5.7437588540356667E-2</v>
      </c>
      <c r="I3">
        <f>(SUM(HS!I5:I12)+Rules!$B$5*HS!I13+HS!I37)/(9+Rules!$B$5)</f>
        <v>-0.13094188065020101</v>
      </c>
      <c r="J3">
        <f>(SUM(HS!J5:J12)+Rules!$B$5*HS!J13+HS!J37)/(9+Rules!$B$5)</f>
        <v>-0.21507662281362433</v>
      </c>
      <c r="K3">
        <f>(SUM(HS!K5:K12)+Rules!$B$5*HS!K13+HS!K37)/(9+Rules!$B$5)</f>
        <v>-0.26532921479747562</v>
      </c>
    </row>
    <row r="4" spans="1:11" x14ac:dyDescent="0.2">
      <c r="A4">
        <v>4</v>
      </c>
      <c r="B4">
        <f>(SUM(HS!B6:B13)+Rules!$B$5*HS!B14+HS!B38)/(9+Rules!$B$5)</f>
        <v>-0.25307699440390863</v>
      </c>
      <c r="C4">
        <f>(SUM(HS!C6:C13)+Rules!$B$5*HS!C14+HS!C38)/(9+Rules!$B$5)</f>
        <v>-0.11491332761892134</v>
      </c>
      <c r="D4">
        <f>(SUM(HS!D6:D13)+Rules!$B$5*HS!D14+HS!D38)/(9+Rules!$B$5)</f>
        <v>-8.2613314299744361E-2</v>
      </c>
      <c r="E4">
        <f>(SUM(HS!E6:E13)+Rules!$B$5*HS!E14+HS!E38)/(9+Rules!$B$5)</f>
        <v>-4.9367420106916922E-2</v>
      </c>
      <c r="F4">
        <f>(SUM(HS!F6:F13)+Rules!$B$5*HS!F14+HS!F38)/(9+Rules!$B$5)</f>
        <v>-1.2379926519926384E-2</v>
      </c>
      <c r="G4">
        <f>(SUM(HS!G6:G13)+Rules!$B$5*HS!G14+HS!G38)/(9+Rules!$B$5)</f>
        <v>1.1130417280979797E-2</v>
      </c>
      <c r="H4">
        <f>(SUM(HS!H6:H13)+Rules!$B$5*HS!H14+HS!H38)/(9+Rules!$B$5)</f>
        <v>-8.8279201058463722E-2</v>
      </c>
      <c r="I4">
        <f>(SUM(HS!I6:I13)+Rules!$B$5*HS!I14+HS!I38)/(9+Rules!$B$5)</f>
        <v>-0.15933415266020512</v>
      </c>
      <c r="J4">
        <f>(SUM(HS!J6:J13)+Rules!$B$5*HS!J14+HS!J38)/(9+Rules!$B$5)</f>
        <v>-0.24066617915336547</v>
      </c>
      <c r="K4">
        <f>(SUM(HS!K6:K13)+Rules!$B$5*HS!K14+HS!K38)/(9+Rules!$B$5)</f>
        <v>-0.28919791448567511</v>
      </c>
    </row>
    <row r="5" spans="1:11" x14ac:dyDescent="0.2">
      <c r="A5">
        <v>5</v>
      </c>
      <c r="B5">
        <f>(SUM(HS!B7:B14)+Rules!$B$5*HS!B15+HS!B39)/(9+Rules!$B$5)</f>
        <v>-0.27857459755181968</v>
      </c>
      <c r="C5">
        <f>(SUM(HS!C7:C14)+Rules!$B$5*HS!C15+HS!C39)/(9+Rules!$B$5)</f>
        <v>-0.12821556706374745</v>
      </c>
      <c r="D5">
        <f>(SUM(HS!D7:D14)+Rules!$B$5*HS!D15+HS!D39)/(9+Rules!$B$5)</f>
        <v>-9.5310227261489883E-2</v>
      </c>
      <c r="E5">
        <f>(SUM(HS!E7:E14)+Rules!$B$5*HS!E15+HS!E39)/(9+Rules!$B$5)</f>
        <v>-6.1479464199694238E-2</v>
      </c>
      <c r="F5">
        <f>(SUM(HS!F7:F14)+Rules!$B$5*HS!F15+HS!F39)/(9+Rules!$B$5)</f>
        <v>-2.397897039185962E-2</v>
      </c>
      <c r="G5">
        <f>(SUM(HS!G7:G14)+Rules!$B$5*HS!G15+HS!G39)/(9+Rules!$B$5)</f>
        <v>-1.1863378384401623E-3</v>
      </c>
      <c r="H5">
        <f>(SUM(HS!H7:H14)+Rules!$B$5*HS!H15+HS!H39)/(9+Rules!$B$5)</f>
        <v>-0.11944744188414852</v>
      </c>
      <c r="I5">
        <f>(SUM(HS!I7:I14)+Rules!$B$5*HS!I15+HS!I39)/(9+Rules!$B$5)</f>
        <v>-0.18809330390318524</v>
      </c>
      <c r="J5">
        <f>(SUM(HS!J7:J14)+Rules!$B$5*HS!J15+HS!J39)/(9+Rules!$B$5)</f>
        <v>-0.26661505335795899</v>
      </c>
      <c r="K5">
        <f>(SUM(HS!K7:K14)+Rules!$B$5*HS!K15+HS!K39)/(9+Rules!$B$5)</f>
        <v>-0.31341164336497107</v>
      </c>
    </row>
    <row r="6" spans="1:11" x14ac:dyDescent="0.2">
      <c r="A6">
        <v>6</v>
      </c>
      <c r="B6">
        <f>(SUM(HS!B8:B15)+Rules!$B$5*HS!B16+HS!B40)/(9+Rules!$B$5)</f>
        <v>-0.30414663097569933</v>
      </c>
      <c r="C6">
        <f>(SUM(HS!C8:C15)+Rules!$B$5*HS!C16+HS!C40)/(9+Rules!$B$5)</f>
        <v>-0.14075911746001987</v>
      </c>
      <c r="D6">
        <f>(SUM(HS!D8:D15)+Rules!$B$5*HS!D16+HS!D40)/(9+Rules!$B$5)</f>
        <v>-0.10729107800860836</v>
      </c>
      <c r="E6">
        <f>(SUM(HS!E8:E15)+Rules!$B$5*HS!E16+HS!E40)/(9+Rules!$B$5)</f>
        <v>-7.2917141926387305E-2</v>
      </c>
      <c r="F6">
        <f>(SUM(HS!F8:F15)+Rules!$B$5*HS!F16+HS!F40)/(9+Rules!$B$5)</f>
        <v>-3.4915973330102178E-2</v>
      </c>
      <c r="G6">
        <f>(SUM(HS!G8:G15)+Rules!$B$5*HS!G16+HS!G40)/(9+Rules!$B$5)</f>
        <v>-1.3005835529874294E-2</v>
      </c>
      <c r="H6">
        <f>(SUM(HS!H8:H15)+Rules!$B$5*HS!H16+HS!H40)/(9+Rules!$B$5)</f>
        <v>-0.15193270723669944</v>
      </c>
      <c r="I6">
        <f>(SUM(HS!I8:I15)+Rules!$B$5*HS!I16+HS!I40)/(9+Rules!$B$5)</f>
        <v>-0.21724188132078476</v>
      </c>
      <c r="J6">
        <f>(SUM(HS!J8:J15)+Rules!$B$5*HS!J16+HS!J40)/(9+Rules!$B$5)</f>
        <v>-0.29264070019772598</v>
      </c>
      <c r="K6">
        <f>(SUM(HS!K8:K15)+Rules!$B$5*HS!K16+HS!K40)/(9+Rules!$B$5)</f>
        <v>-0.33774944037840804</v>
      </c>
    </row>
    <row r="7" spans="1:11" x14ac:dyDescent="0.2">
      <c r="A7">
        <v>7</v>
      </c>
      <c r="B7">
        <f>(SUM(HS!B9:B16)+Rules!$B$5*HS!B17+HS!B41)/(9+Rules!$B$5)</f>
        <v>-0.31007165033163697</v>
      </c>
      <c r="C7">
        <f>(SUM(HS!C9:C16)+Rules!$B$5*HS!C17+HS!C41)/(9+Rules!$B$5)</f>
        <v>-0.10918342786661633</v>
      </c>
      <c r="D7">
        <f>(SUM(HS!D9:D16)+Rules!$B$5*HS!D17+HS!D41)/(9+Rules!$B$5)</f>
        <v>-7.658298190446361E-2</v>
      </c>
      <c r="E7">
        <f>(SUM(HS!E9:E16)+Rules!$B$5*HS!E17+HS!E41)/(9+Rules!$B$5)</f>
        <v>-4.3021794004341876E-2</v>
      </c>
      <c r="F7">
        <f>(SUM(HS!F9:F16)+Rules!$B$5*HS!F17+HS!F41)/(9+Rules!$B$5)</f>
        <v>-7.2713609029408845E-3</v>
      </c>
      <c r="G7">
        <f>(SUM(HS!G9:G16)+Rules!$B$5*HS!G17+HS!G41)/(9+Rules!$B$5)</f>
        <v>2.9185342353860864E-2</v>
      </c>
      <c r="H7">
        <f>(SUM(HS!H9:H16)+Rules!$B$5*HS!H17+HS!H41)/(9+Rules!$B$5)</f>
        <v>-6.8807799580427764E-2</v>
      </c>
      <c r="I7">
        <f>(SUM(HS!I9:I16)+Rules!$B$5*HS!I17+HS!I41)/(9+Rules!$B$5)</f>
        <v>-0.21060476872434969</v>
      </c>
      <c r="J7">
        <f>(SUM(HS!J9:J16)+Rules!$B$5*HS!J17+HS!J41)/(9+Rules!$B$5)</f>
        <v>-0.28536544048687656</v>
      </c>
      <c r="K7">
        <f>(SUM(HS!K9:K16)+Rules!$B$5*HS!K17+HS!K41)/(9+Rules!$B$5)</f>
        <v>-0.31905479139833842</v>
      </c>
    </row>
    <row r="8" spans="1:11" x14ac:dyDescent="0.2">
      <c r="A8">
        <v>8</v>
      </c>
      <c r="B8">
        <f>(SUM(HS!B10:B17)+Rules!$B$5*HS!B18+HS!B42)/(9+Rules!$B$5)</f>
        <v>-0.1970288105741636</v>
      </c>
      <c r="C8">
        <f>(SUM(HS!C10:C17)+Rules!$B$5*HS!C18+HS!C42)/(9+Rules!$B$5)</f>
        <v>-2.1798188008805668E-2</v>
      </c>
      <c r="D8">
        <f>(SUM(HS!D10:D17)+Rules!$B$5*HS!D18+HS!D42)/(9+Rules!$B$5)</f>
        <v>8.0052625306546825E-3</v>
      </c>
      <c r="E8">
        <f>(SUM(HS!E10:E17)+Rules!$B$5*HS!E18+HS!E42)/(9+Rules!$B$5)</f>
        <v>3.8784473277208811E-2</v>
      </c>
      <c r="F8">
        <f>(SUM(HS!F10:F17)+Rules!$B$5*HS!F18+HS!F42)/(9+Rules!$B$5)</f>
        <v>7.0804635983033826E-2</v>
      </c>
      <c r="G8">
        <f>(SUM(HS!G10:G17)+Rules!$B$5*HS!G18+HS!G42)/(9+Rules!$B$5)</f>
        <v>0.11496015009622321</v>
      </c>
      <c r="H8">
        <f>(SUM(HS!H10:H17)+Rules!$B$5*HS!H18+HS!H42)/(9+Rules!$B$5)</f>
        <v>8.2207439363742862E-2</v>
      </c>
      <c r="I8">
        <f>(SUM(HS!I10:I17)+Rules!$B$5*HS!I18+HS!I42)/(9+Rules!$B$5)</f>
        <v>-5.9898275658656304E-2</v>
      </c>
      <c r="J8">
        <f>(SUM(HS!J10:J17)+Rules!$B$5*HS!J18+HS!J42)/(9+Rules!$B$5)</f>
        <v>-0.21018633199821757</v>
      </c>
      <c r="K8">
        <f>(SUM(HS!K10:K17)+Rules!$B$5*HS!K18+HS!K42)/(9+Rules!$B$5)</f>
        <v>-0.24937508055334259</v>
      </c>
    </row>
    <row r="9" spans="1:11" x14ac:dyDescent="0.2">
      <c r="A9">
        <v>9</v>
      </c>
      <c r="B9">
        <f>(SUM(HS!B11:B18)+Rules!$B$5*HS!B19+HS!B43)/(9+Rules!$B$5)</f>
        <v>-6.5680778778066204E-2</v>
      </c>
      <c r="C9">
        <f>(SUM(HS!C11:C18)+Rules!$B$5*HS!C19+HS!C43)/(9+Rules!$B$5)</f>
        <v>7.4446037576340524E-2</v>
      </c>
      <c r="D9">
        <f>(SUM(HS!D11:D18)+Rules!$B$5*HS!D19+HS!D43)/(9+Rules!$B$5)</f>
        <v>0.10126470173887674</v>
      </c>
      <c r="E9">
        <f>(SUM(HS!E11:E18)+Rules!$B$5*HS!E19+HS!E43)/(9+Rules!$B$5)</f>
        <v>0.12898088119574178</v>
      </c>
      <c r="F9">
        <f>(SUM(HS!F11:F18)+Rules!$B$5*HS!F19+HS!F43)/(9+Rules!$B$5)</f>
        <v>0.15803185626651736</v>
      </c>
      <c r="G9">
        <f>(SUM(HS!G11:G18)+Rules!$B$5*HS!G19+HS!G43)/(9+Rules!$B$5)</f>
        <v>0.19601883925727878</v>
      </c>
      <c r="H9">
        <f>(SUM(HS!H11:H18)+Rules!$B$5*HS!H19+HS!H43)/(9+Rules!$B$5)</f>
        <v>0.17186785993695267</v>
      </c>
      <c r="I9">
        <f>(SUM(HS!I11:I18)+Rules!$B$5*HS!I19+HS!I43)/(9+Rules!$B$5)</f>
        <v>9.8376217435392516E-2</v>
      </c>
      <c r="J9">
        <f>(SUM(HS!J11:J18)+Rules!$B$5*HS!J19+HS!J43)/(9+Rules!$B$5)</f>
        <v>-5.2178053462651669E-2</v>
      </c>
      <c r="K9">
        <f>(SUM(HS!K11:K18)+Rules!$B$5*HS!K19+HS!K43)/(9+Rules!$B$5)</f>
        <v>-0.15295298487455075</v>
      </c>
    </row>
    <row r="10" spans="1:11" x14ac:dyDescent="0.2">
      <c r="A10">
        <v>10</v>
      </c>
      <c r="B10">
        <f>(SUM(HS!B12:B19)+Rules!$B$5*HS!B20+HS!B44)/(9+Rules!$B$5)</f>
        <v>8.1449707945275923E-2</v>
      </c>
      <c r="C10">
        <f>(SUM(HS!C12:C19)+Rules!$B$5*HS!C20+HS!C44)/(9+Rules!$B$5)</f>
        <v>0.18249999400904487</v>
      </c>
      <c r="D10">
        <f>(SUM(HS!D12:D19)+Rules!$B$5*HS!D20+HS!D44)/(9+Rules!$B$5)</f>
        <v>0.20608797581394089</v>
      </c>
      <c r="E10">
        <f>(SUM(HS!E12:E19)+Rules!$B$5*HS!E20+HS!E44)/(9+Rules!$B$5)</f>
        <v>0.230470121897177</v>
      </c>
      <c r="F10">
        <f>(SUM(HS!F12:F19)+Rules!$B$5*HS!F20+HS!F44)/(9+Rules!$B$5)</f>
        <v>0.25625855450163387</v>
      </c>
      <c r="G10">
        <f>(SUM(HS!G12:G19)+Rules!$B$5*HS!G20+HS!G44)/(9+Rules!$B$5)</f>
        <v>0.28779508429888429</v>
      </c>
      <c r="H10">
        <f>(SUM(HS!H12:H19)+Rules!$B$5*HS!H20+HS!H44)/(9+Rules!$B$5)</f>
        <v>0.25690874433608657</v>
      </c>
      <c r="I10">
        <f>(SUM(HS!I12:I19)+Rules!$B$5*HS!I20+HS!I44)/(9+Rules!$B$5)</f>
        <v>0.19795370833197609</v>
      </c>
      <c r="J10">
        <f>(SUM(HS!J12:J19)+Rules!$B$5*HS!J20+HS!J44)/(9+Rules!$B$5)</f>
        <v>0.1165295910692839</v>
      </c>
      <c r="K10">
        <f>(SUM(HS!K12:K19)+Rules!$B$5*HS!K20+HS!K44)/(9+Rules!$B$5)</f>
        <v>2.5308523040868145E-2</v>
      </c>
    </row>
    <row r="11" spans="1:11" x14ac:dyDescent="0.2">
      <c r="A11">
        <v>11</v>
      </c>
      <c r="B11">
        <f>(SUM(HS!B12:B20)+Rules!$B$5*HS!B21)/(9+Rules!$B$5)</f>
        <v>0.14300128216153027</v>
      </c>
      <c r="C11">
        <f>(SUM(HS!C12:C20)+Rules!$B$5*HS!C21)/(9+Rules!$B$5)</f>
        <v>0.2383507494576298</v>
      </c>
      <c r="D11">
        <f>(SUM(HS!D12:D20)+Rules!$B$5*HS!D21)/(9+Rules!$B$5)</f>
        <v>0.26032526728707961</v>
      </c>
      <c r="E11">
        <f>(SUM(HS!E12:E20)+Rules!$B$5*HS!E21)/(9+Rules!$B$5)</f>
        <v>0.28302027520898798</v>
      </c>
      <c r="F11">
        <f>(SUM(HS!F12:F20)+Rules!$B$5*HS!F21)/(9+Rules!$B$5)</f>
        <v>0.30734950895451402</v>
      </c>
      <c r="G11">
        <f>(SUM(HS!G12:G20)+Rules!$B$5*HS!G21)/(9+Rules!$B$5)</f>
        <v>0.33369004745378472</v>
      </c>
      <c r="H11">
        <f>(SUM(HS!H12:H20)+Rules!$B$5*HS!H21)/(9+Rules!$B$5)</f>
        <v>0.29214699112701309</v>
      </c>
      <c r="I11">
        <f>(SUM(HS!I12:I20)+Rules!$B$5*HS!I21)/(9+Rules!$B$5)</f>
        <v>0.22998214532399169</v>
      </c>
      <c r="J11">
        <f>(SUM(HS!J12:J20)+Rules!$B$5*HS!J21)/(9+Rules!$B$5)</f>
        <v>0.15825711845512572</v>
      </c>
      <c r="K11">
        <f>(SUM(HS!K12:K20)+Rules!$B$5*HS!K21)/(9+Rules!$B$5)</f>
        <v>0.11948223076371363</v>
      </c>
    </row>
    <row r="12" spans="1:11" x14ac:dyDescent="0.2">
      <c r="A12">
        <v>12</v>
      </c>
      <c r="B12">
        <f>(SUM(HS!B13:B21)+Rules!$B$5*HS!B22)/(9+Rules!$B$5)</f>
        <v>-0.35054034044008009</v>
      </c>
      <c r="C12">
        <f>(SUM(HS!C13:C21)+Rules!$B$5*HS!C22)/(9+Rules!$B$5)</f>
        <v>-0.25338998596663809</v>
      </c>
      <c r="D12">
        <f>(SUM(HS!D13:D21)+Rules!$B$5*HS!D22)/(9+Rules!$B$5)</f>
        <v>-0.2336908997980866</v>
      </c>
      <c r="E12">
        <f>(SUM(HS!E13:E21)+Rules!$B$5*HS!E22)/(9+Rules!$B$5)</f>
        <v>-0.21353655324507695</v>
      </c>
      <c r="F12">
        <f>(SUM(HS!F13:F21)+Rules!$B$5*HS!F22)/(9+Rules!$B$5)</f>
        <v>-0.19327116942628339</v>
      </c>
      <c r="G12">
        <f>(SUM(HS!G13:G21)+Rules!$B$5*HS!G22)/(9+Rules!$B$5)</f>
        <v>-0.17052619990757953</v>
      </c>
      <c r="H12">
        <f>(SUM(HS!H13:H21)+Rules!$B$5*HS!H22)/(9+Rules!$B$5)</f>
        <v>-0.21284771451731424</v>
      </c>
      <c r="I12">
        <f>(SUM(HS!I13:I21)+Rules!$B$5*HS!I22)/(9+Rules!$B$5)</f>
        <v>-0.27157480502428616</v>
      </c>
      <c r="J12">
        <f>(SUM(HS!J13:J21)+Rules!$B$5*HS!J22)/(9+Rules!$B$5)</f>
        <v>-0.3400132806089356</v>
      </c>
      <c r="K12">
        <f>(SUM(HS!K13:K21)+Rules!$B$5*HS!K22)/(9+Rules!$B$5)</f>
        <v>-0.38104299284808768</v>
      </c>
    </row>
    <row r="13" spans="1:11" x14ac:dyDescent="0.2">
      <c r="A13">
        <v>13</v>
      </c>
      <c r="B13">
        <f>(SUM(HS!B14:B22)+Rules!$B$5*HS!B23)/(9+Rules!$B$5)</f>
        <v>-0.3969303161229315</v>
      </c>
      <c r="C13">
        <f>(SUM(HS!C14:C22)+Rules!$B$5*HS!C23)/(9+Rules!$B$5)</f>
        <v>-0.30779123771977057</v>
      </c>
      <c r="D13">
        <f>(SUM(HS!D14:D22)+Rules!$B$5*HS!D23)/(9+Rules!$B$5)</f>
        <v>-0.29121011293380095</v>
      </c>
      <c r="E13">
        <f>(SUM(HS!E14:E22)+Rules!$B$5*HS!E23)/(9+Rules!$B$5)</f>
        <v>-0.27422400639931432</v>
      </c>
      <c r="F13">
        <f>(SUM(HS!F14:F22)+Rules!$B$5*HS!F23)/(9+Rules!$B$5)</f>
        <v>-0.25733327243893911</v>
      </c>
      <c r="G13">
        <f>(SUM(HS!G14:G22)+Rules!$B$5*HS!G23)/(9+Rules!$B$5)</f>
        <v>-0.23562627561296379</v>
      </c>
      <c r="H13">
        <f>(SUM(HS!H14:H22)+Rules!$B$5*HS!H23)/(9+Rules!$B$5)</f>
        <v>-0.26907287776607752</v>
      </c>
      <c r="I13">
        <f>(SUM(HS!I14:I22)+Rules!$B$5*HS!I23)/(9+Rules!$B$5)</f>
        <v>-0.32360517609397998</v>
      </c>
      <c r="J13">
        <f>(SUM(HS!J14:J22)+Rules!$B$5*HS!J23)/(9+Rules!$B$5)</f>
        <v>-0.38715518913686875</v>
      </c>
      <c r="K13">
        <f>(SUM(HS!K14:K22)+Rules!$B$5*HS!K23)/(9+Rules!$B$5)</f>
        <v>-0.42525420764465277</v>
      </c>
    </row>
    <row r="14" spans="1:11" x14ac:dyDescent="0.2">
      <c r="A14">
        <v>14</v>
      </c>
      <c r="B14">
        <f>(SUM(HS!B15:B23)+Rules!$B$5*HS!B24)/(9+Rules!$B$5)</f>
        <v>-0.44000672211415065</v>
      </c>
      <c r="C14">
        <f>(SUM(HS!C15:C23)+Rules!$B$5*HS!C24)/(9+Rules!$B$5)</f>
        <v>-0.36219248947290311</v>
      </c>
      <c r="D14">
        <f>(SUM(HS!D15:D23)+Rules!$B$5*HS!D24)/(9+Rules!$B$5)</f>
        <v>-0.34872932606951529</v>
      </c>
      <c r="E14">
        <f>(SUM(HS!E15:E23)+Rules!$B$5*HS!E24)/(9+Rules!$B$5)</f>
        <v>-0.33491145955355167</v>
      </c>
      <c r="F14">
        <f>(SUM(HS!F15:F23)+Rules!$B$5*HS!F24)/(9+Rules!$B$5)</f>
        <v>-0.32139537545159491</v>
      </c>
      <c r="G14">
        <f>(SUM(HS!G15:G23)+Rules!$B$5*HS!G24)/(9+Rules!$B$5)</f>
        <v>-0.30072635131834807</v>
      </c>
      <c r="H14">
        <f>(SUM(HS!H15:H23)+Rules!$B$5*HS!H24)/(9+Rules!$B$5)</f>
        <v>-0.3212819579256434</v>
      </c>
      <c r="I14">
        <f>(SUM(HS!I15:I23)+Rules!$B$5*HS!I24)/(9+Rules!$B$5)</f>
        <v>-0.37191909208726714</v>
      </c>
      <c r="J14">
        <f>(SUM(HS!J15:J23)+Rules!$B$5*HS!J24)/(9+Rules!$B$5)</f>
        <v>-0.43092981848423528</v>
      </c>
      <c r="K14">
        <f>(SUM(HS!K15:K23)+Rules!$B$5*HS!K24)/(9+Rules!$B$5)</f>
        <v>-0.46630747852717758</v>
      </c>
    </row>
    <row r="15" spans="1:11" x14ac:dyDescent="0.2">
      <c r="A15">
        <v>15</v>
      </c>
      <c r="B15">
        <f>(SUM(HS!B16:B24)+Rules!$B$5*HS!B25)/(9+Rules!$B$5)</f>
        <v>-0.4800062419631399</v>
      </c>
      <c r="C15">
        <f>(SUM(HS!C16:C24)+Rules!$B$5*HS!C25)/(9+Rules!$B$5)</f>
        <v>-0.4165937412260356</v>
      </c>
      <c r="D15">
        <f>(SUM(HS!D16:D24)+Rules!$B$5*HS!D25)/(9+Rules!$B$5)</f>
        <v>-0.40624853920522963</v>
      </c>
      <c r="E15">
        <f>(SUM(HS!E16:E24)+Rules!$B$5*HS!E25)/(9+Rules!$B$5)</f>
        <v>-0.39559891270778902</v>
      </c>
      <c r="F15">
        <f>(SUM(HS!F16:F24)+Rules!$B$5*HS!F25)/(9+Rules!$B$5)</f>
        <v>-0.38545747846425066</v>
      </c>
      <c r="G15">
        <f>(SUM(HS!G16:G24)+Rules!$B$5*HS!G25)/(9+Rules!$B$5)</f>
        <v>-0.36582642702373236</v>
      </c>
      <c r="H15">
        <f>(SUM(HS!H16:H24)+Rules!$B$5*HS!H25)/(9+Rules!$B$5)</f>
        <v>-0.36976181807381175</v>
      </c>
      <c r="I15">
        <f>(SUM(HS!I16:I24)+Rules!$B$5*HS!I25)/(9+Rules!$B$5)</f>
        <v>-0.41678201408103371</v>
      </c>
      <c r="J15">
        <f>(SUM(HS!J16:J24)+Rules!$B$5*HS!J25)/(9+Rules!$B$5)</f>
        <v>-0.47157768859250415</v>
      </c>
      <c r="K15">
        <f>(SUM(HS!K16:K24)+Rules!$B$5*HS!K25)/(9+Rules!$B$5)</f>
        <v>-0.5044283729180935</v>
      </c>
    </row>
    <row r="16" spans="1:11" x14ac:dyDescent="0.2">
      <c r="A16">
        <v>16</v>
      </c>
      <c r="B16">
        <f>(SUM(HS!B17:B25)+Rules!$B$5*HS!B26)/(9+Rules!$B$5)</f>
        <v>-0.51714865325148707</v>
      </c>
      <c r="C16">
        <f>(SUM(HS!C17:C25)+Rules!$B$5*HS!C26)/(9+Rules!$B$5)</f>
        <v>-0.47099499297916808</v>
      </c>
      <c r="D16">
        <f>(SUM(HS!D17:D25)+Rules!$B$5*HS!D26)/(9+Rules!$B$5)</f>
        <v>-0.46376775234094403</v>
      </c>
      <c r="E16">
        <f>(SUM(HS!E17:E25)+Rules!$B$5*HS!E26)/(9+Rules!$B$5)</f>
        <v>-0.45628636586202637</v>
      </c>
      <c r="F16">
        <f>(SUM(HS!F17:F25)+Rules!$B$5*HS!F26)/(9+Rules!$B$5)</f>
        <v>-0.4495195814769064</v>
      </c>
      <c r="G16">
        <f>(SUM(HS!G17:G25)+Rules!$B$5*HS!G26)/(9+Rules!$B$5)</f>
        <v>-0.43092650272911659</v>
      </c>
      <c r="H16">
        <f>(SUM(HS!H17:H25)+Rules!$B$5*HS!H26)/(9+Rules!$B$5)</f>
        <v>-0.41477883106853947</v>
      </c>
      <c r="I16">
        <f>(SUM(HS!I17:I25)+Rules!$B$5*HS!I26)/(9+Rules!$B$5)</f>
        <v>-0.45844044164667419</v>
      </c>
      <c r="J16">
        <f>(SUM(HS!J17:J25)+Rules!$B$5*HS!J26)/(9+Rules!$B$5)</f>
        <v>-0.50932213940732529</v>
      </c>
      <c r="K16">
        <f>(SUM(HS!K17:K25)+Rules!$B$5*HS!K26)/(9+Rules!$B$5)</f>
        <v>-0.53982634628108683</v>
      </c>
    </row>
    <row r="17" spans="1:11" x14ac:dyDescent="0.2">
      <c r="A17">
        <v>17</v>
      </c>
      <c r="B17">
        <f>(SUM(HS!B18:B26)+Rules!$B$5*HS!B27)/(9+Rules!$B$5)</f>
        <v>-0.55729992440573806</v>
      </c>
      <c r="C17">
        <f>(SUM(HS!C18:C26)+Rules!$B$5*HS!C27)/(9+Rules!$B$5)</f>
        <v>-0.53615079392674181</v>
      </c>
      <c r="D17">
        <f>(SUM(HS!D18:D26)+Rules!$B$5*HS!D27)/(9+Rules!$B$5)</f>
        <v>-0.53167419530828453</v>
      </c>
      <c r="E17">
        <f>(SUM(HS!E18:E26)+Rules!$B$5*HS!E27)/(9+Rules!$B$5)</f>
        <v>-0.52701149100469435</v>
      </c>
      <c r="F17">
        <f>(SUM(HS!F18:F26)+Rules!$B$5*HS!F27)/(9+Rules!$B$5)</f>
        <v>-0.52298562951037375</v>
      </c>
      <c r="G17">
        <f>(SUM(HS!G18:G26)+Rules!$B$5*HS!G27)/(9+Rules!$B$5)</f>
        <v>-0.50875259201168133</v>
      </c>
      <c r="H17">
        <f>(SUM(HS!H18:H26)+Rules!$B$5*HS!H27)/(9+Rules!$B$5)</f>
        <v>-0.48348583187756294</v>
      </c>
      <c r="I17">
        <f>(SUM(HS!I18:I26)+Rules!$B$5*HS!I27)/(9+Rules!$B$5)</f>
        <v>-0.50598267464294744</v>
      </c>
      <c r="J17">
        <f>(SUM(HS!J18:J26)+Rules!$B$5*HS!J27)/(9+Rules!$B$5)</f>
        <v>-0.55369489020384699</v>
      </c>
      <c r="K17">
        <f>(SUM(HS!K18:K26)+Rules!$B$5*HS!K27)/(9+Rules!$B$5)</f>
        <v>-0.5844632205942546</v>
      </c>
    </row>
    <row r="18" spans="1:11" x14ac:dyDescent="0.2">
      <c r="A18">
        <v>18</v>
      </c>
      <c r="B18">
        <f>(SUM(HS!B19:B27)+Rules!$B$5*HS!B28)/(9+Rules!$B$5)</f>
        <v>-0.62651539551241564</v>
      </c>
      <c r="C18">
        <f>(SUM(HS!C19:C27)+Rules!$B$5*HS!C28)/(9+Rules!$B$5)</f>
        <v>-0.62243863255911769</v>
      </c>
      <c r="D18">
        <f>(SUM(HS!D19:D27)+Rules!$B$5*HS!D28)/(9+Rules!$B$5)</f>
        <v>-0.62000497014223144</v>
      </c>
      <c r="E18">
        <f>(SUM(HS!E19:E27)+Rules!$B$5*HS!E28)/(9+Rules!$B$5)</f>
        <v>-0.6174618323275779</v>
      </c>
      <c r="F18">
        <f>(SUM(HS!F19:F27)+Rules!$B$5*HS!F28)/(9+Rules!$B$5)</f>
        <v>-0.6152595675854643</v>
      </c>
      <c r="G18">
        <f>(SUM(HS!G19:G27)+Rules!$B$5*HS!G28)/(9+Rules!$B$5)</f>
        <v>-0.60747904709221201</v>
      </c>
      <c r="H18">
        <f>(SUM(HS!H19:H27)+Rules!$B$5*HS!H28)/(9+Rules!$B$5)</f>
        <v>-0.59114384474960535</v>
      </c>
      <c r="I18">
        <f>(SUM(HS!I19:I27)+Rules!$B$5*HS!I28)/(9+Rules!$B$5)</f>
        <v>-0.59105585530595706</v>
      </c>
      <c r="J18">
        <f>(SUM(HS!J19:J27)+Rules!$B$5*HS!J28)/(9+Rules!$B$5)</f>
        <v>-0.61652847815204459</v>
      </c>
      <c r="K18">
        <f>(SUM(HS!K19:K27)+Rules!$B$5*HS!K28)/(9+Rules!$B$5)</f>
        <v>-0.64767081799452453</v>
      </c>
    </row>
    <row r="19" spans="1:11" x14ac:dyDescent="0.2">
      <c r="A19">
        <v>19</v>
      </c>
      <c r="B19">
        <f>(SUM(HS!B20:B28)+Rules!$B$5*HS!B29)/(9+Rules!$B$5)</f>
        <v>-0.72479506657152004</v>
      </c>
      <c r="C19">
        <f>(SUM(HS!C20:C28)+Rules!$B$5*HS!C29)/(9+Rules!$B$5)</f>
        <v>-0.72907745456070161</v>
      </c>
      <c r="D19">
        <f>(SUM(HS!D20:D28)+Rules!$B$5*HS!D29)/(9+Rules!$B$5)</f>
        <v>-0.72803288834205915</v>
      </c>
      <c r="E19">
        <f>(SUM(HS!E20:E28)+Rules!$B$5*HS!E29)/(9+Rules!$B$5)</f>
        <v>-0.72693713423738526</v>
      </c>
      <c r="F19">
        <f>(SUM(HS!F20:F28)+Rules!$B$5*HS!F29)/(9+Rules!$B$5)</f>
        <v>-0.72599126790553226</v>
      </c>
      <c r="G19">
        <f>(SUM(HS!G20:G28)+Rules!$B$5*HS!G29)/(9+Rules!$B$5)</f>
        <v>-0.72255420661431358</v>
      </c>
      <c r="H19">
        <f>(SUM(HS!H20:H28)+Rules!$B$5*HS!H29)/(9+Rules!$B$5)</f>
        <v>-0.71544972903833093</v>
      </c>
      <c r="I19">
        <f>(SUM(HS!I20:I28)+Rules!$B$5*HS!I29)/(9+Rules!$B$5)</f>
        <v>-0.71365998363570271</v>
      </c>
      <c r="J19">
        <f>(SUM(HS!J20:J28)+Rules!$B$5*HS!J29)/(9+Rules!$B$5)</f>
        <v>-0.71557438254185846</v>
      </c>
      <c r="K19">
        <f>(SUM(HS!K20:K28)+Rules!$B$5*HS!K29)/(9+Rules!$B$5)</f>
        <v>-0.72944913848189696</v>
      </c>
    </row>
    <row r="20" spans="1:11" x14ac:dyDescent="0.2">
      <c r="A20">
        <v>20</v>
      </c>
      <c r="B20">
        <f>(SUM(HS!B21:B29)+Rules!$B$5*HS!B30)/(9+Rules!$B$5)</f>
        <v>-0.85213893758305082</v>
      </c>
      <c r="C20">
        <f>(SUM(HS!C21:C29)+Rules!$B$5*HS!C30)/(9+Rules!$B$5)</f>
        <v>-0.85523026803891988</v>
      </c>
      <c r="D20">
        <f>(SUM(HS!D21:D29)+Rules!$B$5*HS!D30)/(9+Rules!$B$5)</f>
        <v>-0.85497689559217327</v>
      </c>
      <c r="E20">
        <f>(SUM(HS!E21:E29)+Rules!$B$5*HS!E30)/(9+Rules!$B$5)</f>
        <v>-0.85471020823339083</v>
      </c>
      <c r="F20">
        <f>(SUM(HS!F21:F29)+Rules!$B$5*HS!F30)/(9+Rules!$B$5)</f>
        <v>-0.85448047487728607</v>
      </c>
      <c r="G20">
        <f>(SUM(HS!G21:G29)+Rules!$B$5*HS!G30)/(9+Rules!$B$5)</f>
        <v>-0.85362794278133991</v>
      </c>
      <c r="H20">
        <f>(SUM(HS!H21:H29)+Rules!$B$5*HS!H30)/(9+Rules!$B$5)</f>
        <v>-0.85185182338734444</v>
      </c>
      <c r="I20">
        <f>(SUM(HS!I21:I29)+Rules!$B$5*HS!I30)/(9+Rules!$B$5)</f>
        <v>-0.85149191898584875</v>
      </c>
      <c r="J20">
        <f>(SUM(HS!J21:J29)+Rules!$B$5*HS!J30)/(9+Rules!$B$5)</f>
        <v>-0.85083260337328892</v>
      </c>
      <c r="K20">
        <f>(SUM(HS!K21:K29)+Rules!$B$5*HS!K30)/(9+Rules!$B$5)</f>
        <v>-0.84902895128714095</v>
      </c>
    </row>
    <row r="21" spans="1:11" x14ac:dyDescent="0.2">
      <c r="A21">
        <v>21</v>
      </c>
      <c r="B21">
        <f>(SUM(HS!B22:B30)+Rules!$B$5*HS!B31)/(9+Rules!$B$5)</f>
        <v>-1</v>
      </c>
      <c r="C21">
        <f>(SUM(HS!C22:C30)+Rules!$B$5*HS!C31)/(9+Rules!$B$5)</f>
        <v>-1</v>
      </c>
      <c r="D21">
        <f>(SUM(HS!D22:D30)+Rules!$B$5*HS!D31)/(9+Rules!$B$5)</f>
        <v>-1</v>
      </c>
      <c r="E21">
        <f>(SUM(HS!E22:E30)+Rules!$B$5*HS!E31)/(9+Rules!$B$5)</f>
        <v>-1</v>
      </c>
      <c r="F21">
        <f>(SUM(HS!F22:F30)+Rules!$B$5*HS!F31)/(9+Rules!$B$5)</f>
        <v>-1</v>
      </c>
      <c r="G21">
        <f>(SUM(HS!G22:G30)+Rules!$B$5*HS!G31)/(9+Rules!$B$5)</f>
        <v>-1</v>
      </c>
      <c r="H21">
        <f>(SUM(HS!H22:H30)+Rules!$B$5*HS!H31)/(9+Rules!$B$5)</f>
        <v>-1</v>
      </c>
      <c r="I21">
        <f>(SUM(HS!I22:I30)+Rules!$B$5*HS!I31)/(9+Rules!$B$5)</f>
        <v>-1</v>
      </c>
      <c r="J21">
        <f>(SUM(HS!J22:J30)+Rules!$B$5*HS!J31)/(9+Rules!$B$5)</f>
        <v>-1</v>
      </c>
      <c r="K21">
        <f>(SUM(HS!K22:K30)+Rules!$B$5*HS!K31)/(9+Rules!$B$5)</f>
        <v>-1</v>
      </c>
    </row>
    <row r="22" spans="1:11" x14ac:dyDescent="0.2">
      <c r="A22">
        <v>22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2">
      <c r="A23">
        <v>23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2">
      <c r="A24">
        <v>24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2">
      <c r="A25">
        <v>25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2">
      <c r="A26">
        <v>26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2">
      <c r="A27">
        <v>27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2">
      <c r="A28">
        <v>28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2">
      <c r="A29">
        <v>29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0" spans="1:11" x14ac:dyDescent="0.2">
      <c r="A30">
        <v>30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</row>
    <row r="31" spans="1:11" x14ac:dyDescent="0.2">
      <c r="A31">
        <v>31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</row>
    <row r="33" spans="1:11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</row>
    <row r="34" spans="1:11" x14ac:dyDescent="0.2">
      <c r="A34">
        <v>11</v>
      </c>
      <c r="B34">
        <f>(SUM(HS!B35:B43)+Rules!$B$5*HS!B44)/(9+Rules!$B$5)</f>
        <v>0.29861942370404337</v>
      </c>
      <c r="C34">
        <f>(SUM(HS!C35:C43)+Rules!$B$5*HS!C44)/(9+Rules!$B$5)</f>
        <v>0.3696374242362967</v>
      </c>
      <c r="D34">
        <f>(SUM(HS!D35:D43)+Rules!$B$5*HS!D44)/(9+Rules!$B$5)</f>
        <v>0.38767410174512951</v>
      </c>
      <c r="E34">
        <f>(SUM(HS!E35:E43)+Rules!$B$5*HS!E44)/(9+Rules!$B$5)</f>
        <v>0.40637639293641487</v>
      </c>
      <c r="F34">
        <f>(SUM(HS!F35:F43)+Rules!$B$5*HS!F44)/(9+Rules!$B$5)</f>
        <v>0.42575273133176267</v>
      </c>
      <c r="G34">
        <f>(SUM(HS!G35:G43)+Rules!$B$5*HS!G44)/(9+Rules!$B$5)</f>
        <v>0.45589668319225651</v>
      </c>
      <c r="H34">
        <f>(SUM(HS!H35:H43)+Rules!$B$5*HS!H44)/(9+Rules!$B$5)</f>
        <v>0.45736852128859351</v>
      </c>
      <c r="I34">
        <f>(SUM(HS!I35:I43)+Rules!$B$5*HS!I44)/(9+Rules!$B$5)</f>
        <v>0.40074805174057648</v>
      </c>
      <c r="J34">
        <f>(SUM(HS!J35:J43)+Rules!$B$5*HS!J44)/(9+Rules!$B$5)</f>
        <v>0.32142328174266549</v>
      </c>
      <c r="K34">
        <f>(SUM(HS!K35:K43)+Rules!$B$5*HS!K44)/(9+Rules!$B$5)</f>
        <v>0.26400071601402691</v>
      </c>
    </row>
    <row r="35" spans="1:11" x14ac:dyDescent="0.2">
      <c r="A35">
        <v>12</v>
      </c>
      <c r="B35">
        <f>(SUM(HS!B36:B44)+Rules!$B$5*HS!B45)/(9+Rules!$B$5)</f>
        <v>-2.0477877704912145E-2</v>
      </c>
      <c r="C35">
        <f>(SUM(HS!C36:C44)+Rules!$B$5*HS!C45)/(9+Rules!$B$5)</f>
        <v>8.1836216051656044E-2</v>
      </c>
      <c r="D35">
        <f>(SUM(HS!D36:D44)+Rules!$B$5*HS!D45)/(9+Rules!$B$5)</f>
        <v>0.10350704654207775</v>
      </c>
      <c r="E35">
        <f>(SUM(HS!E36:E44)+Rules!$B$5*HS!E45)/(9+Rules!$B$5)</f>
        <v>0.12659562809256977</v>
      </c>
      <c r="F35">
        <f>(SUM(HS!F36:F44)+Rules!$B$5*HS!F45)/(9+Rules!$B$5)</f>
        <v>0.15648238458465519</v>
      </c>
      <c r="G35">
        <f>(SUM(HS!G36:G44)+Rules!$B$5*HS!G45)/(9+Rules!$B$5)</f>
        <v>0.18595361333225549</v>
      </c>
      <c r="H35">
        <f>(SUM(HS!H36:H44)+Rules!$B$5*HS!H45)/(9+Rules!$B$5)</f>
        <v>0.16547293077063496</v>
      </c>
      <c r="I35">
        <f>(SUM(HS!I36:I44)+Rules!$B$5*HS!I45)/(9+Rules!$B$5)</f>
        <v>9.5115020927032265E-2</v>
      </c>
      <c r="J35">
        <f>(SUM(HS!J36:J44)+Rules!$B$5*HS!J45)/(9+Rules!$B$5)</f>
        <v>6.5790841226914386E-5</v>
      </c>
      <c r="K35">
        <f>(SUM(HS!K36:K44)+Rules!$B$5*HS!K45)/(9+Rules!$B$5)</f>
        <v>-7.0002397357964694E-2</v>
      </c>
    </row>
    <row r="36" spans="1:11" x14ac:dyDescent="0.2">
      <c r="A36">
        <v>13</v>
      </c>
      <c r="B36">
        <f>(SUM(HS!B37:B45)+Rules!$B$5*HS!B46)/(9+Rules!$B$5)</f>
        <v>-5.7308046666810254E-2</v>
      </c>
      <c r="C36">
        <f>(SUM(HS!C37:C45)+Rules!$B$5*HS!C46)/(9+Rules!$B$5)</f>
        <v>4.6636132695309578E-2</v>
      </c>
      <c r="D36">
        <f>(SUM(HS!D37:D45)+Rules!$B$5*HS!D46)/(9+Rules!$B$5)</f>
        <v>7.4118813392744051E-2</v>
      </c>
      <c r="E36">
        <f>(SUM(HS!E37:E45)+Rules!$B$5*HS!E46)/(9+Rules!$B$5)</f>
        <v>0.10247714687203523</v>
      </c>
      <c r="F36">
        <f>(SUM(HS!F37:F45)+Rules!$B$5*HS!F46)/(9+Rules!$B$5)</f>
        <v>0.13336273848321728</v>
      </c>
      <c r="G36">
        <f>(SUM(HS!G37:G45)+Rules!$B$5*HS!G46)/(9+Rules!$B$5)</f>
        <v>0.16169271124923693</v>
      </c>
      <c r="H36">
        <f>(SUM(HS!H37:H45)+Rules!$B$5*HS!H46)/(9+Rules!$B$5)</f>
        <v>0.12238569517899196</v>
      </c>
      <c r="I36">
        <f>(SUM(HS!I37:I45)+Rules!$B$5*HS!I46)/(9+Rules!$B$5)</f>
        <v>5.4057070196311299E-2</v>
      </c>
      <c r="J36">
        <f>(SUM(HS!J37:J45)+Rules!$B$5*HS!J46)/(9+Rules!$B$5)</f>
        <v>-3.7694688127479885E-2</v>
      </c>
      <c r="K36">
        <f>(SUM(HS!K37:K45)+Rules!$B$5*HS!K46)/(9+Rules!$B$5)</f>
        <v>-0.10485135840627779</v>
      </c>
    </row>
    <row r="37" spans="1:11" x14ac:dyDescent="0.2">
      <c r="A37">
        <v>14</v>
      </c>
      <c r="B37">
        <f>(SUM(HS!B38:B46)+Rules!$B$5*HS!B47)/(9+Rules!$B$5)</f>
        <v>-9.3874324768310105E-2</v>
      </c>
      <c r="C37">
        <f>(SUM(HS!C38:C46)+Rules!$B$5*HS!C47)/(9+Rules!$B$5)</f>
        <v>2.2391856987839083E-2</v>
      </c>
      <c r="D37">
        <f>(SUM(HS!D38:D46)+Rules!$B$5*HS!D47)/(9+Rules!$B$5)</f>
        <v>5.0806738919282814E-2</v>
      </c>
      <c r="E37">
        <f>(SUM(HS!E38:E46)+Rules!$B$5*HS!E47)/(9+Rules!$B$5)</f>
        <v>8.0081414310110233E-2</v>
      </c>
      <c r="F37">
        <f>(SUM(HS!F38:F46)+Rules!$B$5*HS!F47)/(9+Rules!$B$5)</f>
        <v>0.11189449567473925</v>
      </c>
      <c r="G37">
        <f>(SUM(HS!G38:G46)+Rules!$B$5*HS!G47)/(9+Rules!$B$5)</f>
        <v>0.1391647307435768</v>
      </c>
      <c r="H37">
        <f>(SUM(HS!H38:H46)+Rules!$B$5*HS!H47)/(9+Rules!$B$5)</f>
        <v>7.9507488494468148E-2</v>
      </c>
      <c r="I37">
        <f>(SUM(HS!I38:I46)+Rules!$B$5*HS!I47)/(9+Rules!$B$5)</f>
        <v>1.3277219463208444E-2</v>
      </c>
      <c r="J37">
        <f>(SUM(HS!J38:J46)+Rules!$B$5*HS!J47)/(9+Rules!$B$5)</f>
        <v>-7.516318944168382E-2</v>
      </c>
      <c r="K37">
        <f>(SUM(HS!K38:K46)+Rules!$B$5*HS!K47)/(9+Rules!$B$5)</f>
        <v>-0.13946678217545452</v>
      </c>
    </row>
    <row r="38" spans="1:11" x14ac:dyDescent="0.2">
      <c r="A38">
        <v>15</v>
      </c>
      <c r="B38">
        <f>(SUM(HS!B39:B47)+Rules!$B$5*HS!B48)/(9+Rules!$B$5)</f>
        <v>-0.13002650167843849</v>
      </c>
      <c r="C38">
        <f>(SUM(HS!C39:C47)+Rules!$B$5*HS!C48)/(9+Rules!$B$5)</f>
        <v>-1.2068474052636583E-4</v>
      </c>
      <c r="D38">
        <f>(SUM(HS!D39:D47)+Rules!$B$5*HS!D48)/(9+Rules!$B$5)</f>
        <v>2.9159812622497363E-2</v>
      </c>
      <c r="E38">
        <f>(SUM(HS!E39:E47)+Rules!$B$5*HS!E48)/(9+Rules!$B$5)</f>
        <v>5.9285376931179926E-2</v>
      </c>
      <c r="F38">
        <f>(SUM(HS!F39:F47)+Rules!$B$5*HS!F48)/(9+Rules!$B$5)</f>
        <v>9.1959698781152482E-2</v>
      </c>
      <c r="G38">
        <f>(SUM(HS!G39:G47)+Rules!$B$5*HS!G48)/(9+Rules!$B$5)</f>
        <v>0.11824589170260671</v>
      </c>
      <c r="H38">
        <f>(SUM(HS!H39:H47)+Rules!$B$5*HS!H48)/(9+Rules!$B$5)</f>
        <v>3.7028282279269235E-2</v>
      </c>
      <c r="I38">
        <f>(SUM(HS!I39:I47)+Rules!$B$5*HS!I48)/(9+Rules!$B$5)</f>
        <v>-2.7054780502901672E-2</v>
      </c>
      <c r="J38">
        <f>(SUM(HS!J39:J47)+Rules!$B$5*HS!J48)/(9+Rules!$B$5)</f>
        <v>-0.11218876868994289</v>
      </c>
      <c r="K38">
        <f>(SUM(HS!K39:K47)+Rules!$B$5*HS!K48)/(9+Rules!$B$5)</f>
        <v>-0.17370423031226784</v>
      </c>
    </row>
    <row r="39" spans="1:11" x14ac:dyDescent="0.2">
      <c r="A39">
        <v>16</v>
      </c>
      <c r="B39">
        <f>(SUM(HS!B40:B48)+Rules!$B$5*HS!B49)/(9+Rules!$B$5)</f>
        <v>-0.16563717206687348</v>
      </c>
      <c r="C39">
        <f>(SUM(HS!C40:C48)+Rules!$B$5*HS!C49)/(9+Rules!$B$5)</f>
        <v>-2.1025187774008566E-2</v>
      </c>
      <c r="D39">
        <f>(SUM(HS!D40:D48)+Rules!$B$5*HS!D49)/(9+Rules!$B$5)</f>
        <v>9.0590953469108244E-3</v>
      </c>
      <c r="E39">
        <f>(SUM(HS!E40:E48)+Rules!$B$5*HS!E49)/(9+Rules!$B$5)</f>
        <v>3.9974770793601705E-2</v>
      </c>
      <c r="F39">
        <f>(SUM(HS!F40:F48)+Rules!$B$5*HS!F49)/(9+Rules!$B$5)</f>
        <v>7.3448815951393354E-2</v>
      </c>
      <c r="G39">
        <f>(SUM(HS!G40:G48)+Rules!$B$5*HS!G49)/(9+Rules!$B$5)</f>
        <v>9.8821255450277368E-2</v>
      </c>
      <c r="H39">
        <f>(SUM(HS!H40:H48)+Rules!$B$5*HS!H49)/(9+Rules!$B$5)</f>
        <v>-4.8901571730158942E-3</v>
      </c>
      <c r="I39">
        <f>(SUM(HS!I40:I48)+Rules!$B$5*HS!I49)/(9+Rules!$B$5)</f>
        <v>-6.6794847920094103E-2</v>
      </c>
      <c r="J39">
        <f>(SUM(HS!J40:J48)+Rules!$B$5*HS!J49)/(9+Rules!$B$5)</f>
        <v>-0.14864353463007471</v>
      </c>
      <c r="K39">
        <f>(SUM(HS!K40:K48)+Rules!$B$5*HS!K49)/(9+Rules!$B$5)</f>
        <v>-0.20744109003068206</v>
      </c>
    </row>
    <row r="40" spans="1:11" x14ac:dyDescent="0.2">
      <c r="A40">
        <v>17</v>
      </c>
      <c r="B40">
        <f>(SUM(HS!B41:B49)+Rules!$B$5*HS!B50)/(9+Rules!$B$5)</f>
        <v>-0.17956936979241733</v>
      </c>
      <c r="C40">
        <f>(SUM(HS!C41:C49)+Rules!$B$5*HS!C50)/(9+Rules!$B$5)</f>
        <v>-4.9104358288912882E-4</v>
      </c>
      <c r="D40">
        <f>(SUM(HS!D41:D49)+Rules!$B$5*HS!D50)/(9+Rules!$B$5)</f>
        <v>2.8975282965620488E-2</v>
      </c>
      <c r="E40">
        <f>(SUM(HS!E41:E49)+Rules!$B$5*HS!E50)/(9+Rules!$B$5)</f>
        <v>5.9326275337164343E-2</v>
      </c>
      <c r="F40">
        <f>(SUM(HS!F41:F49)+Rules!$B$5*HS!F50)/(9+Rules!$B$5)</f>
        <v>9.1189077686774395E-2</v>
      </c>
      <c r="G40">
        <f>(SUM(HS!G41:G49)+Rules!$B$5*HS!G50)/(9+Rules!$B$5)</f>
        <v>0.12805214364549905</v>
      </c>
      <c r="H40">
        <f>(SUM(HS!H41:H49)+Rules!$B$5*HS!H50)/(9+Rules!$B$5)</f>
        <v>5.3823463716116654E-2</v>
      </c>
      <c r="I40">
        <f>(SUM(HS!I41:I49)+Rules!$B$5*HS!I50)/(9+Rules!$B$5)</f>
        <v>-7.2915398729642075E-2</v>
      </c>
      <c r="J40">
        <f>(SUM(HS!J41:J49)+Rules!$B$5*HS!J50)/(9+Rules!$B$5)</f>
        <v>-0.1497868921821332</v>
      </c>
      <c r="K40">
        <f>(SUM(HS!K41:K49)+Rules!$B$5*HS!K50)/(9+Rules!$B$5)</f>
        <v>-0.19686697623363469</v>
      </c>
    </row>
    <row r="41" spans="1:11" x14ac:dyDescent="0.2">
      <c r="A41">
        <v>18</v>
      </c>
      <c r="B41">
        <f>(SUM(HS!B42:B50)+Rules!$B$5*HS!B51)/(9+Rules!$B$5)</f>
        <v>-9.2935491769284034E-2</v>
      </c>
      <c r="C41">
        <f>(SUM(HS!C42:C50)+Rules!$B$5*HS!C51)/(9+Rules!$B$5)</f>
        <v>6.2905069471517722E-2</v>
      </c>
      <c r="D41">
        <f>(SUM(HS!D42:D50)+Rules!$B$5*HS!D51)/(9+Rules!$B$5)</f>
        <v>9.0248278565440057E-2</v>
      </c>
      <c r="E41">
        <f>(SUM(HS!E42:E50)+Rules!$B$5*HS!E51)/(9+Rules!$B$5)</f>
        <v>0.11850192387781083</v>
      </c>
      <c r="F41">
        <f>(SUM(HS!F42:F50)+Rules!$B$5*HS!F51)/(9+Rules!$B$5)</f>
        <v>0.14761274781164402</v>
      </c>
      <c r="G41">
        <f>(SUM(HS!G42:G50)+Rules!$B$5*HS!G51)/(9+Rules!$B$5)</f>
        <v>0.19075324103939673</v>
      </c>
      <c r="H41">
        <f>(SUM(HS!H42:H50)+Rules!$B$5*HS!H51)/(9+Rules!$B$5)</f>
        <v>0.17067649990517353</v>
      </c>
      <c r="I41">
        <f>(SUM(HS!I42:I50)+Rules!$B$5*HS!I51)/(9+Rules!$B$5)</f>
        <v>3.967744427056652E-2</v>
      </c>
      <c r="J41">
        <f>(SUM(HS!J42:J50)+Rules!$B$5*HS!J51)/(9+Rules!$B$5)</f>
        <v>-0.10074430758041522</v>
      </c>
      <c r="K41">
        <f>(SUM(HS!K42:K50)+Rules!$B$5*HS!K51)/(9+Rules!$B$5)</f>
        <v>-0.14380812317405353</v>
      </c>
    </row>
    <row r="42" spans="1:11" x14ac:dyDescent="0.2">
      <c r="A42">
        <v>19</v>
      </c>
      <c r="B42">
        <f>(SUM(HS!B43:B51)+Rules!$B$5*HS!B52)/(9+Rules!$B$5)</f>
        <v>-5.7428919120040816E-3</v>
      </c>
      <c r="C42">
        <f>(SUM(HS!C43:C51)+Rules!$B$5*HS!C52)/(9+Rules!$B$5)</f>
        <v>0.12395801957914129</v>
      </c>
      <c r="D42">
        <f>(SUM(HS!D43:D51)+Rules!$B$5*HS!D52)/(9+Rules!$B$5)</f>
        <v>0.14933970866308208</v>
      </c>
      <c r="E42">
        <f>(SUM(HS!E43:E51)+Rules!$B$5*HS!E52)/(9+Rules!$B$5)</f>
        <v>0.17557680563858266</v>
      </c>
      <c r="F42">
        <f>(SUM(HS!F43:F51)+Rules!$B$5*HS!F52)/(9+Rules!$B$5)</f>
        <v>0.20298603454657632</v>
      </c>
      <c r="G42">
        <f>(SUM(HS!G43:G51)+Rules!$B$5*HS!G52)/(9+Rules!$B$5)</f>
        <v>0.23979935436410921</v>
      </c>
      <c r="H42">
        <f>(SUM(HS!H43:H51)+Rules!$B$5*HS!H52)/(9+Rules!$B$5)</f>
        <v>0.2206201141552227</v>
      </c>
      <c r="I42">
        <f>(SUM(HS!I43:I51)+Rules!$B$5*HS!I52)/(9+Rules!$B$5)</f>
        <v>0.15227028727077518</v>
      </c>
      <c r="J42">
        <f>(SUM(HS!J43:J51)+Rules!$B$5*HS!J52)/(9+Rules!$B$5)</f>
        <v>7.892641744434355E-3</v>
      </c>
      <c r="K42">
        <f>(SUM(HS!K43:K51)+Rules!$B$5*HS!K52)/(9+Rules!$B$5)</f>
        <v>-8.8095953912746522E-2</v>
      </c>
    </row>
    <row r="43" spans="1:11" x14ac:dyDescent="0.2">
      <c r="A43">
        <v>20</v>
      </c>
      <c r="B43">
        <f>(SUM(HS!B44:B52)+Rules!$B$5*HS!B53)/(9+Rules!$B$5)</f>
        <v>8.1449707945275895E-2</v>
      </c>
      <c r="C43">
        <f>(SUM(HS!C44:C52)+Rules!$B$5*HS!C53)/(9+Rules!$B$5)</f>
        <v>0.18249999400904487</v>
      </c>
      <c r="D43">
        <f>(SUM(HS!D44:D52)+Rules!$B$5*HS!D53)/(9+Rules!$B$5)</f>
        <v>0.20608797581394089</v>
      </c>
      <c r="E43">
        <f>(SUM(HS!E44:E52)+Rules!$B$5*HS!E53)/(9+Rules!$B$5)</f>
        <v>0.230470121897177</v>
      </c>
      <c r="F43">
        <f>(SUM(HS!F44:F52)+Rules!$B$5*HS!F53)/(9+Rules!$B$5)</f>
        <v>0.25625855450163387</v>
      </c>
      <c r="G43">
        <f>(SUM(HS!G44:G52)+Rules!$B$5*HS!G53)/(9+Rules!$B$5)</f>
        <v>0.28779508429888429</v>
      </c>
      <c r="H43">
        <f>(SUM(HS!H44:H52)+Rules!$B$5*HS!H53)/(9+Rules!$B$5)</f>
        <v>0.25690874433608657</v>
      </c>
      <c r="I43">
        <f>(SUM(HS!I44:I52)+Rules!$B$5*HS!I53)/(9+Rules!$B$5)</f>
        <v>0.19795370833197609</v>
      </c>
      <c r="J43">
        <f>(SUM(HS!J44:J52)+Rules!$B$5*HS!J53)/(9+Rules!$B$5)</f>
        <v>0.11652959106928391</v>
      </c>
      <c r="K43">
        <f>(SUM(HS!K44:K52)+Rules!$B$5*HS!K53)/(9+Rules!$B$5)</f>
        <v>2.5308523040868176E-2</v>
      </c>
    </row>
    <row r="44" spans="1:11" x14ac:dyDescent="0.2">
      <c r="A44">
        <v>21</v>
      </c>
      <c r="B44">
        <f>(SUM(HS!B45:B53)+Rules!$B$5*HS!B54)/(9+Rules!$B$5)</f>
        <v>0.14300128216153027</v>
      </c>
      <c r="C44">
        <f>(SUM(HS!C45:C53)+Rules!$B$5*HS!C54)/(9+Rules!$B$5)</f>
        <v>0.2383507494576298</v>
      </c>
      <c r="D44">
        <f>(SUM(HS!D45:D53)+Rules!$B$5*HS!D54)/(9+Rules!$B$5)</f>
        <v>0.26032526728707961</v>
      </c>
      <c r="E44">
        <f>(SUM(HS!E45:E53)+Rules!$B$5*HS!E54)/(9+Rules!$B$5)</f>
        <v>0.28302027520898798</v>
      </c>
      <c r="F44">
        <f>(SUM(HS!F45:F53)+Rules!$B$5*HS!F54)/(9+Rules!$B$5)</f>
        <v>0.30734950895451402</v>
      </c>
      <c r="G44">
        <f>(SUM(HS!G45:G53)+Rules!$B$5*HS!G54)/(9+Rules!$B$5)</f>
        <v>0.33369004745378472</v>
      </c>
      <c r="H44">
        <f>(SUM(HS!H45:H53)+Rules!$B$5*HS!H54)/(9+Rules!$B$5)</f>
        <v>0.29214699112701309</v>
      </c>
      <c r="I44">
        <f>(SUM(HS!I45:I53)+Rules!$B$5*HS!I54)/(9+Rules!$B$5)</f>
        <v>0.22998214532399169</v>
      </c>
      <c r="J44">
        <f>(SUM(HS!J45:J53)+Rules!$B$5*HS!J54)/(9+Rules!$B$5)</f>
        <v>0.15825711845512572</v>
      </c>
      <c r="K44">
        <f>(SUM(HS!K45:K53)+Rules!$B$5*HS!K54)/(9+Rules!$B$5)</f>
        <v>0.11948223076371363</v>
      </c>
    </row>
    <row r="45" spans="1:11" x14ac:dyDescent="0.2">
      <c r="A45">
        <v>22</v>
      </c>
      <c r="B45">
        <f>B12</f>
        <v>-0.35054034044008009</v>
      </c>
      <c r="C45">
        <f t="shared" ref="C45:K45" si="0">C12</f>
        <v>-0.25338998596663809</v>
      </c>
      <c r="D45">
        <f t="shared" si="0"/>
        <v>-0.2336908997980866</v>
      </c>
      <c r="E45">
        <f t="shared" si="0"/>
        <v>-0.21353655324507695</v>
      </c>
      <c r="F45">
        <f t="shared" si="0"/>
        <v>-0.19327116942628339</v>
      </c>
      <c r="G45">
        <f t="shared" si="0"/>
        <v>-0.17052619990757953</v>
      </c>
      <c r="H45">
        <f t="shared" si="0"/>
        <v>-0.21284771451731424</v>
      </c>
      <c r="I45">
        <f t="shared" si="0"/>
        <v>-0.27157480502428616</v>
      </c>
      <c r="J45">
        <f t="shared" si="0"/>
        <v>-0.3400132806089356</v>
      </c>
      <c r="K45">
        <f t="shared" si="0"/>
        <v>-0.38104299284808768</v>
      </c>
    </row>
    <row r="46" spans="1:11" x14ac:dyDescent="0.2">
      <c r="A46">
        <v>23</v>
      </c>
      <c r="B46">
        <f t="shared" ref="B46:K46" si="1">B13</f>
        <v>-0.3969303161229315</v>
      </c>
      <c r="C46">
        <f t="shared" si="1"/>
        <v>-0.30779123771977057</v>
      </c>
      <c r="D46">
        <f t="shared" si="1"/>
        <v>-0.29121011293380095</v>
      </c>
      <c r="E46">
        <f t="shared" si="1"/>
        <v>-0.27422400639931432</v>
      </c>
      <c r="F46">
        <f t="shared" si="1"/>
        <v>-0.25733327243893911</v>
      </c>
      <c r="G46">
        <f t="shared" si="1"/>
        <v>-0.23562627561296379</v>
      </c>
      <c r="H46">
        <f t="shared" si="1"/>
        <v>-0.26907287776607752</v>
      </c>
      <c r="I46">
        <f t="shared" si="1"/>
        <v>-0.32360517609397998</v>
      </c>
      <c r="J46">
        <f t="shared" si="1"/>
        <v>-0.38715518913686875</v>
      </c>
      <c r="K46">
        <f t="shared" si="1"/>
        <v>-0.42525420764465277</v>
      </c>
    </row>
    <row r="47" spans="1:11" x14ac:dyDescent="0.2">
      <c r="A47">
        <v>24</v>
      </c>
      <c r="B47">
        <f t="shared" ref="B47:K47" si="2">B14</f>
        <v>-0.44000672211415065</v>
      </c>
      <c r="C47">
        <f t="shared" si="2"/>
        <v>-0.36219248947290311</v>
      </c>
      <c r="D47">
        <f t="shared" si="2"/>
        <v>-0.34872932606951529</v>
      </c>
      <c r="E47">
        <f t="shared" si="2"/>
        <v>-0.33491145955355167</v>
      </c>
      <c r="F47">
        <f t="shared" si="2"/>
        <v>-0.32139537545159491</v>
      </c>
      <c r="G47">
        <f t="shared" si="2"/>
        <v>-0.30072635131834807</v>
      </c>
      <c r="H47">
        <f t="shared" si="2"/>
        <v>-0.3212819579256434</v>
      </c>
      <c r="I47">
        <f t="shared" si="2"/>
        <v>-0.37191909208726714</v>
      </c>
      <c r="J47">
        <f t="shared" si="2"/>
        <v>-0.43092981848423528</v>
      </c>
      <c r="K47">
        <f t="shared" si="2"/>
        <v>-0.46630747852717758</v>
      </c>
    </row>
    <row r="48" spans="1:11" x14ac:dyDescent="0.2">
      <c r="A48">
        <v>25</v>
      </c>
      <c r="B48">
        <f t="shared" ref="B48:K48" si="3">B15</f>
        <v>-0.4800062419631399</v>
      </c>
      <c r="C48">
        <f t="shared" si="3"/>
        <v>-0.4165937412260356</v>
      </c>
      <c r="D48">
        <f t="shared" si="3"/>
        <v>-0.40624853920522963</v>
      </c>
      <c r="E48">
        <f t="shared" si="3"/>
        <v>-0.39559891270778902</v>
      </c>
      <c r="F48">
        <f t="shared" si="3"/>
        <v>-0.38545747846425066</v>
      </c>
      <c r="G48">
        <f t="shared" si="3"/>
        <v>-0.36582642702373236</v>
      </c>
      <c r="H48">
        <f t="shared" si="3"/>
        <v>-0.36976181807381175</v>
      </c>
      <c r="I48">
        <f t="shared" si="3"/>
        <v>-0.41678201408103371</v>
      </c>
      <c r="J48">
        <f t="shared" si="3"/>
        <v>-0.47157768859250415</v>
      </c>
      <c r="K48">
        <f t="shared" si="3"/>
        <v>-0.5044283729180935</v>
      </c>
    </row>
    <row r="49" spans="1:11" x14ac:dyDescent="0.2">
      <c r="A49">
        <v>26</v>
      </c>
      <c r="B49">
        <f t="shared" ref="B49:K49" si="4">B16</f>
        <v>-0.51714865325148707</v>
      </c>
      <c r="C49">
        <f t="shared" si="4"/>
        <v>-0.47099499297916808</v>
      </c>
      <c r="D49">
        <f t="shared" si="4"/>
        <v>-0.46376775234094403</v>
      </c>
      <c r="E49">
        <f t="shared" si="4"/>
        <v>-0.45628636586202637</v>
      </c>
      <c r="F49">
        <f t="shared" si="4"/>
        <v>-0.4495195814769064</v>
      </c>
      <c r="G49">
        <f t="shared" si="4"/>
        <v>-0.43092650272911659</v>
      </c>
      <c r="H49">
        <f t="shared" si="4"/>
        <v>-0.41477883106853947</v>
      </c>
      <c r="I49">
        <f t="shared" si="4"/>
        <v>-0.45844044164667419</v>
      </c>
      <c r="J49">
        <f t="shared" si="4"/>
        <v>-0.50932213940732529</v>
      </c>
      <c r="K49">
        <f t="shared" si="4"/>
        <v>-0.53982634628108683</v>
      </c>
    </row>
    <row r="50" spans="1:11" x14ac:dyDescent="0.2">
      <c r="A50">
        <v>27</v>
      </c>
      <c r="B50">
        <f t="shared" ref="B50:K50" si="5">B17</f>
        <v>-0.55729992440573806</v>
      </c>
      <c r="C50">
        <f t="shared" si="5"/>
        <v>-0.53615079392674181</v>
      </c>
      <c r="D50">
        <f t="shared" si="5"/>
        <v>-0.53167419530828453</v>
      </c>
      <c r="E50">
        <f t="shared" si="5"/>
        <v>-0.52701149100469435</v>
      </c>
      <c r="F50">
        <f t="shared" si="5"/>
        <v>-0.52298562951037375</v>
      </c>
      <c r="G50">
        <f t="shared" si="5"/>
        <v>-0.50875259201168133</v>
      </c>
      <c r="H50">
        <f t="shared" si="5"/>
        <v>-0.48348583187756294</v>
      </c>
      <c r="I50">
        <f t="shared" si="5"/>
        <v>-0.50598267464294744</v>
      </c>
      <c r="J50">
        <f t="shared" si="5"/>
        <v>-0.55369489020384699</v>
      </c>
      <c r="K50">
        <f t="shared" si="5"/>
        <v>-0.5844632205942546</v>
      </c>
    </row>
    <row r="51" spans="1:11" x14ac:dyDescent="0.2">
      <c r="A51">
        <v>28</v>
      </c>
      <c r="B51">
        <f t="shared" ref="B51:K51" si="6">B18</f>
        <v>-0.62651539551241564</v>
      </c>
      <c r="C51">
        <f t="shared" si="6"/>
        <v>-0.62243863255911769</v>
      </c>
      <c r="D51">
        <f t="shared" si="6"/>
        <v>-0.62000497014223144</v>
      </c>
      <c r="E51">
        <f t="shared" si="6"/>
        <v>-0.6174618323275779</v>
      </c>
      <c r="F51">
        <f t="shared" si="6"/>
        <v>-0.6152595675854643</v>
      </c>
      <c r="G51">
        <f t="shared" si="6"/>
        <v>-0.60747904709221201</v>
      </c>
      <c r="H51">
        <f t="shared" si="6"/>
        <v>-0.59114384474960535</v>
      </c>
      <c r="I51">
        <f t="shared" si="6"/>
        <v>-0.59105585530595706</v>
      </c>
      <c r="J51">
        <f t="shared" si="6"/>
        <v>-0.61652847815204459</v>
      </c>
      <c r="K51">
        <f t="shared" si="6"/>
        <v>-0.64767081799452453</v>
      </c>
    </row>
    <row r="52" spans="1:11" x14ac:dyDescent="0.2">
      <c r="A52">
        <v>29</v>
      </c>
      <c r="B52">
        <f t="shared" ref="B52:K52" si="7">B19</f>
        <v>-0.72479506657152004</v>
      </c>
      <c r="C52">
        <f t="shared" si="7"/>
        <v>-0.72907745456070161</v>
      </c>
      <c r="D52">
        <f t="shared" si="7"/>
        <v>-0.72803288834205915</v>
      </c>
      <c r="E52">
        <f t="shared" si="7"/>
        <v>-0.72693713423738526</v>
      </c>
      <c r="F52">
        <f t="shared" si="7"/>
        <v>-0.72599126790553226</v>
      </c>
      <c r="G52">
        <f t="shared" si="7"/>
        <v>-0.72255420661431358</v>
      </c>
      <c r="H52">
        <f t="shared" si="7"/>
        <v>-0.71544972903833093</v>
      </c>
      <c r="I52">
        <f t="shared" si="7"/>
        <v>-0.71365998363570271</v>
      </c>
      <c r="J52">
        <f t="shared" si="7"/>
        <v>-0.71557438254185846</v>
      </c>
      <c r="K52">
        <f t="shared" si="7"/>
        <v>-0.72944913848189696</v>
      </c>
    </row>
    <row r="53" spans="1:11" x14ac:dyDescent="0.2">
      <c r="A53">
        <v>30</v>
      </c>
      <c r="B53">
        <f t="shared" ref="B53:K53" si="8">B20</f>
        <v>-0.85213893758305082</v>
      </c>
      <c r="C53">
        <f t="shared" si="8"/>
        <v>-0.85523026803891988</v>
      </c>
      <c r="D53">
        <f t="shared" si="8"/>
        <v>-0.85497689559217327</v>
      </c>
      <c r="E53">
        <f t="shared" si="8"/>
        <v>-0.85471020823339083</v>
      </c>
      <c r="F53">
        <f t="shared" si="8"/>
        <v>-0.85448047487728607</v>
      </c>
      <c r="G53">
        <f t="shared" si="8"/>
        <v>-0.85362794278133991</v>
      </c>
      <c r="H53">
        <f t="shared" si="8"/>
        <v>-0.85185182338734444</v>
      </c>
      <c r="I53">
        <f t="shared" si="8"/>
        <v>-0.85149191898584875</v>
      </c>
      <c r="J53">
        <f t="shared" si="8"/>
        <v>-0.85083260337328892</v>
      </c>
      <c r="K53">
        <f t="shared" si="8"/>
        <v>-0.84902895128714095</v>
      </c>
    </row>
    <row r="54" spans="1:11" x14ac:dyDescent="0.2">
      <c r="A54">
        <v>31</v>
      </c>
      <c r="B54">
        <f t="shared" ref="B54:K54" si="9">B21</f>
        <v>-1</v>
      </c>
      <c r="C54">
        <f t="shared" si="9"/>
        <v>-1</v>
      </c>
      <c r="D54">
        <f t="shared" si="9"/>
        <v>-1</v>
      </c>
      <c r="E54">
        <f t="shared" si="9"/>
        <v>-1</v>
      </c>
      <c r="F54">
        <f t="shared" si="9"/>
        <v>-1</v>
      </c>
      <c r="G54">
        <f t="shared" si="9"/>
        <v>-1</v>
      </c>
      <c r="H54">
        <f t="shared" si="9"/>
        <v>-1</v>
      </c>
      <c r="I54">
        <f t="shared" si="9"/>
        <v>-1</v>
      </c>
      <c r="J54">
        <f t="shared" si="9"/>
        <v>-1</v>
      </c>
      <c r="K54">
        <f t="shared" si="9"/>
        <v>-1</v>
      </c>
    </row>
  </sheetData>
  <sheetProtection sheet="1" objects="1" scenarios="1"/>
  <phoneticPr fontId="16" type="noConversion"/>
  <pageMargins left="0.7" right="0.7" top="0.75" bottom="0.75" header="0.3" footer="0.3"/>
  <pageSetup paperSize="9" orientation="landscape" horizontalDpi="0" verticalDpi="0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>
    <pageSetUpPr fitToPage="1"/>
  </sheetPr>
  <dimension ref="A1:W54"/>
  <sheetViews>
    <sheetView workbookViewId="0">
      <selection activeCell="C7" sqref="C7:C16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0.99999999999999956</v>
      </c>
    </row>
    <row r="2" spans="1:23" x14ac:dyDescent="0.2">
      <c r="A2" t="s">
        <v>40</v>
      </c>
      <c r="B2" s="149" t="s">
        <v>125</v>
      </c>
      <c r="C2" s="155">
        <f>Analysis!B45</f>
        <v>0.17883605607338035</v>
      </c>
      <c r="D2" s="149" t="s">
        <v>126</v>
      </c>
      <c r="E2" s="155">
        <f>Analysis!L45</f>
        <v>0.82116394392661918</v>
      </c>
      <c r="F2" s="149" t="s">
        <v>47</v>
      </c>
      <c r="G2" s="155">
        <f>Analysis!S45</f>
        <v>-6.805403015809202</v>
      </c>
      <c r="H2" t="s">
        <v>156</v>
      </c>
      <c r="I2" s="169">
        <f>Analysis!T45</f>
        <v>-12.017042455075396</v>
      </c>
      <c r="J2" t="s">
        <v>48</v>
      </c>
      <c r="K2" s="169">
        <f>C2*G2+E2*I2</f>
        <v>-11.08501341208054</v>
      </c>
      <c r="L2" t="s">
        <v>47</v>
      </c>
      <c r="M2" s="176">
        <v>3</v>
      </c>
      <c r="N2" t="s">
        <v>156</v>
      </c>
      <c r="O2" s="176">
        <v>7</v>
      </c>
    </row>
    <row r="4" spans="1:23" x14ac:dyDescent="0.2">
      <c r="A4" t="s">
        <v>123</v>
      </c>
      <c r="B4">
        <f>$C$2</f>
        <v>0.17883605607338035</v>
      </c>
      <c r="C4" t="s">
        <v>124</v>
      </c>
      <c r="D4">
        <f>$E$2</f>
        <v>0.82116394392661918</v>
      </c>
      <c r="E4" t="s">
        <v>47</v>
      </c>
      <c r="F4">
        <f>G2</f>
        <v>-6.805403015809202</v>
      </c>
      <c r="G4" t="s">
        <v>156</v>
      </c>
      <c r="H4">
        <f>I2</f>
        <v>-12.017042455075396</v>
      </c>
      <c r="I4" t="s">
        <v>48</v>
      </c>
      <c r="J4">
        <f>K2</f>
        <v>-11.08501341208054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60">
        <v>-10</v>
      </c>
      <c r="N6" s="104" t="s">
        <v>136</v>
      </c>
      <c r="R6" s="188" t="s">
        <v>49</v>
      </c>
      <c r="S6" s="164" t="s">
        <v>130</v>
      </c>
      <c r="T6" s="165" t="s">
        <v>137</v>
      </c>
      <c r="U6" s="268" t="s">
        <v>48</v>
      </c>
      <c r="V6" s="175" t="s">
        <v>47</v>
      </c>
      <c r="W6" s="168" t="s">
        <v>156</v>
      </c>
    </row>
    <row r="7" spans="1:23" x14ac:dyDescent="0.2">
      <c r="A7" s="101">
        <v>1</v>
      </c>
      <c r="B7" s="95">
        <f>C7*B4</f>
        <v>0.17883605607338035</v>
      </c>
      <c r="C7" s="95">
        <v>1</v>
      </c>
      <c r="D7" s="22">
        <f>C7*D4</f>
        <v>0.82116394392661918</v>
      </c>
      <c r="E7" s="2"/>
      <c r="F7" s="2"/>
      <c r="G7" s="2"/>
      <c r="H7" s="2"/>
      <c r="I7" s="2"/>
      <c r="J7" s="2"/>
      <c r="K7" s="2"/>
      <c r="L7" s="2"/>
      <c r="M7" s="261"/>
      <c r="N7" s="96">
        <f>B7+D7</f>
        <v>0.99999999999999956</v>
      </c>
      <c r="R7" s="189">
        <f>B7-D7</f>
        <v>-0.6423278878532388</v>
      </c>
      <c r="S7" s="109">
        <f>SUM(C7)*$B$4*$F$4</f>
        <v>-1.2170514353372062</v>
      </c>
      <c r="T7" s="263">
        <f>SUM(C7)*$D$4*$H$4</f>
        <v>-9.8679619767433344</v>
      </c>
      <c r="U7" s="265">
        <f>S7+T7</f>
        <v>-11.08501341208054</v>
      </c>
      <c r="V7" s="109">
        <f>(U7+W7*D7)/B7</f>
        <v>-57.392506262509158</v>
      </c>
      <c r="W7" s="57">
        <f>COUNT(D7:M7)</f>
        <v>1</v>
      </c>
    </row>
    <row r="8" spans="1:23" x14ac:dyDescent="0.2">
      <c r="A8" s="99">
        <v>2</v>
      </c>
      <c r="B8" s="97">
        <f>C8*B4</f>
        <v>0.20961945272558463</v>
      </c>
      <c r="C8" s="97">
        <f>1/(1-B4*D4*C7)</f>
        <v>1.1721319365238807</v>
      </c>
      <c r="D8" s="144">
        <f>C8*D4</f>
        <v>0.96251248379829557</v>
      </c>
      <c r="E8" s="1">
        <f>D8*D4</f>
        <v>0.79038054727441454</v>
      </c>
      <c r="F8" s="1"/>
      <c r="G8" s="1"/>
      <c r="H8" s="1"/>
      <c r="I8" s="1"/>
      <c r="J8" s="1"/>
      <c r="K8" s="1"/>
      <c r="L8" s="1"/>
      <c r="M8" s="262"/>
      <c r="N8" s="97">
        <f>B8+E8</f>
        <v>0.99999999999999911</v>
      </c>
      <c r="R8" s="190">
        <f>B8-E8</f>
        <v>-0.58076109454882996</v>
      </c>
      <c r="S8" s="93">
        <f>SUM(C8:D8)*$B$4*$F$4</f>
        <v>-2.5979720556876633</v>
      </c>
      <c r="T8" s="262">
        <f>SUM(C8:D8)*$D$4*$H$4</f>
        <v>-21.064589973606555</v>
      </c>
      <c r="U8" s="266">
        <f>S8+T8</f>
        <v>-23.662562029294218</v>
      </c>
      <c r="V8" s="93">
        <f>(U8+W8*E8)/B8</f>
        <v>-105.342327000791</v>
      </c>
      <c r="W8" s="9">
        <f>COUNT(D8:M8)</f>
        <v>2</v>
      </c>
    </row>
    <row r="9" spans="1:23" x14ac:dyDescent="0.2">
      <c r="A9" s="99">
        <v>3</v>
      </c>
      <c r="B9" s="97">
        <f>C9*B4</f>
        <v>0.21601999637776706</v>
      </c>
      <c r="C9" s="97">
        <f>1/(1-D4*B4*C8)</f>
        <v>1.2079219432636634</v>
      </c>
      <c r="D9" s="144">
        <f>C9*D4*C8</f>
        <v>1.1626399498451725</v>
      </c>
      <c r="E9" s="1">
        <f>D9*(D4)</f>
        <v>0.95471800658150852</v>
      </c>
      <c r="F9" s="1">
        <f>E9*D4</f>
        <v>0.78398000362223152</v>
      </c>
      <c r="G9" s="1"/>
      <c r="H9" s="1"/>
      <c r="I9" s="1"/>
      <c r="J9" s="1"/>
      <c r="K9" s="1"/>
      <c r="L9" s="1"/>
      <c r="M9" s="262"/>
      <c r="N9" s="97">
        <f>B9+F9</f>
        <v>0.99999999999999856</v>
      </c>
      <c r="R9" s="190">
        <f>B9-F9</f>
        <v>-0.56796000724446449</v>
      </c>
      <c r="S9" s="93">
        <f>SUM(C9:E9)*$B$4*$F$4</f>
        <v>-4.0470366748160949</v>
      </c>
      <c r="T9" s="262">
        <f>SUM(C9:E9)*$D$4*$H$4</f>
        <v>-32.813735612173211</v>
      </c>
      <c r="U9" s="266">
        <f t="shared" ref="U9:U16" si="0">S9+T9</f>
        <v>-36.860772286989302</v>
      </c>
      <c r="V9" s="93">
        <f>(U9+W9*F9)/B9</f>
        <v>-159.74832355693107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0.21740020762159154</v>
      </c>
      <c r="C10" s="97">
        <f>1/(1-D4*B4*C9)</f>
        <v>1.2156396891932546</v>
      </c>
      <c r="D10" s="144">
        <f>C10*D4*C9</f>
        <v>1.2057953744225545</v>
      </c>
      <c r="E10" s="1">
        <f>D10*D4*C8</f>
        <v>1.1605931007879486</v>
      </c>
      <c r="F10" s="1">
        <f>E10*D4</f>
        <v>0.95303720793705615</v>
      </c>
      <c r="G10" s="1">
        <f>F10*D4</f>
        <v>0.78259979237840649</v>
      </c>
      <c r="H10" s="1"/>
      <c r="I10" s="1"/>
      <c r="J10" s="1"/>
      <c r="K10" s="1"/>
      <c r="L10" s="1"/>
      <c r="M10" s="262"/>
      <c r="N10" s="97">
        <f>B10+G10</f>
        <v>0.999999999999998</v>
      </c>
      <c r="R10" s="190">
        <f>B10-G10</f>
        <v>-0.56519958475681498</v>
      </c>
      <c r="S10" s="93">
        <f>SUM(C10:F10)*$B$4*$F$4</f>
        <v>-5.5194078207554487</v>
      </c>
      <c r="T10" s="262">
        <f>SUM(C10:F10)*$D$4*$H$4</f>
        <v>-44.7518526563045</v>
      </c>
      <c r="U10" s="266">
        <f t="shared" si="0"/>
        <v>-50.271260477059947</v>
      </c>
      <c r="V10" s="93">
        <f>(U10+W10*G10)/B10</f>
        <v>-216.83908135727296</v>
      </c>
      <c r="W10" s="9">
        <f t="shared" si="1"/>
        <v>4</v>
      </c>
    </row>
    <row r="11" spans="1:23" x14ac:dyDescent="0.2">
      <c r="A11" s="99">
        <v>5</v>
      </c>
      <c r="B11" s="97">
        <f>C11*B4</f>
        <v>0.2177001508307122</v>
      </c>
      <c r="C11" s="97">
        <f>1/(1-D4*B4*C10)</f>
        <v>1.217316885703323</v>
      </c>
      <c r="D11" s="144">
        <f>C11*D4*C10</f>
        <v>1.2151737768929158</v>
      </c>
      <c r="E11" s="1">
        <f>D11*D4*C9</f>
        <v>1.2053332351047705</v>
      </c>
      <c r="F11" s="1">
        <f>E11*D4*C8</f>
        <v>1.1601482859253276</v>
      </c>
      <c r="G11" s="1">
        <f>F11*D4</f>
        <v>0.95267194201014904</v>
      </c>
      <c r="H11" s="1">
        <f>G11*D4</f>
        <v>0.78229984916928541</v>
      </c>
      <c r="I11" s="1"/>
      <c r="J11" s="1"/>
      <c r="K11" s="1"/>
      <c r="L11" s="1"/>
      <c r="M11" s="262"/>
      <c r="N11" s="97">
        <f>B11+H11</f>
        <v>0.99999999999999756</v>
      </c>
      <c r="R11" s="190">
        <f>B11-H11</f>
        <v>-0.56459969833857326</v>
      </c>
      <c r="S11" s="93">
        <f>SUM(C11:G11)*$B$4*$F$4</f>
        <v>-6.9988296872193576</v>
      </c>
      <c r="T11" s="262">
        <f>SUM(C11:G11)*$D$4*$H$4</f>
        <v>-56.747137573563258</v>
      </c>
      <c r="U11" s="266">
        <f t="shared" si="0"/>
        <v>-63.745967260782614</v>
      </c>
      <c r="V11" s="93">
        <f>(U11+W11*H11)/B11</f>
        <v>-274.84807790264057</v>
      </c>
      <c r="W11" s="9">
        <f t="shared" si="1"/>
        <v>5</v>
      </c>
    </row>
    <row r="12" spans="1:23" x14ac:dyDescent="0.2">
      <c r="A12" s="99">
        <v>6</v>
      </c>
      <c r="B12" s="97">
        <f>C12*B4</f>
        <v>0.21776544306270981</v>
      </c>
      <c r="C12" s="97">
        <f>1/(1-D4*B4*C11)</f>
        <v>1.2176819811624333</v>
      </c>
      <c r="D12" s="144">
        <f>C12*D4*C11</f>
        <v>1.2172152861228027</v>
      </c>
      <c r="E12" s="1">
        <f>D12*D4*C10</f>
        <v>1.2150723561803294</v>
      </c>
      <c r="F12" s="1">
        <f>E12*D4*C9</f>
        <v>1.2052326357025014</v>
      </c>
      <c r="G12" s="1">
        <f>F12*D4*C8</f>
        <v>1.1600514577447809</v>
      </c>
      <c r="H12" s="1">
        <f>G12*D4</f>
        <v>0.95259243019952811</v>
      </c>
      <c r="I12" s="1">
        <f>H12*D4</f>
        <v>0.78223455693728716</v>
      </c>
      <c r="J12" s="1"/>
      <c r="K12" s="1"/>
      <c r="L12" s="1"/>
      <c r="M12" s="262"/>
      <c r="N12" s="97">
        <f>B12+I12</f>
        <v>0.999999999999997</v>
      </c>
      <c r="R12" s="190">
        <f>B12-I12</f>
        <v>-0.56446911387457732</v>
      </c>
      <c r="S12" s="93">
        <f>SUM(C12:H12)*$B$4*$F$4</f>
        <v>-8.4802271545519385</v>
      </c>
      <c r="T12" s="262">
        <f>SUM(C12:H12)*$D$4*$H$4</f>
        <v>-68.75844083950247</v>
      </c>
      <c r="U12" s="266">
        <f t="shared" si="0"/>
        <v>-77.23866799405441</v>
      </c>
      <c r="V12" s="93">
        <f>(U12+W12*I12)/B12</f>
        <v>-333.13486121643211</v>
      </c>
      <c r="W12" s="9">
        <f t="shared" si="1"/>
        <v>6</v>
      </c>
    </row>
    <row r="13" spans="1:23" x14ac:dyDescent="0.2">
      <c r="A13" s="99">
        <v>7</v>
      </c>
      <c r="B13" s="97">
        <f>C13*B4</f>
        <v>0.21777966119610148</v>
      </c>
      <c r="C13" s="97">
        <f>1/(1-D4*B4*C12)</f>
        <v>1.2177614848917364</v>
      </c>
      <c r="D13" s="144">
        <f>C13*D4*C12</f>
        <v>1.2176598482041232</v>
      </c>
      <c r="E13" s="1">
        <f>D13*D4*C11</f>
        <v>1.2171931616472838</v>
      </c>
      <c r="F13" s="1">
        <f>E13*D4*C10</f>
        <v>1.2150502706553574</v>
      </c>
      <c r="G13" s="1">
        <f>F13*D4*C9</f>
        <v>1.2052107290272835</v>
      </c>
      <c r="H13" s="1">
        <f>G13*D4*C8</f>
        <v>1.1600303722964052</v>
      </c>
      <c r="I13" s="1">
        <f>H13*D4</f>
        <v>0.95257511558958041</v>
      </c>
      <c r="J13" s="1">
        <f>I13*D4</f>
        <v>0.78222033880389497</v>
      </c>
      <c r="K13" s="1"/>
      <c r="L13" s="1"/>
      <c r="M13" s="262"/>
      <c r="N13" s="97">
        <f>B13+J13</f>
        <v>0.99999999999999645</v>
      </c>
      <c r="R13" s="190">
        <f>B13-J13</f>
        <v>-0.56444067760779348</v>
      </c>
      <c r="S13" s="93">
        <f>SUM(C13:I13)*$B$4*$F$4</f>
        <v>-9.9621513784479436</v>
      </c>
      <c r="T13" s="262">
        <f>SUM(C13:I13)*$D$4*$H$4</f>
        <v>-80.77401509480822</v>
      </c>
      <c r="U13" s="266">
        <f t="shared" si="0"/>
        <v>-90.736166473256162</v>
      </c>
      <c r="V13" s="93">
        <f>(U13+W13*J13)/B13</f>
        <v>-391.49947994847537</v>
      </c>
      <c r="W13" s="9">
        <f t="shared" si="1"/>
        <v>7</v>
      </c>
    </row>
    <row r="14" spans="1:23" x14ac:dyDescent="0.2">
      <c r="A14" s="99">
        <v>8</v>
      </c>
      <c r="B14" s="97">
        <f>C14*B4</f>
        <v>0.21778275760411725</v>
      </c>
      <c r="C14" s="97">
        <f>1/(1-D4*B4*C13)</f>
        <v>1.2177787991184295</v>
      </c>
      <c r="D14" s="144">
        <f>C14*D4*C13</f>
        <v>1.2177566644003266</v>
      </c>
      <c r="E14" s="1">
        <f>D14*D4*C12</f>
        <v>1.2176550281150407</v>
      </c>
      <c r="F14" s="1">
        <f>E14*D4*C11</f>
        <v>1.2171883434055732</v>
      </c>
      <c r="G14" s="1">
        <f>F14*D4*C10</f>
        <v>1.21504546089625</v>
      </c>
      <c r="H14" s="1">
        <f>G14*D4*C9</f>
        <v>1.2052059582178609</v>
      </c>
      <c r="I14" s="1">
        <f>H14*D4*C8</f>
        <v>1.160025780332778</v>
      </c>
      <c r="J14" s="1">
        <f>I14*D4</f>
        <v>0.95257134483461803</v>
      </c>
      <c r="K14" s="1">
        <f>J14*D4</f>
        <v>0.78221724239587853</v>
      </c>
      <c r="L14" s="1"/>
      <c r="M14" s="262"/>
      <c r="N14" s="97">
        <f>B14+K14</f>
        <v>0.99999999999999578</v>
      </c>
      <c r="R14" s="190">
        <f>B14-K14</f>
        <v>-0.56443448479176128</v>
      </c>
      <c r="S14" s="93">
        <f>SUM(C14:J14)*$B$4*$F$4</f>
        <v>-11.444211378804589</v>
      </c>
      <c r="T14" s="262">
        <f>SUM(C14:J14)*$D$4*$H$4</f>
        <v>-92.790690237810281</v>
      </c>
      <c r="U14" s="266">
        <f t="shared" si="0"/>
        <v>-104.23490161661488</v>
      </c>
      <c r="V14" s="93">
        <f>(U14+W14*K14)/B14</f>
        <v>-449.8848520209736</v>
      </c>
      <c r="W14" s="9">
        <f t="shared" si="1"/>
        <v>8</v>
      </c>
    </row>
    <row r="15" spans="1:23" x14ac:dyDescent="0.2">
      <c r="A15" s="99">
        <v>9</v>
      </c>
      <c r="B15" s="97">
        <f>C15*B4</f>
        <v>0.21778343194781224</v>
      </c>
      <c r="C15" s="97">
        <f>1/(1-D4*B4*C14)</f>
        <v>1.2177825698552138</v>
      </c>
      <c r="D15" s="144">
        <f>C15*D4*C14</f>
        <v>1.2177777492803394</v>
      </c>
      <c r="E15" s="1">
        <f>D15*D4*C13</f>
        <v>1.2177556145813189</v>
      </c>
      <c r="F15" s="1">
        <f>E15*D4*C12</f>
        <v>1.2176539783836529</v>
      </c>
      <c r="G15" s="1">
        <f>F15*D4*C11</f>
        <v>1.2171872940765109</v>
      </c>
      <c r="H15" s="1">
        <f>G15*D4*C10</f>
        <v>1.2150444134145508</v>
      </c>
      <c r="I15" s="1">
        <f>H15*D4*C9</f>
        <v>1.2052049192187242</v>
      </c>
      <c r="J15" s="1">
        <f>I15*D4*C8</f>
        <v>1.1600247802831383</v>
      </c>
      <c r="K15" s="1">
        <f>J15*D4</f>
        <v>0.95257052362991168</v>
      </c>
      <c r="L15" s="1">
        <f>K15*D4</f>
        <v>0.78221656805218309</v>
      </c>
      <c r="M15" s="262"/>
      <c r="N15" s="97">
        <f>B15+L15</f>
        <v>0.99999999999999534</v>
      </c>
      <c r="R15" s="190">
        <f>B15-L15</f>
        <v>-0.56443313610437085</v>
      </c>
      <c r="S15" s="93">
        <f>SUM(C15:K15)*$B$4*$F$4</f>
        <v>-12.926305537405579</v>
      </c>
      <c r="T15" s="262">
        <f>SUM(C15:K15)*$D$4*$H$4</f>
        <v>-104.80764233891503</v>
      </c>
      <c r="U15" s="266">
        <f t="shared" si="0"/>
        <v>-117.73394787632061</v>
      </c>
      <c r="V15" s="93">
        <f>(U15+W15*L15)/B15</f>
        <v>-508.2755734622491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0.21778357880866886</v>
      </c>
      <c r="C16" s="145">
        <f>1/(1-D4*B4*C15)</f>
        <v>1.2177833910590574</v>
      </c>
      <c r="D16" s="153">
        <f>C16*D4*C15</f>
        <v>1.2177823412170088</v>
      </c>
      <c r="E16" s="111">
        <f>D16*D4*C14</f>
        <v>1.2177775206430395</v>
      </c>
      <c r="F16" s="111">
        <f>E16*D4*C13</f>
        <v>1.2177553859481745</v>
      </c>
      <c r="G16" s="111">
        <f>F16*D4*C12</f>
        <v>1.2176537497695907</v>
      </c>
      <c r="H16" s="111">
        <f>G16*D4*C11</f>
        <v>1.2171870655500685</v>
      </c>
      <c r="I16" s="111">
        <f>H16*D4*C10</f>
        <v>1.2150441852904335</v>
      </c>
      <c r="J16" s="111">
        <f>I16*D4*C9</f>
        <v>1.205204692941968</v>
      </c>
      <c r="K16" s="111">
        <f>J16*D4*C8</f>
        <v>1.1600245624889356</v>
      </c>
      <c r="L16" s="111">
        <f>K16*D4</f>
        <v>0.95257034478516522</v>
      </c>
      <c r="M16" s="264">
        <f>L16*D4</f>
        <v>0.78221642119132573</v>
      </c>
      <c r="N16" s="145">
        <f>B16+M16</f>
        <v>0.99999999999999456</v>
      </c>
      <c r="R16" s="191">
        <f>B16-M16</f>
        <v>-0.5644328423826569</v>
      </c>
      <c r="S16" s="94">
        <f>SUM(C16:L16)*$B$4*$F$4</f>
        <v>-14.408408134514964</v>
      </c>
      <c r="T16" s="264">
        <f>SUM(C16:L16)*$D$4*$H$4</f>
        <v>-116.82466286020116</v>
      </c>
      <c r="U16" s="267">
        <f t="shared" si="0"/>
        <v>-131.23307099471612</v>
      </c>
      <c r="V16" s="94">
        <f>(U16+W16*M16)/B16</f>
        <v>-566.66764068205532</v>
      </c>
      <c r="W16" s="10">
        <f t="shared" si="1"/>
        <v>10</v>
      </c>
    </row>
    <row r="18" spans="1:21" x14ac:dyDescent="0.2">
      <c r="A18" s="356" t="s">
        <v>200</v>
      </c>
      <c r="B18" s="356"/>
      <c r="C18" s="356"/>
      <c r="D18" s="356"/>
      <c r="E18" s="356"/>
      <c r="F18" s="356"/>
      <c r="O18" s="356" t="s">
        <v>201</v>
      </c>
      <c r="P18" s="356"/>
      <c r="Q18" s="356"/>
      <c r="R18" s="356"/>
      <c r="S18" s="356"/>
      <c r="T18" s="356"/>
    </row>
    <row r="19" spans="1:21" ht="17" thickBot="1" x14ac:dyDescent="0.25"/>
    <row r="20" spans="1:21" ht="17" thickBot="1" x14ac:dyDescent="0.25">
      <c r="A20" s="29" t="s">
        <v>135</v>
      </c>
      <c r="B20" s="19" t="s">
        <v>140</v>
      </c>
      <c r="C20" s="19" t="s">
        <v>139</v>
      </c>
      <c r="D20" s="19" t="s">
        <v>138</v>
      </c>
      <c r="E20" s="167" t="s">
        <v>151</v>
      </c>
      <c r="F20" s="168" t="s">
        <v>152</v>
      </c>
      <c r="G20" s="166" t="s">
        <v>47</v>
      </c>
      <c r="O20" s="29" t="s">
        <v>135</v>
      </c>
      <c r="P20" s="118" t="s">
        <v>140</v>
      </c>
      <c r="Q20" s="118" t="s">
        <v>139</v>
      </c>
      <c r="R20" s="118" t="s">
        <v>138</v>
      </c>
      <c r="S20" s="166" t="s">
        <v>151</v>
      </c>
      <c r="T20" s="168" t="s">
        <v>152</v>
      </c>
      <c r="U20" s="293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7</v>
      </c>
      <c r="D21" s="57">
        <f>SUM($C$21:C21)</f>
        <v>7</v>
      </c>
      <c r="E21" s="57">
        <f t="shared" ref="E21:E30" si="3">D21/R7</f>
        <v>-10.8978609404538</v>
      </c>
      <c r="F21" s="8">
        <f t="shared" ref="F21:F30" si="4">U7/E21</f>
        <v>1.0171733216866454</v>
      </c>
      <c r="G21" s="286">
        <f>E21*U7</f>
        <v>120.80293468791902</v>
      </c>
      <c r="O21" s="101">
        <v>1</v>
      </c>
      <c r="P21" s="109">
        <v>1</v>
      </c>
      <c r="Q21" s="110">
        <f>P21*7+21</f>
        <v>28</v>
      </c>
      <c r="R21" s="57">
        <f>SUM($Q$21)</f>
        <v>28</v>
      </c>
      <c r="S21" s="281">
        <f>R21/R7</f>
        <v>-43.591443761815199</v>
      </c>
      <c r="T21" s="8">
        <f>U7/S21</f>
        <v>0.25429333042166136</v>
      </c>
      <c r="U21" s="286">
        <f>S21*U7</f>
        <v>483.21173875167608</v>
      </c>
    </row>
    <row r="22" spans="1:21" x14ac:dyDescent="0.2">
      <c r="A22" s="97">
        <v>2</v>
      </c>
      <c r="B22" s="93">
        <f>C21</f>
        <v>7</v>
      </c>
      <c r="C22" s="1">
        <f t="shared" si="2"/>
        <v>49</v>
      </c>
      <c r="D22" s="9">
        <f>SUM($C$21:C22)</f>
        <v>56</v>
      </c>
      <c r="E22" s="9">
        <f t="shared" si="3"/>
        <v>-96.425191917347973</v>
      </c>
      <c r="F22" s="9">
        <f t="shared" si="4"/>
        <v>0.24539813257075879</v>
      </c>
      <c r="G22" s="287">
        <f t="shared" ref="G22:G30" si="5">E22*U8</f>
        <v>2281.6670849308457</v>
      </c>
      <c r="O22" s="99">
        <v>2</v>
      </c>
      <c r="P22" s="93">
        <f>Q21</f>
        <v>28</v>
      </c>
      <c r="Q22" s="1">
        <f t="shared" ref="Q22:Q30" si="6">P22*7+21</f>
        <v>217</v>
      </c>
      <c r="R22" s="9">
        <f>SUM($Q$21:Q22)</f>
        <v>245</v>
      </c>
      <c r="S22" s="282">
        <f t="shared" ref="S22:S30" si="7">R22/R8</f>
        <v>-421.86021463839739</v>
      </c>
      <c r="T22" s="9">
        <f>U8/S22</f>
        <v>5.6091001730459153E-2</v>
      </c>
      <c r="U22" s="287">
        <f t="shared" ref="U22:U30" si="8">S22*U8</f>
        <v>9982.2934965724507</v>
      </c>
    </row>
    <row r="23" spans="1:21" x14ac:dyDescent="0.2">
      <c r="A23" s="97">
        <v>3</v>
      </c>
      <c r="B23" s="93">
        <f t="shared" ref="B23:B30" si="9">C22</f>
        <v>49</v>
      </c>
      <c r="C23" s="1">
        <f t="shared" si="2"/>
        <v>343</v>
      </c>
      <c r="D23" s="9">
        <f>SUM($C$21:C23)</f>
        <v>399</v>
      </c>
      <c r="E23" s="9">
        <f t="shared" si="3"/>
        <v>-702.51425260698011</v>
      </c>
      <c r="F23" s="9">
        <f t="shared" si="4"/>
        <v>5.2469785702142863E-2</v>
      </c>
      <c r="G23" s="287">
        <f t="shared" si="5"/>
        <v>25895.217893710374</v>
      </c>
      <c r="O23" s="99">
        <v>3</v>
      </c>
      <c r="P23" s="93">
        <f t="shared" ref="P23:P30" si="10">Q22</f>
        <v>217</v>
      </c>
      <c r="Q23" s="1">
        <f t="shared" si="6"/>
        <v>1540</v>
      </c>
      <c r="R23" s="9">
        <f>SUM($Q$21:Q23)</f>
        <v>1785</v>
      </c>
      <c r="S23" s="282">
        <f t="shared" si="7"/>
        <v>-3142.8269195575426</v>
      </c>
      <c r="T23" s="9">
        <f t="shared" ref="T23:T30" si="11">U9/S23</f>
        <v>1.1728540333420169E-2</v>
      </c>
      <c r="U23" s="287">
        <f t="shared" si="8"/>
        <v>115847.02741923062</v>
      </c>
    </row>
    <row r="24" spans="1:21" x14ac:dyDescent="0.2">
      <c r="A24" s="97">
        <v>4</v>
      </c>
      <c r="B24" s="93">
        <f t="shared" si="9"/>
        <v>343</v>
      </c>
      <c r="C24" s="1">
        <f t="shared" si="2"/>
        <v>2401</v>
      </c>
      <c r="D24" s="9">
        <f>SUM($C$21:C24)</f>
        <v>2800</v>
      </c>
      <c r="E24" s="9">
        <f t="shared" si="3"/>
        <v>-4954.0022241961469</v>
      </c>
      <c r="F24" s="9">
        <f t="shared" si="4"/>
        <v>1.0147605552441416E-2</v>
      </c>
      <c r="G24" s="287">
        <f t="shared" si="5"/>
        <v>249043.93621649884</v>
      </c>
      <c r="O24" s="99">
        <v>4</v>
      </c>
      <c r="P24" s="93">
        <f t="shared" si="10"/>
        <v>1540</v>
      </c>
      <c r="Q24" s="1">
        <f t="shared" si="6"/>
        <v>10801</v>
      </c>
      <c r="R24" s="9">
        <f>SUM($Q$21:Q24)</f>
        <v>12586</v>
      </c>
      <c r="S24" s="282">
        <f t="shared" si="7"/>
        <v>-22268.239997761681</v>
      </c>
      <c r="T24" s="9">
        <f t="shared" si="11"/>
        <v>2.2575318247923062E-3</v>
      </c>
      <c r="U24" s="287">
        <f t="shared" si="8"/>
        <v>1119452.4932931622</v>
      </c>
    </row>
    <row r="25" spans="1:21" x14ac:dyDescent="0.2">
      <c r="A25" s="97">
        <v>5</v>
      </c>
      <c r="B25" s="93">
        <f t="shared" si="9"/>
        <v>2401</v>
      </c>
      <c r="C25" s="1">
        <f t="shared" si="2"/>
        <v>16807</v>
      </c>
      <c r="D25" s="9">
        <f>SUM($C$21:C25)</f>
        <v>19607</v>
      </c>
      <c r="E25" s="9">
        <f t="shared" si="3"/>
        <v>-34727.259078771734</v>
      </c>
      <c r="F25" s="9">
        <f t="shared" si="4"/>
        <v>1.8356175797285882E-3</v>
      </c>
      <c r="G25" s="287">
        <f t="shared" si="5"/>
        <v>2213722.7202920988</v>
      </c>
      <c r="O25" s="99">
        <v>5</v>
      </c>
      <c r="P25" s="93">
        <f t="shared" si="10"/>
        <v>10801</v>
      </c>
      <c r="Q25" s="1">
        <f t="shared" si="6"/>
        <v>75628</v>
      </c>
      <c r="R25" s="9">
        <f>SUM($Q$21:Q25)</f>
        <v>88214</v>
      </c>
      <c r="S25" s="282">
        <f t="shared" si="7"/>
        <v>-156241.6704429423</v>
      </c>
      <c r="T25" s="9">
        <f t="shared" si="11"/>
        <v>4.0799594039198349E-4</v>
      </c>
      <c r="U25" s="287">
        <f t="shared" si="8"/>
        <v>9959776.4088257868</v>
      </c>
    </row>
    <row r="26" spans="1:21" x14ac:dyDescent="0.2">
      <c r="A26" s="97">
        <v>6</v>
      </c>
      <c r="B26" s="93">
        <f t="shared" si="9"/>
        <v>16807</v>
      </c>
      <c r="C26" s="1">
        <f t="shared" si="2"/>
        <v>117649</v>
      </c>
      <c r="D26" s="9">
        <f>SUM($C$21:C26)</f>
        <v>137256</v>
      </c>
      <c r="E26" s="9">
        <f t="shared" si="3"/>
        <v>-243159.45129018647</v>
      </c>
      <c r="F26" s="9">
        <f t="shared" si="4"/>
        <v>3.1764616832383701E-4</v>
      </c>
      <c r="G26" s="287">
        <f t="shared" si="5"/>
        <v>18781312.127819158</v>
      </c>
      <c r="O26" s="99">
        <v>6</v>
      </c>
      <c r="P26" s="93">
        <f t="shared" si="10"/>
        <v>75628</v>
      </c>
      <c r="Q26" s="1">
        <f t="shared" si="6"/>
        <v>529417</v>
      </c>
      <c r="R26" s="9">
        <f>SUM($Q$21:Q26)</f>
        <v>617631</v>
      </c>
      <c r="S26" s="282">
        <f t="shared" si="7"/>
        <v>-1094180.3277074164</v>
      </c>
      <c r="T26" s="9">
        <f t="shared" si="11"/>
        <v>7.0590437460970348E-5</v>
      </c>
      <c r="U26" s="287">
        <f t="shared" si="8"/>
        <v>84513031.057418793</v>
      </c>
    </row>
    <row r="27" spans="1:21" x14ac:dyDescent="0.2">
      <c r="A27" s="97">
        <v>7</v>
      </c>
      <c r="B27" s="93">
        <f t="shared" si="9"/>
        <v>117649</v>
      </c>
      <c r="C27" s="1">
        <f t="shared" si="2"/>
        <v>823543</v>
      </c>
      <c r="D27" s="9">
        <f>SUM($C$21:C27)</f>
        <v>960799</v>
      </c>
      <c r="E27" s="9">
        <f t="shared" si="3"/>
        <v>-1702214.3125333351</v>
      </c>
      <c r="F27" s="9">
        <f t="shared" si="4"/>
        <v>5.3304784130393832E-5</v>
      </c>
      <c r="G27" s="287">
        <f t="shared" si="5"/>
        <v>154452401.23518398</v>
      </c>
      <c r="O27" s="99">
        <v>7</v>
      </c>
      <c r="P27" s="93">
        <f t="shared" si="10"/>
        <v>529417</v>
      </c>
      <c r="Q27" s="1">
        <f t="shared" si="6"/>
        <v>3705940</v>
      </c>
      <c r="R27" s="9">
        <f>SUM($Q$21:Q27)</f>
        <v>4323571</v>
      </c>
      <c r="S27" s="282">
        <f t="shared" si="7"/>
        <v>-7659921.0005985266</v>
      </c>
      <c r="T27" s="9">
        <f t="shared" si="11"/>
        <v>1.1845574708429274E-5</v>
      </c>
      <c r="U27" s="287">
        <f t="shared" si="8"/>
        <v>695031867.08229887</v>
      </c>
    </row>
    <row r="28" spans="1:21" x14ac:dyDescent="0.2">
      <c r="A28" s="97">
        <v>8</v>
      </c>
      <c r="B28" s="93">
        <f t="shared" si="9"/>
        <v>823543</v>
      </c>
      <c r="C28" s="1">
        <f t="shared" si="2"/>
        <v>5764801</v>
      </c>
      <c r="D28" s="9">
        <f>SUM($C$21:C28)</f>
        <v>6725600</v>
      </c>
      <c r="E28" s="9">
        <f t="shared" si="3"/>
        <v>-11915643.323035618</v>
      </c>
      <c r="F28" s="9">
        <f t="shared" si="4"/>
        <v>8.7477359627830895E-6</v>
      </c>
      <c r="G28" s="287">
        <f t="shared" si="5"/>
        <v>1242025909.4752917</v>
      </c>
      <c r="O28" s="99">
        <v>8</v>
      </c>
      <c r="P28" s="93">
        <f t="shared" si="10"/>
        <v>3705940</v>
      </c>
      <c r="Q28" s="1">
        <f t="shared" si="6"/>
        <v>25941601</v>
      </c>
      <c r="R28" s="9">
        <f>SUM($Q$21:Q28)</f>
        <v>30265172</v>
      </c>
      <c r="S28" s="282">
        <f t="shared" si="7"/>
        <v>-53620345.346485749</v>
      </c>
      <c r="T28" s="9">
        <f t="shared" si="11"/>
        <v>1.943943123511538E-6</v>
      </c>
      <c r="U28" s="287">
        <f t="shared" si="8"/>
        <v>5589111421.8398552</v>
      </c>
    </row>
    <row r="29" spans="1:21" x14ac:dyDescent="0.2">
      <c r="A29" s="97">
        <v>9</v>
      </c>
      <c r="B29" s="93">
        <f t="shared" si="9"/>
        <v>5764801</v>
      </c>
      <c r="C29" s="1">
        <f t="shared" si="2"/>
        <v>40353607</v>
      </c>
      <c r="D29" s="9">
        <f>SUM($C$21:C29)</f>
        <v>47079207</v>
      </c>
      <c r="E29" s="9">
        <f t="shared" si="3"/>
        <v>-83409714.96629931</v>
      </c>
      <c r="F29" s="9">
        <f t="shared" si="4"/>
        <v>1.4115136099420744E-6</v>
      </c>
      <c r="G29" s="287">
        <f t="shared" si="5"/>
        <v>9820155034.2210426</v>
      </c>
      <c r="O29" s="99">
        <v>9</v>
      </c>
      <c r="P29" s="93">
        <f t="shared" si="10"/>
        <v>25941601</v>
      </c>
      <c r="Q29" s="1">
        <f t="shared" si="6"/>
        <v>181591228</v>
      </c>
      <c r="R29" s="9">
        <f>SUM($Q$21:Q29)</f>
        <v>211856400</v>
      </c>
      <c r="S29" s="282">
        <f t="shared" si="7"/>
        <v>-375343661.54014224</v>
      </c>
      <c r="T29" s="9">
        <f t="shared" si="11"/>
        <v>3.1366973773641095E-7</v>
      </c>
      <c r="U29" s="287">
        <f t="shared" si="8"/>
        <v>44190691083.474434</v>
      </c>
    </row>
    <row r="30" spans="1:21" ht="17" thickBot="1" x14ac:dyDescent="0.25">
      <c r="A30" s="145">
        <v>10</v>
      </c>
      <c r="B30" s="94">
        <f t="shared" si="9"/>
        <v>40353607</v>
      </c>
      <c r="C30" s="111">
        <f t="shared" si="2"/>
        <v>282475249</v>
      </c>
      <c r="D30" s="10">
        <f>SUM($C$21:C30)</f>
        <v>329554456</v>
      </c>
      <c r="E30" s="10">
        <f t="shared" si="3"/>
        <v>-583868321.00138271</v>
      </c>
      <c r="F30" s="10">
        <f t="shared" si="4"/>
        <v>2.2476484213022636E-7</v>
      </c>
      <c r="G30" s="288">
        <f t="shared" si="5"/>
        <v>76622832821.540161</v>
      </c>
      <c r="O30" s="100">
        <v>10</v>
      </c>
      <c r="P30" s="94">
        <f t="shared" si="10"/>
        <v>181591228</v>
      </c>
      <c r="Q30" s="111">
        <f t="shared" si="6"/>
        <v>1271138617</v>
      </c>
      <c r="R30" s="10">
        <f>SUM($Q$21:Q30)</f>
        <v>1482995017</v>
      </c>
      <c r="S30" s="283">
        <f t="shared" si="7"/>
        <v>-2627407382.4970737</v>
      </c>
      <c r="T30" s="10">
        <f t="shared" si="11"/>
        <v>4.9947743874416966E-8</v>
      </c>
      <c r="U30" s="288">
        <f t="shared" si="8"/>
        <v>344802739559.27972</v>
      </c>
    </row>
    <row r="31" spans="1:21" ht="17" thickBot="1" x14ac:dyDescent="0.25"/>
    <row r="32" spans="1:21" ht="17" thickBot="1" x14ac:dyDescent="0.25">
      <c r="A32" s="117" t="s">
        <v>135</v>
      </c>
      <c r="B32" s="118" t="s">
        <v>140</v>
      </c>
      <c r="C32" s="118" t="s">
        <v>139</v>
      </c>
      <c r="D32" s="170" t="s">
        <v>138</v>
      </c>
      <c r="E32" s="167" t="s">
        <v>151</v>
      </c>
      <c r="F32" s="168" t="s">
        <v>152</v>
      </c>
      <c r="G32" s="290" t="s">
        <v>47</v>
      </c>
      <c r="O32" s="29" t="s">
        <v>135</v>
      </c>
      <c r="P32" s="118" t="s">
        <v>140</v>
      </c>
      <c r="Q32" s="118" t="s">
        <v>139</v>
      </c>
      <c r="R32" s="118" t="s">
        <v>138</v>
      </c>
      <c r="S32" s="166" t="s">
        <v>151</v>
      </c>
      <c r="T32" s="168" t="s">
        <v>152</v>
      </c>
      <c r="U32" s="294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7</v>
      </c>
      <c r="D33" s="57">
        <f>SUM($C$33:C33)</f>
        <v>7</v>
      </c>
      <c r="E33" s="9">
        <f t="shared" ref="E33:E42" si="13">D33/R7</f>
        <v>-10.8978609404538</v>
      </c>
      <c r="F33" s="8">
        <f t="shared" ref="F33:F42" si="14">U7/E33</f>
        <v>1.0171733216866454</v>
      </c>
      <c r="G33" s="289">
        <f>E33*U7</f>
        <v>120.80293468791902</v>
      </c>
      <c r="O33" s="101">
        <v>1</v>
      </c>
      <c r="P33" s="109">
        <v>1</v>
      </c>
      <c r="Q33" s="110">
        <f>P33*7+21</f>
        <v>28</v>
      </c>
      <c r="R33" s="57">
        <f>SUM($Q$21)</f>
        <v>28</v>
      </c>
      <c r="S33" s="281">
        <f>R33/R7</f>
        <v>-43.591443761815199</v>
      </c>
      <c r="T33" s="8">
        <f>U7/S33</f>
        <v>0.25429333042166136</v>
      </c>
      <c r="U33" s="289">
        <f>S33*U7</f>
        <v>483.21173875167608</v>
      </c>
    </row>
    <row r="34" spans="1:21" x14ac:dyDescent="0.2">
      <c r="A34" s="97">
        <v>2</v>
      </c>
      <c r="B34" s="93">
        <f t="shared" ref="B34:B42" si="15">B33*($O$2+1)</f>
        <v>8</v>
      </c>
      <c r="C34" s="1">
        <f t="shared" si="12"/>
        <v>56</v>
      </c>
      <c r="D34" s="9">
        <f>SUM($C$33:C34)</f>
        <v>63</v>
      </c>
      <c r="E34" s="9">
        <f t="shared" si="13"/>
        <v>-108.47834090701647</v>
      </c>
      <c r="F34" s="9">
        <f t="shared" si="14"/>
        <v>0.21813167339623005</v>
      </c>
      <c r="G34" s="287">
        <f t="shared" ref="G34:G42" si="16">E34*U8</f>
        <v>2566.8754705472015</v>
      </c>
      <c r="O34" s="99">
        <v>2</v>
      </c>
      <c r="P34" s="93">
        <f>Q33+1</f>
        <v>29</v>
      </c>
      <c r="Q34" s="1">
        <f t="shared" ref="Q34:Q42" si="17">P34*7+21</f>
        <v>224</v>
      </c>
      <c r="R34" s="9">
        <f>SUM($Q$33:Q34)</f>
        <v>252</v>
      </c>
      <c r="S34" s="282">
        <f>R34/R8</f>
        <v>-433.91336362806589</v>
      </c>
      <c r="T34" s="9">
        <f t="shared" ref="T34:T42" si="18">U8/S34</f>
        <v>5.4532918349057512E-2</v>
      </c>
      <c r="U34" s="287">
        <f t="shared" ref="U34:U42" si="19">S34*U8</f>
        <v>10267.501882188806</v>
      </c>
    </row>
    <row r="35" spans="1:21" x14ac:dyDescent="0.2">
      <c r="A35" s="97">
        <v>3</v>
      </c>
      <c r="B35" s="93">
        <f t="shared" si="15"/>
        <v>64</v>
      </c>
      <c r="C35" s="1">
        <f t="shared" si="12"/>
        <v>448</v>
      </c>
      <c r="D35" s="9">
        <f>SUM($C$33:C35)</f>
        <v>511</v>
      </c>
      <c r="E35" s="9">
        <f t="shared" si="13"/>
        <v>-899.71123579490438</v>
      </c>
      <c r="F35" s="9">
        <f t="shared" si="14"/>
        <v>4.0969558698933463E-2</v>
      </c>
      <c r="G35" s="287">
        <f t="shared" si="16"/>
        <v>33164.050986681708</v>
      </c>
      <c r="O35" s="99">
        <v>3</v>
      </c>
      <c r="P35" s="93">
        <f t="shared" ref="P35:P42" si="20">Q34+1</f>
        <v>225</v>
      </c>
      <c r="Q35" s="1">
        <f t="shared" si="17"/>
        <v>1596</v>
      </c>
      <c r="R35" s="9">
        <f>SUM($Q$33:Q35)</f>
        <v>1848</v>
      </c>
      <c r="S35" s="282">
        <f t="shared" ref="S35:S42" si="21">R35/R9</f>
        <v>-3253.75022260075</v>
      </c>
      <c r="T35" s="9">
        <f t="shared" si="18"/>
        <v>1.1328703731144481E-2</v>
      </c>
      <c r="U35" s="287">
        <f t="shared" si="19"/>
        <v>119935.746034027</v>
      </c>
    </row>
    <row r="36" spans="1:21" x14ac:dyDescent="0.2">
      <c r="A36" s="97">
        <v>4</v>
      </c>
      <c r="B36" s="93">
        <f t="shared" si="15"/>
        <v>512</v>
      </c>
      <c r="C36" s="1">
        <f t="shared" si="12"/>
        <v>3584</v>
      </c>
      <c r="D36" s="9">
        <f>SUM($C$33:C36)</f>
        <v>4095</v>
      </c>
      <c r="E36" s="9">
        <f t="shared" si="13"/>
        <v>-7245.2282528868645</v>
      </c>
      <c r="F36" s="9">
        <f t="shared" si="14"/>
        <v>6.9385337110710547E-3</v>
      </c>
      <c r="G36" s="287">
        <f t="shared" si="16"/>
        <v>364226.75671662955</v>
      </c>
      <c r="O36" s="99">
        <v>4</v>
      </c>
      <c r="P36" s="93">
        <f t="shared" si="20"/>
        <v>1597</v>
      </c>
      <c r="Q36" s="1">
        <f t="shared" si="17"/>
        <v>11200</v>
      </c>
      <c r="R36" s="9">
        <f>SUM($Q$33:Q36)</f>
        <v>13048</v>
      </c>
      <c r="S36" s="282">
        <f t="shared" si="21"/>
        <v>-23085.650364754045</v>
      </c>
      <c r="T36" s="9">
        <f t="shared" si="18"/>
        <v>2.1775977580346388E-3</v>
      </c>
      <c r="U36" s="287">
        <f t="shared" si="19"/>
        <v>1160544.7427688846</v>
      </c>
    </row>
    <row r="37" spans="1:21" x14ac:dyDescent="0.2">
      <c r="A37" s="97">
        <v>5</v>
      </c>
      <c r="B37" s="93">
        <f t="shared" si="15"/>
        <v>4096</v>
      </c>
      <c r="C37" s="1">
        <f t="shared" si="12"/>
        <v>28672</v>
      </c>
      <c r="D37" s="9">
        <f>SUM($C$33:C37)</f>
        <v>32767</v>
      </c>
      <c r="E37" s="9">
        <f t="shared" si="13"/>
        <v>-58035.808549707421</v>
      </c>
      <c r="F37" s="9">
        <f t="shared" si="14"/>
        <v>1.0983902672120863E-3</v>
      </c>
      <c r="G37" s="287">
        <f t="shared" si="16"/>
        <v>3699548.751762697</v>
      </c>
      <c r="O37" s="99">
        <v>5</v>
      </c>
      <c r="P37" s="93">
        <f t="shared" si="20"/>
        <v>11201</v>
      </c>
      <c r="Q37" s="1">
        <f t="shared" si="17"/>
        <v>78428</v>
      </c>
      <c r="R37" s="9">
        <f>SUM($Q$33:Q37)</f>
        <v>91476</v>
      </c>
      <c r="S37" s="282">
        <f t="shared" si="21"/>
        <v>-162019.21515222741</v>
      </c>
      <c r="T37" s="9">
        <f t="shared" si="18"/>
        <v>3.9344695751605265E-4</v>
      </c>
      <c r="U37" s="287">
        <f t="shared" si="19"/>
        <v>10328071.584711583</v>
      </c>
    </row>
    <row r="38" spans="1:21" x14ac:dyDescent="0.2">
      <c r="A38" s="97">
        <v>6</v>
      </c>
      <c r="B38" s="93">
        <f t="shared" si="15"/>
        <v>32768</v>
      </c>
      <c r="C38" s="1">
        <f t="shared" si="12"/>
        <v>229376</v>
      </c>
      <c r="D38" s="9">
        <f>SUM($C$33:C38)</f>
        <v>262143</v>
      </c>
      <c r="E38" s="9">
        <f t="shared" si="13"/>
        <v>-464406.27760945493</v>
      </c>
      <c r="F38" s="9">
        <f t="shared" si="14"/>
        <v>1.6631701963987813E-4</v>
      </c>
      <c r="G38" s="287">
        <f t="shared" si="16"/>
        <v>35870122.290631354</v>
      </c>
      <c r="O38" s="99">
        <v>6</v>
      </c>
      <c r="P38" s="93">
        <f t="shared" si="20"/>
        <v>78429</v>
      </c>
      <c r="Q38" s="1">
        <f t="shared" si="17"/>
        <v>549024</v>
      </c>
      <c r="R38" s="9">
        <f>SUM($Q$33:Q38)</f>
        <v>640500</v>
      </c>
      <c r="S38" s="282">
        <f t="shared" si="21"/>
        <v>-1134694.50188964</v>
      </c>
      <c r="T38" s="9">
        <f t="shared" si="18"/>
        <v>6.8070011677527818E-5</v>
      </c>
      <c r="U38" s="287">
        <f t="shared" si="19"/>
        <v>87642291.906132847</v>
      </c>
    </row>
    <row r="39" spans="1:21" x14ac:dyDescent="0.2">
      <c r="A39" s="97">
        <v>7</v>
      </c>
      <c r="B39" s="93">
        <f t="shared" si="15"/>
        <v>262144</v>
      </c>
      <c r="C39" s="1">
        <f t="shared" si="12"/>
        <v>1835008</v>
      </c>
      <c r="D39" s="9">
        <f>SUM($C$33:C39)</f>
        <v>2097151</v>
      </c>
      <c r="E39" s="9">
        <f t="shared" si="13"/>
        <v>-3715449.7951638126</v>
      </c>
      <c r="F39" s="9">
        <f t="shared" si="14"/>
        <v>2.4421314100748238E-5</v>
      </c>
      <c r="G39" s="287">
        <f t="shared" si="16"/>
        <v>337125671.1370092</v>
      </c>
      <c r="O39" s="99">
        <v>7</v>
      </c>
      <c r="P39" s="93">
        <f t="shared" si="20"/>
        <v>549025</v>
      </c>
      <c r="Q39" s="1">
        <f t="shared" si="17"/>
        <v>3843196</v>
      </c>
      <c r="R39" s="9">
        <f>SUM($Q$33:Q39)</f>
        <v>4483696</v>
      </c>
      <c r="S39" s="282">
        <f t="shared" si="21"/>
        <v>-7943608.917420256</v>
      </c>
      <c r="T39" s="9">
        <f t="shared" si="18"/>
        <v>1.1422536962295896E-5</v>
      </c>
      <c r="U39" s="287">
        <f t="shared" si="19"/>
        <v>720772621.12948656</v>
      </c>
    </row>
    <row r="40" spans="1:21" x14ac:dyDescent="0.2">
      <c r="A40" s="97">
        <v>8</v>
      </c>
      <c r="B40" s="93">
        <f t="shared" si="15"/>
        <v>2097152</v>
      </c>
      <c r="C40" s="1">
        <f t="shared" si="12"/>
        <v>14680064</v>
      </c>
      <c r="D40" s="9">
        <f>SUM($C$33:C40)</f>
        <v>16777215</v>
      </c>
      <c r="E40" s="9">
        <f t="shared" si="13"/>
        <v>-29723936.882045176</v>
      </c>
      <c r="F40" s="9">
        <f t="shared" si="14"/>
        <v>3.5067663489616093E-6</v>
      </c>
      <c r="G40" s="287">
        <f t="shared" si="16"/>
        <v>3098271636.5584493</v>
      </c>
      <c r="O40" s="99">
        <v>8</v>
      </c>
      <c r="P40" s="93">
        <f t="shared" si="20"/>
        <v>3843197</v>
      </c>
      <c r="Q40" s="1">
        <f t="shared" si="17"/>
        <v>26902400</v>
      </c>
      <c r="R40" s="9">
        <f>SUM($Q$33:Q40)</f>
        <v>31386096</v>
      </c>
      <c r="S40" s="282">
        <f t="shared" si="21"/>
        <v>-55606269.364600174</v>
      </c>
      <c r="T40" s="9">
        <f t="shared" si="18"/>
        <v>1.8745170788776643E-6</v>
      </c>
      <c r="U40" s="287">
        <f t="shared" si="19"/>
        <v>5796114016.4860849</v>
      </c>
    </row>
    <row r="41" spans="1:21" x14ac:dyDescent="0.2">
      <c r="A41" s="97">
        <v>9</v>
      </c>
      <c r="B41" s="93">
        <f t="shared" si="15"/>
        <v>16777216</v>
      </c>
      <c r="C41" s="1">
        <f t="shared" si="12"/>
        <v>117440512</v>
      </c>
      <c r="D41" s="9">
        <f>SUM($C$33:C41)</f>
        <v>134217727</v>
      </c>
      <c r="E41" s="9">
        <f t="shared" si="13"/>
        <v>-237792075.65018195</v>
      </c>
      <c r="F41" s="9">
        <f t="shared" si="14"/>
        <v>4.951129996843128E-7</v>
      </c>
      <c r="G41" s="287">
        <f t="shared" si="16"/>
        <v>27996199840.00061</v>
      </c>
      <c r="O41" s="99">
        <v>9</v>
      </c>
      <c r="P41" s="93">
        <f t="shared" si="20"/>
        <v>26902401</v>
      </c>
      <c r="Q41" s="1">
        <f t="shared" si="17"/>
        <v>188316828</v>
      </c>
      <c r="R41" s="9">
        <f>SUM($Q$33:Q41)</f>
        <v>219702924</v>
      </c>
      <c r="S41" s="282">
        <f t="shared" si="21"/>
        <v>-389245262.09845722</v>
      </c>
      <c r="T41" s="9">
        <f t="shared" si="18"/>
        <v>3.0246725995226249E-7</v>
      </c>
      <c r="U41" s="287">
        <f t="shared" si="19"/>
        <v>45827381399.004517</v>
      </c>
    </row>
    <row r="42" spans="1:21" ht="17" thickBot="1" x14ac:dyDescent="0.25">
      <c r="A42" s="145">
        <v>10</v>
      </c>
      <c r="B42" s="94">
        <f t="shared" si="15"/>
        <v>134217728</v>
      </c>
      <c r="C42" s="111">
        <f t="shared" si="12"/>
        <v>939524096</v>
      </c>
      <c r="D42" s="10">
        <f>SUM($C$33:C42)</f>
        <v>1073741823</v>
      </c>
      <c r="E42" s="9">
        <f t="shared" si="13"/>
        <v>-1902337607.5484591</v>
      </c>
      <c r="F42" s="10">
        <f t="shared" si="14"/>
        <v>6.8985163555608867E-8</v>
      </c>
      <c r="G42" s="288">
        <f t="shared" si="16"/>
        <v>249649606307.32532</v>
      </c>
      <c r="O42" s="100">
        <v>10</v>
      </c>
      <c r="P42" s="94">
        <f t="shared" si="20"/>
        <v>188316829</v>
      </c>
      <c r="Q42" s="111">
        <f t="shared" si="17"/>
        <v>1318217824</v>
      </c>
      <c r="R42" s="10">
        <f>SUM($Q$33:Q42)</f>
        <v>1537920748</v>
      </c>
      <c r="S42" s="283">
        <f t="shared" si="21"/>
        <v>-2724718748.6609216</v>
      </c>
      <c r="T42" s="10">
        <f t="shared" si="18"/>
        <v>4.8163896203676563E-8</v>
      </c>
      <c r="U42" s="288">
        <f t="shared" si="19"/>
        <v>357573208983.65277</v>
      </c>
    </row>
    <row r="43" spans="1:21" ht="17" thickBot="1" x14ac:dyDescent="0.25">
      <c r="U43" s="285"/>
    </row>
    <row r="44" spans="1:21" ht="17" thickBot="1" x14ac:dyDescent="0.25">
      <c r="A44" s="117" t="s">
        <v>135</v>
      </c>
      <c r="B44" s="118" t="s">
        <v>140</v>
      </c>
      <c r="C44" s="118" t="s">
        <v>139</v>
      </c>
      <c r="D44" s="170" t="s">
        <v>138</v>
      </c>
      <c r="E44" s="167" t="s">
        <v>151</v>
      </c>
      <c r="F44" s="168" t="s">
        <v>152</v>
      </c>
      <c r="G44" s="290" t="s">
        <v>47</v>
      </c>
      <c r="O44" s="29" t="s">
        <v>135</v>
      </c>
      <c r="P44" s="118" t="s">
        <v>140</v>
      </c>
      <c r="Q44" s="118" t="s">
        <v>139</v>
      </c>
      <c r="R44" s="118" t="s">
        <v>138</v>
      </c>
      <c r="S44" s="166" t="s">
        <v>151</v>
      </c>
      <c r="T44" s="168" t="s">
        <v>152</v>
      </c>
      <c r="U44" s="294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7</v>
      </c>
      <c r="D45" s="57">
        <f>SUM(C45:C45)</f>
        <v>7</v>
      </c>
      <c r="E45" s="57">
        <f t="shared" ref="E45:E54" si="23">D45/R7</f>
        <v>-10.8978609404538</v>
      </c>
      <c r="F45" s="8">
        <f t="shared" ref="F45:F54" si="24">U7/E45</f>
        <v>1.0171733216866454</v>
      </c>
      <c r="G45" s="286">
        <f>E45*U7</f>
        <v>120.80293468791902</v>
      </c>
      <c r="O45" s="101">
        <v>1</v>
      </c>
      <c r="P45" s="109">
        <v>1</v>
      </c>
      <c r="Q45" s="110">
        <f>P45*7+21</f>
        <v>28</v>
      </c>
      <c r="R45" s="57">
        <f>SUM($Q$21)</f>
        <v>28</v>
      </c>
      <c r="S45" s="281">
        <f>R45/R7</f>
        <v>-43.591443761815199</v>
      </c>
      <c r="T45" s="8">
        <f>U7/S45</f>
        <v>0.25429333042166136</v>
      </c>
      <c r="U45" s="289">
        <f>S45*U7</f>
        <v>483.21173875167608</v>
      </c>
    </row>
    <row r="46" spans="1:21" x14ac:dyDescent="0.2">
      <c r="A46" s="97">
        <v>2</v>
      </c>
      <c r="B46" s="93">
        <f t="shared" ref="B46:B54" si="25">B45*$O$2*2</f>
        <v>14</v>
      </c>
      <c r="C46" s="1">
        <f t="shared" si="22"/>
        <v>98</v>
      </c>
      <c r="D46" s="9">
        <f>SUM($C$45:C46)</f>
        <v>105</v>
      </c>
      <c r="E46" s="9">
        <f t="shared" si="23"/>
        <v>-180.79723484502745</v>
      </c>
      <c r="F46" s="9">
        <f t="shared" si="24"/>
        <v>0.13087900403773803</v>
      </c>
      <c r="G46" s="287">
        <f t="shared" ref="G46:G54" si="26">E46*U8</f>
        <v>4278.125784245336</v>
      </c>
      <c r="O46" s="99">
        <v>2</v>
      </c>
      <c r="P46" s="93">
        <f>Q45*2</f>
        <v>56</v>
      </c>
      <c r="Q46" s="1">
        <f t="shared" ref="Q46:Q54" si="27">P46*7+21</f>
        <v>413</v>
      </c>
      <c r="R46" s="9">
        <f>SUM($Q$45:Q46)</f>
        <v>441</v>
      </c>
      <c r="S46" s="282">
        <f t="shared" ref="S46:S54" si="28">R46/R8</f>
        <v>-759.34838634911523</v>
      </c>
      <c r="T46" s="9">
        <f t="shared" ref="T46:T54" si="29">U8/S46</f>
        <v>3.1161667628032866E-2</v>
      </c>
      <c r="U46" s="287">
        <f t="shared" ref="U46:U54" si="30">S46*U8</f>
        <v>17968.12829383041</v>
      </c>
    </row>
    <row r="47" spans="1:21" x14ac:dyDescent="0.2">
      <c r="A47" s="97">
        <v>3</v>
      </c>
      <c r="B47" s="93">
        <f t="shared" si="25"/>
        <v>196</v>
      </c>
      <c r="C47" s="1">
        <f t="shared" si="22"/>
        <v>1372</v>
      </c>
      <c r="D47" s="9">
        <f>SUM($C$45:C47)</f>
        <v>1477</v>
      </c>
      <c r="E47" s="9">
        <f t="shared" si="23"/>
        <v>-2600.535215790751</v>
      </c>
      <c r="F47" s="9">
        <f t="shared" si="24"/>
        <v>1.4174302298683142E-2</v>
      </c>
      <c r="G47" s="287">
        <f t="shared" si="26"/>
        <v>95857.736413559454</v>
      </c>
      <c r="O47" s="99">
        <v>3</v>
      </c>
      <c r="P47" s="93">
        <f t="shared" ref="P47:P54" si="31">Q46*2</f>
        <v>826</v>
      </c>
      <c r="Q47" s="1">
        <f t="shared" si="27"/>
        <v>5803</v>
      </c>
      <c r="R47" s="9">
        <f>SUM($Q$45:Q47)</f>
        <v>6244</v>
      </c>
      <c r="S47" s="282">
        <f t="shared" si="28"/>
        <v>-10993.731812726777</v>
      </c>
      <c r="T47" s="9">
        <f t="shared" si="29"/>
        <v>3.3528898935225818E-3</v>
      </c>
      <c r="U47" s="287">
        <f t="shared" si="30"/>
        <v>405237.44493315188</v>
      </c>
    </row>
    <row r="48" spans="1:21" x14ac:dyDescent="0.2">
      <c r="A48" s="97">
        <v>4</v>
      </c>
      <c r="B48" s="93">
        <f t="shared" si="25"/>
        <v>2744</v>
      </c>
      <c r="C48" s="1">
        <f t="shared" si="22"/>
        <v>19208</v>
      </c>
      <c r="D48" s="9">
        <f>SUM($C$45:C48)</f>
        <v>20685</v>
      </c>
      <c r="E48" s="9">
        <f t="shared" si="23"/>
        <v>-36597.691431249033</v>
      </c>
      <c r="F48" s="9">
        <f t="shared" si="24"/>
        <v>1.3736183488922392E-3</v>
      </c>
      <c r="G48" s="287">
        <f t="shared" si="26"/>
        <v>1839812.0787993851</v>
      </c>
      <c r="O48" s="99">
        <v>4</v>
      </c>
      <c r="P48" s="93">
        <f t="shared" si="31"/>
        <v>11606</v>
      </c>
      <c r="Q48" s="1">
        <f t="shared" si="27"/>
        <v>81263</v>
      </c>
      <c r="R48" s="9">
        <f>SUM($Q$45:Q48)</f>
        <v>87507</v>
      </c>
      <c r="S48" s="282">
        <f t="shared" si="28"/>
        <v>-154824.95451169007</v>
      </c>
      <c r="T48" s="9">
        <f t="shared" si="29"/>
        <v>3.2469740188597446E-4</v>
      </c>
      <c r="U48" s="287">
        <f t="shared" si="30"/>
        <v>7783245.6166061293</v>
      </c>
    </row>
    <row r="49" spans="1:21" x14ac:dyDescent="0.2">
      <c r="A49" s="97">
        <v>5</v>
      </c>
      <c r="B49" s="93">
        <f t="shared" si="25"/>
        <v>38416</v>
      </c>
      <c r="C49" s="1">
        <f t="shared" si="22"/>
        <v>268912</v>
      </c>
      <c r="D49" s="9">
        <f>SUM($C$45:C49)</f>
        <v>289597</v>
      </c>
      <c r="E49" s="9">
        <f t="shared" si="23"/>
        <v>-512924.46817131928</v>
      </c>
      <c r="F49" s="9">
        <f t="shared" si="24"/>
        <v>1.2427944310796878E-4</v>
      </c>
      <c r="G49" s="287">
        <f t="shared" si="26"/>
        <v>32696866.355303254</v>
      </c>
      <c r="O49" s="99">
        <v>5</v>
      </c>
      <c r="P49" s="93">
        <f t="shared" si="31"/>
        <v>162526</v>
      </c>
      <c r="Q49" s="1">
        <f t="shared" si="27"/>
        <v>1137703</v>
      </c>
      <c r="R49" s="9">
        <f>SUM($Q$45:Q49)</f>
        <v>1225210</v>
      </c>
      <c r="S49" s="282">
        <f t="shared" si="28"/>
        <v>-2170050.7520733369</v>
      </c>
      <c r="T49" s="9">
        <f t="shared" si="29"/>
        <v>2.9375334747299181E-5</v>
      </c>
      <c r="U49" s="287">
        <f t="shared" si="30"/>
        <v>138331984.19590363</v>
      </c>
    </row>
    <row r="50" spans="1:21" x14ac:dyDescent="0.2">
      <c r="A50" s="97">
        <v>6</v>
      </c>
      <c r="B50" s="93">
        <f t="shared" si="25"/>
        <v>537824</v>
      </c>
      <c r="C50" s="1">
        <f t="shared" si="22"/>
        <v>3764768</v>
      </c>
      <c r="D50" s="9">
        <f>SUM($C$45:C50)</f>
        <v>4054365</v>
      </c>
      <c r="E50" s="9">
        <f t="shared" si="23"/>
        <v>-7182616.1969614215</v>
      </c>
      <c r="F50" s="9">
        <f t="shared" si="24"/>
        <v>1.0753556347160793E-5</v>
      </c>
      <c r="G50" s="287">
        <f t="shared" si="26"/>
        <v>554775707.76582098</v>
      </c>
      <c r="O50" s="99">
        <v>6</v>
      </c>
      <c r="P50" s="93">
        <f t="shared" si="31"/>
        <v>2275406</v>
      </c>
      <c r="Q50" s="1">
        <f t="shared" si="27"/>
        <v>15927863</v>
      </c>
      <c r="R50" s="9">
        <f>SUM($Q$45:Q50)</f>
        <v>17153073</v>
      </c>
      <c r="S50" s="282">
        <f t="shared" si="28"/>
        <v>-30387974.431868281</v>
      </c>
      <c r="T50" s="9">
        <f t="shared" si="29"/>
        <v>2.5417511182664803E-6</v>
      </c>
      <c r="U50" s="287">
        <f t="shared" si="30"/>
        <v>2347126668.1548882</v>
      </c>
    </row>
    <row r="51" spans="1:21" x14ac:dyDescent="0.2">
      <c r="A51" s="97">
        <v>7</v>
      </c>
      <c r="B51" s="93">
        <f t="shared" si="25"/>
        <v>7529536</v>
      </c>
      <c r="C51" s="1">
        <f t="shared" si="22"/>
        <v>52706752</v>
      </c>
      <c r="D51" s="9">
        <f>SUM($C$45:C51)</f>
        <v>56761117</v>
      </c>
      <c r="E51" s="9">
        <f t="shared" si="23"/>
        <v>-100561705.15662402</v>
      </c>
      <c r="F51" s="9">
        <f t="shared" si="24"/>
        <v>9.0229343597481108E-7</v>
      </c>
      <c r="G51" s="287">
        <f t="shared" si="26"/>
        <v>9124583619.9259396</v>
      </c>
      <c r="O51" s="99">
        <v>7</v>
      </c>
      <c r="P51" s="93">
        <f t="shared" si="31"/>
        <v>31855726</v>
      </c>
      <c r="Q51" s="1">
        <f t="shared" si="27"/>
        <v>222990103</v>
      </c>
      <c r="R51" s="9">
        <f>SUM($Q$45:Q51)</f>
        <v>240143176</v>
      </c>
      <c r="S51" s="282">
        <f t="shared" si="28"/>
        <v>-425453347.93688554</v>
      </c>
      <c r="T51" s="9">
        <f t="shared" si="29"/>
        <v>2.1326936763632319E-7</v>
      </c>
      <c r="U51" s="287">
        <f t="shared" si="30"/>
        <v>38604005805.005424</v>
      </c>
    </row>
    <row r="52" spans="1:21" x14ac:dyDescent="0.2">
      <c r="A52" s="97">
        <v>8</v>
      </c>
      <c r="B52" s="93">
        <f t="shared" si="25"/>
        <v>105413504</v>
      </c>
      <c r="C52" s="1">
        <f t="shared" si="22"/>
        <v>737894528</v>
      </c>
      <c r="D52" s="9">
        <f>SUM($C$45:C52)</f>
        <v>794655645</v>
      </c>
      <c r="E52" s="9">
        <f t="shared" si="23"/>
        <v>-1407879331.2800066</v>
      </c>
      <c r="F52" s="9">
        <f t="shared" si="24"/>
        <v>7.403681501726946E-8</v>
      </c>
      <c r="G52" s="287">
        <f t="shared" si="26"/>
        <v>146750163584.03705</v>
      </c>
      <c r="O52" s="99">
        <v>8</v>
      </c>
      <c r="P52" s="93">
        <f t="shared" si="31"/>
        <v>445980206</v>
      </c>
      <c r="Q52" s="1">
        <f t="shared" si="27"/>
        <v>3121861463</v>
      </c>
      <c r="R52" s="9">
        <f>SUM($Q$45:Q52)</f>
        <v>3362004639</v>
      </c>
      <c r="S52" s="282">
        <f t="shared" si="28"/>
        <v>-5956412532.5197945</v>
      </c>
      <c r="T52" s="9">
        <f t="shared" si="29"/>
        <v>1.7499610889529751E-8</v>
      </c>
      <c r="U52" s="287">
        <f t="shared" si="30"/>
        <v>620866074315.17261</v>
      </c>
    </row>
    <row r="53" spans="1:21" x14ac:dyDescent="0.2">
      <c r="A53" s="97">
        <v>9</v>
      </c>
      <c r="B53" s="93">
        <f t="shared" si="25"/>
        <v>1475789056</v>
      </c>
      <c r="C53" s="1">
        <f t="shared" si="22"/>
        <v>10330523392</v>
      </c>
      <c r="D53" s="9">
        <f>SUM($C$45:C53)</f>
        <v>11125179037</v>
      </c>
      <c r="E53" s="9">
        <f t="shared" si="23"/>
        <v>-19710357747.21563</v>
      </c>
      <c r="F53" s="9">
        <f t="shared" si="24"/>
        <v>5.9732019776735009E-9</v>
      </c>
      <c r="G53" s="287">
        <f t="shared" si="26"/>
        <v>2320578231634.3169</v>
      </c>
      <c r="O53" s="99">
        <v>9</v>
      </c>
      <c r="P53" s="93">
        <f t="shared" si="31"/>
        <v>6243722926</v>
      </c>
      <c r="Q53" s="1">
        <f t="shared" si="27"/>
        <v>43706060503</v>
      </c>
      <c r="R53" s="9">
        <f>SUM($Q$45:Q53)</f>
        <v>47068065142</v>
      </c>
      <c r="S53" s="282">
        <f t="shared" si="28"/>
        <v>-83389975058.61618</v>
      </c>
      <c r="T53" s="9">
        <f t="shared" si="29"/>
        <v>1.4118477406134668E-9</v>
      </c>
      <c r="U53" s="287">
        <f t="shared" si="30"/>
        <v>9817830976958.793</v>
      </c>
    </row>
    <row r="54" spans="1:21" ht="17" thickBot="1" x14ac:dyDescent="0.25">
      <c r="A54" s="145">
        <v>10</v>
      </c>
      <c r="B54" s="94">
        <f t="shared" si="25"/>
        <v>20661046784</v>
      </c>
      <c r="C54" s="111">
        <f t="shared" si="22"/>
        <v>144627327488</v>
      </c>
      <c r="D54" s="10">
        <f>SUM($C$45:C54)</f>
        <v>155752506525</v>
      </c>
      <c r="E54" s="10">
        <f t="shared" si="23"/>
        <v>-275945152070.73596</v>
      </c>
      <c r="F54" s="10">
        <f t="shared" si="24"/>
        <v>4.7557664996077095E-10</v>
      </c>
      <c r="G54" s="288">
        <f t="shared" si="26"/>
        <v>36213129732346.625</v>
      </c>
      <c r="O54" s="100">
        <v>10</v>
      </c>
      <c r="P54" s="94">
        <f t="shared" si="31"/>
        <v>87412121006</v>
      </c>
      <c r="Q54" s="111">
        <f t="shared" si="27"/>
        <v>611884847063</v>
      </c>
      <c r="R54" s="10">
        <f>SUM($Q$45:Q54)</f>
        <v>658952912205</v>
      </c>
      <c r="S54" s="283">
        <f t="shared" si="28"/>
        <v>-1167460258732.1863</v>
      </c>
      <c r="T54" s="10">
        <f t="shared" si="29"/>
        <v>1.124090263571197E-10</v>
      </c>
      <c r="U54" s="288">
        <f t="shared" si="30"/>
        <v>153209395017710.66</v>
      </c>
    </row>
  </sheetData>
  <mergeCells count="2">
    <mergeCell ref="A18:F18"/>
    <mergeCell ref="O18:T18"/>
  </mergeCells>
  <conditionalFormatting sqref="F45:F54">
    <cfRule type="cellIs" dxfId="213" priority="53" operator="equal">
      <formula>MAX($F$45:$F$54)</formula>
    </cfRule>
  </conditionalFormatting>
  <conditionalFormatting sqref="F21:F30">
    <cfRule type="cellIs" dxfId="212" priority="51" operator="equal">
      <formula>MAX($F$21:$F$30)</formula>
    </cfRule>
  </conditionalFormatting>
  <conditionalFormatting sqref="E33:E42">
    <cfRule type="cellIs" dxfId="211" priority="49" stopIfTrue="1" operator="lessThan">
      <formula>0</formula>
    </cfRule>
    <cfRule type="cellIs" dxfId="210" priority="50" operator="equal">
      <formula>MIN($E$33:$E$42)</formula>
    </cfRule>
  </conditionalFormatting>
  <conditionalFormatting sqref="E21:E30">
    <cfRule type="cellIs" dxfId="209" priority="45" stopIfTrue="1" operator="lessThan">
      <formula>0</formula>
    </cfRule>
    <cfRule type="cellIs" dxfId="208" priority="46" operator="equal">
      <formula>MIN($E$21:$E$30)</formula>
    </cfRule>
  </conditionalFormatting>
  <conditionalFormatting sqref="E45:E54">
    <cfRule type="cellIs" dxfId="207" priority="41" stopIfTrue="1" operator="lessThan">
      <formula>0</formula>
    </cfRule>
    <cfRule type="cellIs" dxfId="206" priority="42" operator="equal">
      <formula>MIN($E$45:$E$54)</formula>
    </cfRule>
  </conditionalFormatting>
  <conditionalFormatting sqref="F33:F42">
    <cfRule type="cellIs" dxfId="205" priority="31" operator="lessThanOrEqual">
      <formula>0</formula>
    </cfRule>
    <cfRule type="cellIs" dxfId="204" priority="32" operator="equal">
      <formula>MAX($F$33:$F$42)</formula>
    </cfRule>
  </conditionalFormatting>
  <conditionalFormatting sqref="S7:T16">
    <cfRule type="cellIs" dxfId="203" priority="13" operator="lessThanOrEqual">
      <formula>0</formula>
    </cfRule>
    <cfRule type="cellIs" dxfId="202" priority="14" operator="greaterThan">
      <formula>0</formula>
    </cfRule>
  </conditionalFormatting>
  <conditionalFormatting sqref="U7:U16">
    <cfRule type="cellIs" dxfId="201" priority="15" operator="lessThanOrEqual">
      <formula>0</formula>
    </cfRule>
    <cfRule type="cellIs" dxfId="200" priority="16" operator="greaterThan">
      <formula>0</formula>
    </cfRule>
  </conditionalFormatting>
  <conditionalFormatting sqref="R7:R16">
    <cfRule type="cellIs" dxfId="199" priority="17" operator="lessThanOrEqual">
      <formula>0</formula>
    </cfRule>
    <cfRule type="cellIs" dxfId="198" priority="18" operator="greaterThan">
      <formula>0</formula>
    </cfRule>
  </conditionalFormatting>
  <conditionalFormatting sqref="T21:T30">
    <cfRule type="cellIs" dxfId="197" priority="9" operator="equal">
      <formula>MAX($T$21:$T$30)</formula>
    </cfRule>
  </conditionalFormatting>
  <conditionalFormatting sqref="S33:S42">
    <cfRule type="cellIs" dxfId="196" priority="7" stopIfTrue="1" operator="lessThan">
      <formula>0</formula>
    </cfRule>
    <cfRule type="cellIs" dxfId="195" priority="8" operator="equal">
      <formula>MIN($E$21:$E$30)</formula>
    </cfRule>
  </conditionalFormatting>
  <conditionalFormatting sqref="T33:T42">
    <cfRule type="cellIs" dxfId="194" priority="6" operator="equal">
      <formula>MAX($T$21:$T$30)</formula>
    </cfRule>
  </conditionalFormatting>
  <conditionalFormatting sqref="S45:S54">
    <cfRule type="cellIs" dxfId="193" priority="4" stopIfTrue="1" operator="lessThan">
      <formula>0</formula>
    </cfRule>
    <cfRule type="cellIs" dxfId="192" priority="5" operator="equal">
      <formula>MIN($E$21:$E$30)</formula>
    </cfRule>
  </conditionalFormatting>
  <conditionalFormatting sqref="T45:T54">
    <cfRule type="cellIs" dxfId="191" priority="3" operator="equal">
      <formula>MAX($T$21:$T$30)</formula>
    </cfRule>
  </conditionalFormatting>
  <conditionalFormatting sqref="S21:S30">
    <cfRule type="cellIs" dxfId="190" priority="1" stopIfTrue="1" operator="lessThan">
      <formula>0</formula>
    </cfRule>
    <cfRule type="cellIs" dxfId="189" priority="2" operator="equal">
      <formula>MIN($E$21:$E$30)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>
    <pageSetUpPr fitToPage="1"/>
  </sheetPr>
  <dimension ref="A1:W54"/>
  <sheetViews>
    <sheetView workbookViewId="0">
      <selection activeCell="C7" sqref="C7:C16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0.999999999999999</v>
      </c>
    </row>
    <row r="2" spans="1:23" x14ac:dyDescent="0.2">
      <c r="A2" t="s">
        <v>40</v>
      </c>
      <c r="B2" s="149" t="s">
        <v>125</v>
      </c>
      <c r="C2" s="155">
        <f>Analysis!B46</f>
        <v>0.18004666656551041</v>
      </c>
      <c r="D2" s="149" t="s">
        <v>126</v>
      </c>
      <c r="E2" s="155">
        <f>Analysis!M46</f>
        <v>0.81995333343448862</v>
      </c>
      <c r="F2" s="149" t="s">
        <v>47</v>
      </c>
      <c r="G2" s="155">
        <f>Analysis!S46</f>
        <v>-7.8602967837500701</v>
      </c>
      <c r="H2" t="s">
        <v>156</v>
      </c>
      <c r="I2" s="169">
        <f>Analysis!T46</f>
        <v>-13.87978345152945</v>
      </c>
      <c r="J2" t="s">
        <v>48</v>
      </c>
      <c r="K2" s="169">
        <f>C2*G2+E2*I2</f>
        <v>-12.795994942560228</v>
      </c>
      <c r="L2" t="s">
        <v>47</v>
      </c>
      <c r="M2" s="176">
        <v>3</v>
      </c>
      <c r="N2" t="s">
        <v>156</v>
      </c>
      <c r="O2" s="176">
        <v>8</v>
      </c>
    </row>
    <row r="4" spans="1:23" x14ac:dyDescent="0.2">
      <c r="A4" t="s">
        <v>123</v>
      </c>
      <c r="B4">
        <f>$C$2</f>
        <v>0.18004666656551041</v>
      </c>
      <c r="C4" t="s">
        <v>124</v>
      </c>
      <c r="D4">
        <f>$E$2</f>
        <v>0.81995333343448862</v>
      </c>
      <c r="E4" t="s">
        <v>47</v>
      </c>
      <c r="F4">
        <f>G2</f>
        <v>-7.8602967837500701</v>
      </c>
      <c r="G4" t="s">
        <v>156</v>
      </c>
      <c r="H4">
        <f>I2</f>
        <v>-13.87978345152945</v>
      </c>
      <c r="I4" t="s">
        <v>48</v>
      </c>
      <c r="J4">
        <f>K2</f>
        <v>-12.795994942560228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60">
        <v>-10</v>
      </c>
      <c r="N6" s="104" t="s">
        <v>136</v>
      </c>
      <c r="R6" s="188" t="s">
        <v>49</v>
      </c>
      <c r="S6" s="164" t="s">
        <v>130</v>
      </c>
      <c r="T6" s="165" t="s">
        <v>137</v>
      </c>
      <c r="U6" s="268" t="s">
        <v>48</v>
      </c>
      <c r="V6" s="175" t="s">
        <v>47</v>
      </c>
      <c r="W6" s="168" t="s">
        <v>156</v>
      </c>
    </row>
    <row r="7" spans="1:23" x14ac:dyDescent="0.2">
      <c r="A7" s="101">
        <v>1</v>
      </c>
      <c r="B7" s="95">
        <f>C7*B4</f>
        <v>0.18004666656551041</v>
      </c>
      <c r="C7" s="95">
        <v>1</v>
      </c>
      <c r="D7" s="22">
        <f>C7*D4</f>
        <v>0.81995333343448862</v>
      </c>
      <c r="E7" s="2"/>
      <c r="F7" s="2"/>
      <c r="G7" s="2"/>
      <c r="H7" s="2"/>
      <c r="I7" s="2"/>
      <c r="J7" s="2"/>
      <c r="K7" s="2"/>
      <c r="L7" s="2"/>
      <c r="M7" s="261"/>
      <c r="N7" s="96">
        <f>B7+D7</f>
        <v>0.999999999999999</v>
      </c>
      <c r="R7" s="189">
        <f>B7-D7</f>
        <v>-0.63990666686897824</v>
      </c>
      <c r="S7" s="109">
        <f>SUM(C7)*$B$4*$F$4</f>
        <v>-1.4152202341298028</v>
      </c>
      <c r="T7" s="263">
        <f>SUM(C7)*$D$4*$H$4</f>
        <v>-11.380774708430424</v>
      </c>
      <c r="U7" s="265">
        <f>S7+T7</f>
        <v>-12.795994942560228</v>
      </c>
      <c r="V7" s="109">
        <f>(U7+W7*D7)/B7</f>
        <v>-66.516319560785803</v>
      </c>
      <c r="W7" s="57">
        <f>COUNT(D7:M7)</f>
        <v>1</v>
      </c>
    </row>
    <row r="8" spans="1:23" x14ac:dyDescent="0.2">
      <c r="A8" s="99">
        <v>2</v>
      </c>
      <c r="B8" s="97">
        <f>C8*B4</f>
        <v>0.21123061338121024</v>
      </c>
      <c r="C8" s="97">
        <f>1/(1-B4*D4*C7)</f>
        <v>1.1731992455653351</v>
      </c>
      <c r="D8" s="144">
        <f>C8*D4</f>
        <v>0.96196863218412365</v>
      </c>
      <c r="E8" s="1">
        <f>D8*D4</f>
        <v>0.7887693866187877</v>
      </c>
      <c r="F8" s="1"/>
      <c r="G8" s="1"/>
      <c r="H8" s="1"/>
      <c r="I8" s="1"/>
      <c r="J8" s="1"/>
      <c r="K8" s="1"/>
      <c r="L8" s="1"/>
      <c r="M8" s="262"/>
      <c r="N8" s="97">
        <f>B8+E8</f>
        <v>0.999999999999998</v>
      </c>
      <c r="R8" s="190">
        <f>B8-E8</f>
        <v>-0.57753877323757741</v>
      </c>
      <c r="S8" s="93">
        <f>SUM(C8:D8)*$B$4*$F$4</f>
        <v>-3.0217327838550232</v>
      </c>
      <c r="T8" s="262">
        <f>SUM(C8:D8)*$D$4*$H$4</f>
        <v>-24.299864581344107</v>
      </c>
      <c r="U8" s="266">
        <f>S8+T8</f>
        <v>-27.321597365199128</v>
      </c>
      <c r="V8" s="93">
        <f>(U8+W8*E8)/B8</f>
        <v>-121.8765508458803</v>
      </c>
      <c r="W8" s="9">
        <f>COUNT(D8:M8)</f>
        <v>2</v>
      </c>
    </row>
    <row r="9" spans="1:23" x14ac:dyDescent="0.2">
      <c r="A9" s="99">
        <v>3</v>
      </c>
      <c r="B9" s="97">
        <f>C9*B4</f>
        <v>0.2177630651638913</v>
      </c>
      <c r="C9" s="97">
        <f>1/(1-D4*B4*C8)</f>
        <v>1.2094812379359308</v>
      </c>
      <c r="D9" s="144">
        <f>C9*D4*C8</f>
        <v>1.163483012109588</v>
      </c>
      <c r="E9" s="1">
        <f>D9*(D4)</f>
        <v>0.95400177417365617</v>
      </c>
      <c r="F9" s="1">
        <f>E9*D4</f>
        <v>0.78223693483610557</v>
      </c>
      <c r="G9" s="1"/>
      <c r="H9" s="1"/>
      <c r="I9" s="1"/>
      <c r="J9" s="1"/>
      <c r="K9" s="1"/>
      <c r="L9" s="1"/>
      <c r="M9" s="262"/>
      <c r="N9" s="97">
        <f>B9+F9</f>
        <v>0.99999999999999689</v>
      </c>
      <c r="R9" s="190">
        <f>B9-F9</f>
        <v>-0.56447386967221425</v>
      </c>
      <c r="S9" s="93">
        <f>SUM(C9:E9)*$B$4*$F$4</f>
        <v>-4.70838963573736</v>
      </c>
      <c r="T9" s="262">
        <f>SUM(C9:E9)*$D$4*$H$4</f>
        <v>-37.863450784240911</v>
      </c>
      <c r="U9" s="266">
        <f t="shared" ref="U9:U16" si="0">S9+T9</f>
        <v>-42.571840419978273</v>
      </c>
      <c r="V9" s="93">
        <f>(U9+W9*F9)/B9</f>
        <v>-184.71970710550019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0.21918300966566406</v>
      </c>
      <c r="C10" s="97">
        <f>1/(1-D4*B4*C9)</f>
        <v>1.2173677738483084</v>
      </c>
      <c r="D10" s="144">
        <f>C10*D4*C9</f>
        <v>1.2072857442724083</v>
      </c>
      <c r="E10" s="1">
        <f>D10*D4*C8</f>
        <v>1.1613710160731203</v>
      </c>
      <c r="F10" s="1">
        <f>E10*D4</f>
        <v>0.95227003598335402</v>
      </c>
      <c r="G10" s="1">
        <f>F10*D4</f>
        <v>0.78081699033433161</v>
      </c>
      <c r="H10" s="1"/>
      <c r="I10" s="1"/>
      <c r="J10" s="1"/>
      <c r="K10" s="1"/>
      <c r="L10" s="1"/>
      <c r="M10" s="262"/>
      <c r="N10" s="97">
        <f>B10+G10</f>
        <v>0.99999999999999567</v>
      </c>
      <c r="R10" s="190">
        <f>B10-G10</f>
        <v>-0.56163398066866754</v>
      </c>
      <c r="S10" s="93">
        <f>SUM(C10:F10)*$B$4*$F$4</f>
        <v>-6.4226863041561773</v>
      </c>
      <c r="T10" s="262">
        <f>SUM(C10:F10)*$D$4*$H$4</f>
        <v>-51.649308063679705</v>
      </c>
      <c r="U10" s="266">
        <f t="shared" si="0"/>
        <v>-58.071994367835885</v>
      </c>
      <c r="V10" s="93">
        <f>(U10+W10*G10)/B10</f>
        <v>-250.69792813921063</v>
      </c>
      <c r="W10" s="9">
        <f t="shared" si="1"/>
        <v>4</v>
      </c>
    </row>
    <row r="11" spans="1:23" x14ac:dyDescent="0.2">
      <c r="A11" s="99">
        <v>5</v>
      </c>
      <c r="B11" s="97">
        <f>C11*B4</f>
        <v>0.21949411337155153</v>
      </c>
      <c r="C11" s="97">
        <f>1/(1-D4*B4*C10)</f>
        <v>1.2190956797952606</v>
      </c>
      <c r="D11" s="144">
        <f>C11*D4*C10</f>
        <v>1.2168827336525112</v>
      </c>
      <c r="E11" s="1">
        <f>D11*D4*C9</f>
        <v>1.2068047210957114</v>
      </c>
      <c r="F11" s="1">
        <f>E11*D4*C8</f>
        <v>1.1609082868657843</v>
      </c>
      <c r="G11" s="1">
        <f>F11*D4</f>
        <v>0.95189061962732135</v>
      </c>
      <c r="H11" s="1">
        <f>G11*D4</f>
        <v>0.780505886628443</v>
      </c>
      <c r="I11" s="1"/>
      <c r="J11" s="1"/>
      <c r="K11" s="1"/>
      <c r="L11" s="1"/>
      <c r="M11" s="262"/>
      <c r="N11" s="97">
        <f>B11+H11</f>
        <v>0.99999999999999456</v>
      </c>
      <c r="R11" s="190">
        <f>B11-H11</f>
        <v>-0.56101177325689144</v>
      </c>
      <c r="S11" s="93">
        <f>SUM(C11:G11)*$B$4*$F$4</f>
        <v>-8.1454161636690898</v>
      </c>
      <c r="T11" s="262">
        <f>SUM(C11:G11)*$D$4*$H$4</f>
        <v>-65.502982524925571</v>
      </c>
      <c r="U11" s="266">
        <f t="shared" si="0"/>
        <v>-73.648398688594654</v>
      </c>
      <c r="V11" s="93">
        <f>(U11+W11*H11)/B11</f>
        <v>-317.75735660568353</v>
      </c>
      <c r="W11" s="9">
        <f t="shared" si="1"/>
        <v>5</v>
      </c>
    </row>
    <row r="12" spans="1:23" x14ac:dyDescent="0.2">
      <c r="A12" s="99">
        <v>6</v>
      </c>
      <c r="B12" s="97">
        <f>C12*B4</f>
        <v>0.21956239282996198</v>
      </c>
      <c r="C12" s="97">
        <f>1/(1-D4*B4*C11)</f>
        <v>1.2194749118005674</v>
      </c>
      <c r="D12" s="144">
        <f>C12*D4*C11</f>
        <v>1.2189890320502603</v>
      </c>
      <c r="E12" s="1">
        <f>D12*D4*C10</f>
        <v>1.2167762794983177</v>
      </c>
      <c r="F12" s="1">
        <f>E12*D4*C9</f>
        <v>1.2066991485764307</v>
      </c>
      <c r="G12" s="1">
        <f>F12*D4*C8</f>
        <v>1.1608067294138156</v>
      </c>
      <c r="H12" s="1">
        <f>G12*D4</f>
        <v>0.95180734725604454</v>
      </c>
      <c r="I12" s="1">
        <f>H12*D4</f>
        <v>0.78043760717003163</v>
      </c>
      <c r="J12" s="1"/>
      <c r="K12" s="1"/>
      <c r="L12" s="1"/>
      <c r="M12" s="262"/>
      <c r="N12" s="97">
        <f>B12+I12</f>
        <v>0.99999999999999356</v>
      </c>
      <c r="R12" s="190">
        <f>B12-I12</f>
        <v>-0.56087521434006971</v>
      </c>
      <c r="S12" s="93">
        <f>SUM(C12:H12)*$B$4*$F$4</f>
        <v>-9.8705291644720567</v>
      </c>
      <c r="T12" s="262">
        <f>SUM(C12:H12)*$D$4*$H$4</f>
        <v>-79.375821490371138</v>
      </c>
      <c r="U12" s="266">
        <f t="shared" si="0"/>
        <v>-89.246350654843198</v>
      </c>
      <c r="V12" s="93">
        <f>(U12+W12*I12)/B12</f>
        <v>-385.1466725329077</v>
      </c>
      <c r="W12" s="9">
        <f t="shared" si="1"/>
        <v>6</v>
      </c>
    </row>
    <row r="13" spans="1:23" x14ac:dyDescent="0.2">
      <c r="A13" s="99">
        <v>7</v>
      </c>
      <c r="B13" s="97">
        <f>C13*B4</f>
        <v>0.21957738414326022</v>
      </c>
      <c r="C13" s="97">
        <f>1/(1-D4*B4*C12)</f>
        <v>1.2195581752876634</v>
      </c>
      <c r="D13" s="144">
        <f>C13*D4*C12</f>
        <v>1.2194514870830813</v>
      </c>
      <c r="E13" s="1">
        <f>D13*D4*C11</f>
        <v>1.2189656166659679</v>
      </c>
      <c r="F13" s="1">
        <f>E13*D4*C10</f>
        <v>1.2167529066184695</v>
      </c>
      <c r="G13" s="1">
        <f>F13*D4*C9</f>
        <v>1.206675969266735</v>
      </c>
      <c r="H13" s="1">
        <f>G13*D4*C8</f>
        <v>1.1607844316449729</v>
      </c>
      <c r="I13" s="1">
        <f>H13*D4</f>
        <v>0.95178906412615383</v>
      </c>
      <c r="J13" s="1">
        <f>I13*D4</f>
        <v>0.78042261585673212</v>
      </c>
      <c r="K13" s="1"/>
      <c r="L13" s="1"/>
      <c r="M13" s="262"/>
      <c r="N13" s="97">
        <f>B13+J13</f>
        <v>0.99999999999999234</v>
      </c>
      <c r="R13" s="190">
        <f>B13-J13</f>
        <v>-0.56084523171347189</v>
      </c>
      <c r="S13" s="93">
        <f>SUM(C13:I13)*$B$4*$F$4</f>
        <v>-11.596282969268179</v>
      </c>
      <c r="T13" s="262">
        <f>SUM(C13:I13)*$D$4*$H$4</f>
        <v>-93.253813608451523</v>
      </c>
      <c r="U13" s="266">
        <f t="shared" si="0"/>
        <v>-104.8500965777197</v>
      </c>
      <c r="V13" s="93">
        <f>(U13+W13*J13)/B13</f>
        <v>-452.62921158528246</v>
      </c>
      <c r="W13" s="9">
        <f t="shared" si="1"/>
        <v>7</v>
      </c>
    </row>
    <row r="14" spans="1:23" x14ac:dyDescent="0.2">
      <c r="A14" s="99">
        <v>8</v>
      </c>
      <c r="B14" s="97">
        <f>C14*B4</f>
        <v>0.21958067588273483</v>
      </c>
      <c r="C14" s="97">
        <f>1/(1-D4*B4*C13)</f>
        <v>1.2195764579892396</v>
      </c>
      <c r="D14" s="144">
        <f>C14*D4*C13</f>
        <v>1.2195530313211673</v>
      </c>
      <c r="E14" s="1">
        <f>D14*D4*C12</f>
        <v>1.2194463435665848</v>
      </c>
      <c r="F14" s="1">
        <f>E14*D4*C11</f>
        <v>1.2189604751988212</v>
      </c>
      <c r="G14" s="1">
        <f>F14*D4*C10</f>
        <v>1.2167477744842981</v>
      </c>
      <c r="H14" s="1">
        <f>G14*D4*C9</f>
        <v>1.2066708796360122</v>
      </c>
      <c r="I14" s="1">
        <f>H14*D4*C8</f>
        <v>1.160779535579868</v>
      </c>
      <c r="J14" s="1">
        <f>I14*D4</f>
        <v>0.95178504958125032</v>
      </c>
      <c r="K14" s="1">
        <f>J14*D4</f>
        <v>0.78041932411725623</v>
      </c>
      <c r="L14" s="1"/>
      <c r="M14" s="262"/>
      <c r="N14" s="97">
        <f>B14+K14</f>
        <v>0.99999999999999112</v>
      </c>
      <c r="R14" s="190">
        <f>B14-K14</f>
        <v>-0.56083864823452134</v>
      </c>
      <c r="S14" s="93">
        <f>SUM(C14:J14)*$B$4*$F$4</f>
        <v>-13.32220333779639</v>
      </c>
      <c r="T14" s="262">
        <f>SUM(C14:J14)*$D$4*$H$4</f>
        <v>-107.1331451818787</v>
      </c>
      <c r="U14" s="266">
        <f t="shared" si="0"/>
        <v>-120.4553485196751</v>
      </c>
      <c r="V14" s="93">
        <f>(U14+W14*K14)/B14</f>
        <v>-520.13681744804808</v>
      </c>
      <c r="W14" s="9">
        <f t="shared" si="1"/>
        <v>8</v>
      </c>
    </row>
    <row r="15" spans="1:23" x14ac:dyDescent="0.2">
      <c r="A15" s="99">
        <v>9</v>
      </c>
      <c r="B15" s="97">
        <f>C15*B4</f>
        <v>0.2195813986844441</v>
      </c>
      <c r="C15" s="97">
        <f>1/(1-D4*B4*C14)</f>
        <v>1.2195804725134907</v>
      </c>
      <c r="D15" s="144">
        <f>C15*D4*C14</f>
        <v>1.2195753284529474</v>
      </c>
      <c r="E15" s="1">
        <f>D15*D4*C13</f>
        <v>1.2195519018065721</v>
      </c>
      <c r="F15" s="1">
        <f>E15*D4*C12</f>
        <v>1.2194452141508005</v>
      </c>
      <c r="G15" s="1">
        <f>F15*D4*C11</f>
        <v>1.2189593462330341</v>
      </c>
      <c r="H15" s="1">
        <f>G15*D4*C10</f>
        <v>1.2167466475678501</v>
      </c>
      <c r="I15" s="1">
        <f>H15*D4*C9</f>
        <v>1.2066697620524915</v>
      </c>
      <c r="J15" s="1">
        <f>I15*D4*C8</f>
        <v>1.1607784604995772</v>
      </c>
      <c r="K15" s="1">
        <f>J15*D4</f>
        <v>0.95178416806558219</v>
      </c>
      <c r="L15" s="1">
        <f>K15*D4</f>
        <v>0.78041860131554563</v>
      </c>
      <c r="M15" s="262"/>
      <c r="N15" s="97">
        <f>B15+L15</f>
        <v>0.99999999999998979</v>
      </c>
      <c r="R15" s="190">
        <f>B15-L15</f>
        <v>-0.56083720263110148</v>
      </c>
      <c r="S15" s="93">
        <f>SUM(C15:K15)*$B$4*$F$4</f>
        <v>-15.048165961009285</v>
      </c>
      <c r="T15" s="262">
        <f>SUM(C15:K15)*$D$4*$H$4</f>
        <v>-121.01281655474854</v>
      </c>
      <c r="U15" s="266">
        <f t="shared" si="0"/>
        <v>-136.06098251575781</v>
      </c>
      <c r="V15" s="93">
        <f>(U15+W15*L15)/B15</f>
        <v>-587.65093890924084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0.2195815573982221</v>
      </c>
      <c r="C16" s="145">
        <f>1/(1-D4*B4*C15)</f>
        <v>1.2195813540281615</v>
      </c>
      <c r="D16" s="153">
        <f>C16*D4*C15</f>
        <v>1.2195802244873346</v>
      </c>
      <c r="E16" s="111">
        <f>D16*D4*C14</f>
        <v>1.2195750804278374</v>
      </c>
      <c r="F16" s="111">
        <f>E16*D4*C13</f>
        <v>1.2195516537862265</v>
      </c>
      <c r="G16" s="111">
        <f>F16*D4*C12</f>
        <v>1.219444966152152</v>
      </c>
      <c r="H16" s="111">
        <f>G16*D4*C11</f>
        <v>1.2189590983331966</v>
      </c>
      <c r="I16" s="111">
        <f>H16*D4*C10</f>
        <v>1.2167464001180091</v>
      </c>
      <c r="J16" s="111">
        <f>I16*D4*C9</f>
        <v>1.2066695166519874</v>
      </c>
      <c r="K16" s="111">
        <f>J16*D4*C8</f>
        <v>1.16077822443199</v>
      </c>
      <c r="L16" s="111">
        <f>K16*D4</f>
        <v>0.95178397450117713</v>
      </c>
      <c r="M16" s="264">
        <f>L16*D4</f>
        <v>0.78041844260176652</v>
      </c>
      <c r="N16" s="145">
        <f>B16+M16</f>
        <v>0.99999999999998868</v>
      </c>
      <c r="R16" s="191">
        <f>B16-M16</f>
        <v>-0.56083688520354436</v>
      </c>
      <c r="S16" s="94">
        <f>SUM(C16:L16)*$B$4*$F$4</f>
        <v>-16.774139110050918</v>
      </c>
      <c r="T16" s="264">
        <f>SUM(C16:L16)*$D$4*$H$4</f>
        <v>-134.89257257316157</v>
      </c>
      <c r="U16" s="267">
        <f t="shared" si="0"/>
        <v>-151.6667116832125</v>
      </c>
      <c r="V16" s="94">
        <f>(U16+W16*M16)/B16</f>
        <v>-655.16671327862468</v>
      </c>
      <c r="W16" s="10">
        <f t="shared" si="1"/>
        <v>10</v>
      </c>
    </row>
    <row r="18" spans="1:21" x14ac:dyDescent="0.2">
      <c r="A18" s="356" t="s">
        <v>200</v>
      </c>
      <c r="B18" s="356"/>
      <c r="C18" s="356"/>
      <c r="D18" s="356"/>
      <c r="E18" s="356"/>
      <c r="F18" s="356"/>
      <c r="O18" s="356" t="s">
        <v>201</v>
      </c>
      <c r="P18" s="356"/>
      <c r="Q18" s="356"/>
      <c r="R18" s="356"/>
      <c r="S18" s="356"/>
      <c r="T18" s="356"/>
    </row>
    <row r="19" spans="1:21" ht="17" thickBot="1" x14ac:dyDescent="0.25"/>
    <row r="20" spans="1:21" ht="17" thickBot="1" x14ac:dyDescent="0.25">
      <c r="A20" s="29" t="s">
        <v>135</v>
      </c>
      <c r="B20" s="19" t="s">
        <v>140</v>
      </c>
      <c r="C20" s="19" t="s">
        <v>139</v>
      </c>
      <c r="D20" s="19" t="s">
        <v>138</v>
      </c>
      <c r="E20" s="167" t="s">
        <v>151</v>
      </c>
      <c r="F20" s="168" t="s">
        <v>152</v>
      </c>
      <c r="G20" s="166" t="s">
        <v>47</v>
      </c>
      <c r="O20" s="29" t="s">
        <v>135</v>
      </c>
      <c r="P20" s="118" t="s">
        <v>140</v>
      </c>
      <c r="Q20" s="118" t="s">
        <v>139</v>
      </c>
      <c r="R20" s="118" t="s">
        <v>138</v>
      </c>
      <c r="S20" s="166" t="s">
        <v>151</v>
      </c>
      <c r="T20" s="168" t="s">
        <v>152</v>
      </c>
      <c r="U20" s="293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8</v>
      </c>
      <c r="D21" s="57">
        <f>SUM($C$21:C21)</f>
        <v>8</v>
      </c>
      <c r="E21" s="57">
        <f t="shared" ref="E21:E30" si="3">D21/R7</f>
        <v>-12.501823178594904</v>
      </c>
      <c r="F21" s="8">
        <f t="shared" ref="F21:F30" si="4">U7/E21</f>
        <v>1.0235303091207522</v>
      </c>
      <c r="G21" s="286">
        <f>E21*U7</f>
        <v>159.97326616608262</v>
      </c>
      <c r="O21" s="101">
        <v>1</v>
      </c>
      <c r="P21" s="109">
        <v>1</v>
      </c>
      <c r="Q21" s="110">
        <f>P21*8+28</f>
        <v>36</v>
      </c>
      <c r="R21" s="57">
        <f>SUM($Q$21)</f>
        <v>36</v>
      </c>
      <c r="S21" s="281">
        <f>R21/R7</f>
        <v>-56.258204303677068</v>
      </c>
      <c r="T21" s="8">
        <f>U7/S21</f>
        <v>0.2274511798046116</v>
      </c>
      <c r="U21" s="286">
        <f>S21*U7</f>
        <v>719.87969774737178</v>
      </c>
    </row>
    <row r="22" spans="1:21" x14ac:dyDescent="0.2">
      <c r="A22" s="97">
        <v>2</v>
      </c>
      <c r="B22" s="93">
        <f>C21</f>
        <v>8</v>
      </c>
      <c r="C22" s="1">
        <f t="shared" si="2"/>
        <v>64</v>
      </c>
      <c r="D22" s="9">
        <f>SUM($C$21:C22)</f>
        <v>72</v>
      </c>
      <c r="E22" s="9">
        <f t="shared" si="3"/>
        <v>-124.66695456026456</v>
      </c>
      <c r="F22" s="9">
        <f t="shared" si="4"/>
        <v>0.21915669201650184</v>
      </c>
      <c r="G22" s="287">
        <f t="shared" ref="G22:G30" si="5">E22*U8</f>
        <v>3406.1003372411237</v>
      </c>
      <c r="O22" s="99">
        <v>2</v>
      </c>
      <c r="P22" s="93">
        <f>Q21</f>
        <v>36</v>
      </c>
      <c r="Q22" s="1">
        <f t="shared" ref="Q22:Q30" si="6">P22*8+28</f>
        <v>316</v>
      </c>
      <c r="R22" s="9">
        <f>SUM($Q$21:Q22)</f>
        <v>352</v>
      </c>
      <c r="S22" s="282">
        <f t="shared" ref="S22:S30" si="7">R22/R8</f>
        <v>-609.48288896129338</v>
      </c>
      <c r="T22" s="9">
        <f>U8/S22</f>
        <v>4.4827505185193559E-2</v>
      </c>
      <c r="U22" s="287">
        <f t="shared" ref="U22:U30" si="8">S22*U8</f>
        <v>16652.046093178826</v>
      </c>
    </row>
    <row r="23" spans="1:21" x14ac:dyDescent="0.2">
      <c r="A23" s="97">
        <v>3</v>
      </c>
      <c r="B23" s="93">
        <f t="shared" ref="B23:B30" si="9">C22</f>
        <v>64</v>
      </c>
      <c r="C23" s="1">
        <f t="shared" si="2"/>
        <v>512</v>
      </c>
      <c r="D23" s="9">
        <f>SUM($C$21:C23)</f>
        <v>584</v>
      </c>
      <c r="E23" s="9">
        <f t="shared" si="3"/>
        <v>-1034.5917346698873</v>
      </c>
      <c r="F23" s="9">
        <f t="shared" si="4"/>
        <v>4.1148444350912874E-2</v>
      </c>
      <c r="G23" s="287">
        <f t="shared" si="5"/>
        <v>44044.474228194944</v>
      </c>
      <c r="O23" s="99">
        <v>3</v>
      </c>
      <c r="P23" s="93">
        <f t="shared" ref="P23:P30" si="10">Q22</f>
        <v>316</v>
      </c>
      <c r="Q23" s="1">
        <f t="shared" si="6"/>
        <v>2556</v>
      </c>
      <c r="R23" s="9">
        <f>SUM($Q$21:Q23)</f>
        <v>2908</v>
      </c>
      <c r="S23" s="282">
        <f t="shared" si="7"/>
        <v>-5151.6999390753972</v>
      </c>
      <c r="T23" s="9">
        <f t="shared" ref="T23:T30" si="11">U9/S23</f>
        <v>8.2636490718477028E-3</v>
      </c>
      <c r="U23" s="287">
        <f t="shared" si="8"/>
        <v>219317.3476979296</v>
      </c>
    </row>
    <row r="24" spans="1:21" x14ac:dyDescent="0.2">
      <c r="A24" s="97">
        <v>4</v>
      </c>
      <c r="B24" s="93">
        <f t="shared" si="9"/>
        <v>512</v>
      </c>
      <c r="C24" s="1">
        <f t="shared" si="2"/>
        <v>4096</v>
      </c>
      <c r="D24" s="9">
        <f>SUM($C$21:C24)</f>
        <v>4680</v>
      </c>
      <c r="E24" s="9">
        <f t="shared" si="3"/>
        <v>-8332.8291397684079</v>
      </c>
      <c r="F24" s="9">
        <f t="shared" si="4"/>
        <v>6.9690609748239559E-3</v>
      </c>
      <c r="G24" s="287">
        <f t="shared" si="5"/>
        <v>483904.00687276974</v>
      </c>
      <c r="O24" s="99">
        <v>4</v>
      </c>
      <c r="P24" s="93">
        <f t="shared" si="10"/>
        <v>2556</v>
      </c>
      <c r="Q24" s="1">
        <f t="shared" si="6"/>
        <v>20476</v>
      </c>
      <c r="R24" s="9">
        <f>SUM($Q$21:Q24)</f>
        <v>23384</v>
      </c>
      <c r="S24" s="282">
        <f t="shared" si="7"/>
        <v>-41635.657394090696</v>
      </c>
      <c r="T24" s="9">
        <f t="shared" si="11"/>
        <v>1.3947658810372953E-3</v>
      </c>
      <c r="U24" s="287">
        <f t="shared" si="8"/>
        <v>2417865.6616907795</v>
      </c>
    </row>
    <row r="25" spans="1:21" x14ac:dyDescent="0.2">
      <c r="A25" s="97">
        <v>5</v>
      </c>
      <c r="B25" s="93">
        <f t="shared" si="9"/>
        <v>4096</v>
      </c>
      <c r="C25" s="1">
        <f t="shared" si="2"/>
        <v>32768</v>
      </c>
      <c r="D25" s="9">
        <f>SUM($C$21:C25)</f>
        <v>37448</v>
      </c>
      <c r="E25" s="9">
        <f t="shared" si="3"/>
        <v>-66750.827317936302</v>
      </c>
      <c r="F25" s="9">
        <f t="shared" si="4"/>
        <v>1.103333121817427E-3</v>
      </c>
      <c r="G25" s="287">
        <f t="shared" si="5"/>
        <v>4916091.5431049084</v>
      </c>
      <c r="O25" s="99">
        <v>5</v>
      </c>
      <c r="P25" s="93">
        <f t="shared" si="10"/>
        <v>20476</v>
      </c>
      <c r="Q25" s="1">
        <f t="shared" si="6"/>
        <v>163836</v>
      </c>
      <c r="R25" s="9">
        <f>SUM($Q$21:Q25)</f>
        <v>187220</v>
      </c>
      <c r="S25" s="282">
        <f t="shared" si="7"/>
        <v>-333718.48671395099</v>
      </c>
      <c r="T25" s="9">
        <f t="shared" si="11"/>
        <v>2.20690197339061E-4</v>
      </c>
      <c r="U25" s="287">
        <f t="shared" si="8"/>
        <v>24577832.15926354</v>
      </c>
    </row>
    <row r="26" spans="1:21" x14ac:dyDescent="0.2">
      <c r="A26" s="97">
        <v>6</v>
      </c>
      <c r="B26" s="93">
        <f t="shared" si="9"/>
        <v>32768</v>
      </c>
      <c r="C26" s="1">
        <f t="shared" si="2"/>
        <v>262144</v>
      </c>
      <c r="D26" s="9">
        <f>SUM($C$21:C26)</f>
        <v>299592</v>
      </c>
      <c r="E26" s="9">
        <f t="shared" si="3"/>
        <v>-534150.89905961056</v>
      </c>
      <c r="F26" s="9">
        <f t="shared" si="4"/>
        <v>1.670807833740694E-4</v>
      </c>
      <c r="G26" s="287">
        <f t="shared" si="5"/>
        <v>47671018.440073758</v>
      </c>
      <c r="O26" s="99">
        <v>6</v>
      </c>
      <c r="P26" s="93">
        <f t="shared" si="10"/>
        <v>163836</v>
      </c>
      <c r="Q26" s="1">
        <f t="shared" si="6"/>
        <v>1310716</v>
      </c>
      <c r="R26" s="9">
        <f>SUM($Q$21:Q26)</f>
        <v>1497936</v>
      </c>
      <c r="S26" s="282">
        <f t="shared" si="7"/>
        <v>-2670711.7050313652</v>
      </c>
      <c r="T26" s="9">
        <f t="shared" si="11"/>
        <v>3.3416692070024484E-5</v>
      </c>
      <c r="U26" s="287">
        <f t="shared" si="8"/>
        <v>238351273.32522336</v>
      </c>
    </row>
    <row r="27" spans="1:21" x14ac:dyDescent="0.2">
      <c r="A27" s="97">
        <v>7</v>
      </c>
      <c r="B27" s="93">
        <f t="shared" si="9"/>
        <v>262144</v>
      </c>
      <c r="C27" s="1">
        <f t="shared" si="2"/>
        <v>2097152</v>
      </c>
      <c r="D27" s="9">
        <f>SUM($C$21:C27)</f>
        <v>2396744</v>
      </c>
      <c r="E27" s="9">
        <f t="shared" si="3"/>
        <v>-4273449.9011029545</v>
      </c>
      <c r="F27" s="9">
        <f t="shared" si="4"/>
        <v>2.4535234764460077E-5</v>
      </c>
      <c r="G27" s="287">
        <f t="shared" si="5"/>
        <v>448071634.8506915</v>
      </c>
      <c r="O27" s="99">
        <v>7</v>
      </c>
      <c r="P27" s="93">
        <f t="shared" si="10"/>
        <v>1310716</v>
      </c>
      <c r="Q27" s="1">
        <f t="shared" si="6"/>
        <v>10485756</v>
      </c>
      <c r="R27" s="9">
        <f>SUM($Q$21:Q27)</f>
        <v>11983692</v>
      </c>
      <c r="S27" s="282">
        <f t="shared" si="7"/>
        <v>-21367199.580868155</v>
      </c>
      <c r="T27" s="9">
        <f t="shared" si="11"/>
        <v>4.9070584182496601E-6</v>
      </c>
      <c r="U27" s="287">
        <f t="shared" si="8"/>
        <v>2240352939.6494379</v>
      </c>
    </row>
    <row r="28" spans="1:21" x14ac:dyDescent="0.2">
      <c r="A28" s="97">
        <v>8</v>
      </c>
      <c r="B28" s="93">
        <f t="shared" si="9"/>
        <v>2097152</v>
      </c>
      <c r="C28" s="1">
        <f t="shared" si="2"/>
        <v>16777216</v>
      </c>
      <c r="D28" s="9">
        <f>SUM($C$21:C28)</f>
        <v>19173960</v>
      </c>
      <c r="E28" s="9">
        <f t="shared" si="3"/>
        <v>-34188014.788849182</v>
      </c>
      <c r="F28" s="9">
        <f t="shared" si="4"/>
        <v>3.5233209434249751E-6</v>
      </c>
      <c r="G28" s="287">
        <f t="shared" si="5"/>
        <v>4118129236.5866346</v>
      </c>
      <c r="O28" s="99">
        <v>8</v>
      </c>
      <c r="P28" s="93">
        <f t="shared" si="10"/>
        <v>10485756</v>
      </c>
      <c r="Q28" s="1">
        <f t="shared" si="6"/>
        <v>83886076</v>
      </c>
      <c r="R28" s="9">
        <f>SUM($Q$21:Q28)</f>
        <v>95869768</v>
      </c>
      <c r="S28" s="282">
        <f t="shared" si="7"/>
        <v>-170940016.88683715</v>
      </c>
      <c r="T28" s="9">
        <f t="shared" si="11"/>
        <v>7.0466442389213598E-7</v>
      </c>
      <c r="U28" s="287">
        <f t="shared" si="8"/>
        <v>20590639310.063118</v>
      </c>
    </row>
    <row r="29" spans="1:21" x14ac:dyDescent="0.2">
      <c r="A29" s="97">
        <v>9</v>
      </c>
      <c r="B29" s="93">
        <f t="shared" si="9"/>
        <v>16777216</v>
      </c>
      <c r="C29" s="1">
        <f t="shared" si="2"/>
        <v>134217728</v>
      </c>
      <c r="D29" s="9">
        <f>SUM($C$21:C29)</f>
        <v>153391688</v>
      </c>
      <c r="E29" s="9">
        <f t="shared" si="3"/>
        <v>-273504837.55425107</v>
      </c>
      <c r="F29" s="9">
        <f t="shared" si="4"/>
        <v>4.974719413830091E-7</v>
      </c>
      <c r="G29" s="287">
        <f t="shared" si="5"/>
        <v>37213336920.444138</v>
      </c>
      <c r="O29" s="99">
        <v>9</v>
      </c>
      <c r="P29" s="93">
        <f t="shared" si="10"/>
        <v>83886076</v>
      </c>
      <c r="Q29" s="1">
        <f t="shared" si="6"/>
        <v>671088636</v>
      </c>
      <c r="R29" s="9">
        <f>SUM($Q$21:Q29)</f>
        <v>766958404</v>
      </c>
      <c r="S29" s="282">
        <f t="shared" si="7"/>
        <v>-1367524123.5815051</v>
      </c>
      <c r="T29" s="9">
        <f t="shared" si="11"/>
        <v>9.9494392946735114E-8</v>
      </c>
      <c r="U29" s="287">
        <f t="shared" si="8"/>
        <v>186066675868.50018</v>
      </c>
    </row>
    <row r="30" spans="1:21" ht="17" thickBot="1" x14ac:dyDescent="0.25">
      <c r="A30" s="145">
        <v>10</v>
      </c>
      <c r="B30" s="94">
        <f t="shared" si="9"/>
        <v>134217728</v>
      </c>
      <c r="C30" s="111">
        <f t="shared" si="2"/>
        <v>1073741824</v>
      </c>
      <c r="D30" s="10">
        <f>SUM($C$21:C30)</f>
        <v>1227133512</v>
      </c>
      <c r="E30" s="10">
        <f t="shared" si="3"/>
        <v>-2188039953.104434</v>
      </c>
      <c r="F30" s="10">
        <f t="shared" si="4"/>
        <v>6.9316244188331564E-8</v>
      </c>
      <c r="G30" s="288">
        <f t="shared" si="5"/>
        <v>331852824718.83997</v>
      </c>
      <c r="O30" s="100">
        <v>10</v>
      </c>
      <c r="P30" s="94">
        <f t="shared" si="10"/>
        <v>671088636</v>
      </c>
      <c r="Q30" s="111">
        <f t="shared" si="6"/>
        <v>5368709116</v>
      </c>
      <c r="R30" s="10">
        <f>SUM($Q$21:Q30)</f>
        <v>6135667520</v>
      </c>
      <c r="S30" s="283">
        <f t="shared" si="7"/>
        <v>-10940199694.200184</v>
      </c>
      <c r="T30" s="10">
        <f t="shared" si="11"/>
        <v>1.3863248928044412E-8</v>
      </c>
      <c r="U30" s="288">
        <f t="shared" si="8"/>
        <v>1659264112777.0288</v>
      </c>
    </row>
    <row r="31" spans="1:21" ht="17" thickBot="1" x14ac:dyDescent="0.25"/>
    <row r="32" spans="1:21" ht="17" thickBot="1" x14ac:dyDescent="0.25">
      <c r="A32" s="117" t="s">
        <v>135</v>
      </c>
      <c r="B32" s="118" t="s">
        <v>140</v>
      </c>
      <c r="C32" s="118" t="s">
        <v>139</v>
      </c>
      <c r="D32" s="170" t="s">
        <v>138</v>
      </c>
      <c r="E32" s="167" t="s">
        <v>151</v>
      </c>
      <c r="F32" s="168" t="s">
        <v>152</v>
      </c>
      <c r="G32" s="290" t="s">
        <v>47</v>
      </c>
      <c r="O32" s="29" t="s">
        <v>135</v>
      </c>
      <c r="P32" s="118" t="s">
        <v>140</v>
      </c>
      <c r="Q32" s="118" t="s">
        <v>139</v>
      </c>
      <c r="R32" s="118" t="s">
        <v>138</v>
      </c>
      <c r="S32" s="166" t="s">
        <v>151</v>
      </c>
      <c r="T32" s="168" t="s">
        <v>152</v>
      </c>
      <c r="U32" s="294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8</v>
      </c>
      <c r="D33" s="57">
        <f>SUM($C$33:C33)</f>
        <v>8</v>
      </c>
      <c r="E33" s="9">
        <f t="shared" ref="E33:E42" si="13">D33/R7</f>
        <v>-12.501823178594904</v>
      </c>
      <c r="F33" s="8">
        <f t="shared" ref="F33:F42" si="14">U7/E33</f>
        <v>1.0235303091207522</v>
      </c>
      <c r="G33" s="289">
        <f>E33*U7</f>
        <v>159.97326616608262</v>
      </c>
      <c r="O33" s="101">
        <v>1</v>
      </c>
      <c r="P33" s="109">
        <v>1</v>
      </c>
      <c r="Q33" s="110">
        <f>P33*8+28</f>
        <v>36</v>
      </c>
      <c r="R33" s="57">
        <f>SUM($Q$21)</f>
        <v>36</v>
      </c>
      <c r="S33" s="281">
        <f>R33/R7</f>
        <v>-56.258204303677068</v>
      </c>
      <c r="T33" s="8">
        <f>U7/S33</f>
        <v>0.2274511798046116</v>
      </c>
      <c r="U33" s="289">
        <f>S33*U7</f>
        <v>719.87969774737178</v>
      </c>
    </row>
    <row r="34" spans="1:21" x14ac:dyDescent="0.2">
      <c r="A34" s="97">
        <v>2</v>
      </c>
      <c r="B34" s="93">
        <f t="shared" ref="B34:B42" si="15">B33*($O$2+1)</f>
        <v>9</v>
      </c>
      <c r="C34" s="1">
        <f t="shared" si="12"/>
        <v>72</v>
      </c>
      <c r="D34" s="9">
        <f>SUM($C$33:C34)</f>
        <v>80</v>
      </c>
      <c r="E34" s="9">
        <f t="shared" si="13"/>
        <v>-138.51883840029396</v>
      </c>
      <c r="F34" s="9">
        <f t="shared" si="14"/>
        <v>0.19724102281485165</v>
      </c>
      <c r="G34" s="287">
        <f t="shared" ref="G34:G42" si="16">E34*U8</f>
        <v>3784.5559302679153</v>
      </c>
      <c r="O34" s="99">
        <v>2</v>
      </c>
      <c r="P34" s="93">
        <f>Q33+1</f>
        <v>37</v>
      </c>
      <c r="Q34" s="1">
        <f t="shared" ref="Q34:Q42" si="17">P34*8+28</f>
        <v>324</v>
      </c>
      <c r="R34" s="9">
        <f>SUM($Q$33:Q34)</f>
        <v>360</v>
      </c>
      <c r="S34" s="282">
        <f>R34/R8</f>
        <v>-623.33477280132274</v>
      </c>
      <c r="T34" s="9">
        <f t="shared" ref="T34:T42" si="18">U8/S34</f>
        <v>4.383133840330037E-2</v>
      </c>
      <c r="U34" s="287">
        <f t="shared" ref="U34:U42" si="19">S34*U8</f>
        <v>17030.501686205618</v>
      </c>
    </row>
    <row r="35" spans="1:21" x14ac:dyDescent="0.2">
      <c r="A35" s="97">
        <v>3</v>
      </c>
      <c r="B35" s="93">
        <f t="shared" si="15"/>
        <v>81</v>
      </c>
      <c r="C35" s="1">
        <f t="shared" si="12"/>
        <v>648</v>
      </c>
      <c r="D35" s="9">
        <f>SUM($C$33:C35)</f>
        <v>728</v>
      </c>
      <c r="E35" s="9">
        <f t="shared" si="13"/>
        <v>-1289.6965459583525</v>
      </c>
      <c r="F35" s="9">
        <f t="shared" si="14"/>
        <v>3.3009191622160879E-2</v>
      </c>
      <c r="G35" s="287">
        <f t="shared" si="16"/>
        <v>54904.755544736159</v>
      </c>
      <c r="O35" s="99">
        <v>3</v>
      </c>
      <c r="P35" s="93">
        <f t="shared" ref="P35:P42" si="20">Q34+1</f>
        <v>325</v>
      </c>
      <c r="Q35" s="1">
        <f t="shared" si="17"/>
        <v>2628</v>
      </c>
      <c r="R35" s="9">
        <f>SUM($Q$33:Q35)</f>
        <v>2988</v>
      </c>
      <c r="S35" s="282">
        <f t="shared" ref="S35:S42" si="21">R35/R9</f>
        <v>-5293.4248342356559</v>
      </c>
      <c r="T35" s="9">
        <f t="shared" si="18"/>
        <v>8.0424001007138955E-3</v>
      </c>
      <c r="U35" s="287">
        <f t="shared" si="19"/>
        <v>225350.83731823027</v>
      </c>
    </row>
    <row r="36" spans="1:21" x14ac:dyDescent="0.2">
      <c r="A36" s="97">
        <v>4</v>
      </c>
      <c r="B36" s="93">
        <f t="shared" si="15"/>
        <v>729</v>
      </c>
      <c r="C36" s="1">
        <f t="shared" si="12"/>
        <v>5832</v>
      </c>
      <c r="D36" s="9">
        <f>SUM($C$33:C36)</f>
        <v>6560</v>
      </c>
      <c r="E36" s="9">
        <f t="shared" si="13"/>
        <v>-11680.204948051445</v>
      </c>
      <c r="F36" s="9">
        <f t="shared" si="14"/>
        <v>4.9718300856975775E-3</v>
      </c>
      <c r="G36" s="287">
        <f t="shared" si="16"/>
        <v>678292.79595841235</v>
      </c>
      <c r="O36" s="99">
        <v>4</v>
      </c>
      <c r="P36" s="93">
        <f t="shared" si="20"/>
        <v>2629</v>
      </c>
      <c r="Q36" s="1">
        <f t="shared" si="17"/>
        <v>21060</v>
      </c>
      <c r="R36" s="9">
        <f>SUM($Q$33:Q36)</f>
        <v>24048</v>
      </c>
      <c r="S36" s="282">
        <f t="shared" si="21"/>
        <v>-42817.922041271515</v>
      </c>
      <c r="T36" s="9">
        <f t="shared" si="18"/>
        <v>1.3562543813280153E-3</v>
      </c>
      <c r="U36" s="287">
        <f t="shared" si="19"/>
        <v>2486522.1276231552</v>
      </c>
    </row>
    <row r="37" spans="1:21" x14ac:dyDescent="0.2">
      <c r="A37" s="97">
        <v>5</v>
      </c>
      <c r="B37" s="93">
        <f t="shared" si="15"/>
        <v>6561</v>
      </c>
      <c r="C37" s="1">
        <f t="shared" si="12"/>
        <v>52488</v>
      </c>
      <c r="D37" s="9">
        <f>SUM($C$33:C37)</f>
        <v>59048</v>
      </c>
      <c r="E37" s="9">
        <f t="shared" si="13"/>
        <v>-105252.69310696174</v>
      </c>
      <c r="F37" s="9">
        <f t="shared" si="14"/>
        <v>6.9972935147369938E-4</v>
      </c>
      <c r="G37" s="287">
        <f t="shared" si="16"/>
        <v>7751692.3049898166</v>
      </c>
      <c r="O37" s="99">
        <v>5</v>
      </c>
      <c r="P37" s="93">
        <f t="shared" si="20"/>
        <v>21061</v>
      </c>
      <c r="Q37" s="1">
        <f t="shared" si="17"/>
        <v>168516</v>
      </c>
      <c r="R37" s="9">
        <f>SUM($Q$33:Q37)</f>
        <v>192564</v>
      </c>
      <c r="S37" s="282">
        <f t="shared" si="21"/>
        <v>-343244.13350916171</v>
      </c>
      <c r="T37" s="9">
        <f t="shared" si="18"/>
        <v>2.1456564438741927E-4</v>
      </c>
      <c r="U37" s="287">
        <f t="shared" si="19"/>
        <v>25279380.792203952</v>
      </c>
    </row>
    <row r="38" spans="1:21" x14ac:dyDescent="0.2">
      <c r="A38" s="97">
        <v>6</v>
      </c>
      <c r="B38" s="93">
        <f t="shared" si="15"/>
        <v>59049</v>
      </c>
      <c r="C38" s="1">
        <f t="shared" si="12"/>
        <v>472392</v>
      </c>
      <c r="D38" s="9">
        <f>SUM($C$33:C38)</f>
        <v>531440</v>
      </c>
      <c r="E38" s="9">
        <f t="shared" si="13"/>
        <v>-947519.13868273993</v>
      </c>
      <c r="F38" s="9">
        <f t="shared" si="14"/>
        <v>9.4189496561425932E-5</v>
      </c>
      <c r="G38" s="287">
        <f t="shared" si="16"/>
        <v>84562625.30305481</v>
      </c>
      <c r="O38" s="99">
        <v>6</v>
      </c>
      <c r="P38" s="93">
        <f t="shared" si="20"/>
        <v>168517</v>
      </c>
      <c r="Q38" s="1">
        <f t="shared" si="17"/>
        <v>1348164</v>
      </c>
      <c r="R38" s="9">
        <f>SUM($Q$33:Q38)</f>
        <v>1540728</v>
      </c>
      <c r="S38" s="282">
        <f t="shared" si="21"/>
        <v>-2747006.7505351133</v>
      </c>
      <c r="T38" s="9">
        <f t="shared" si="18"/>
        <v>3.2488580757021485E-5</v>
      </c>
      <c r="U38" s="287">
        <f t="shared" si="19"/>
        <v>245160327.70947808</v>
      </c>
    </row>
    <row r="39" spans="1:21" x14ac:dyDescent="0.2">
      <c r="A39" s="97">
        <v>7</v>
      </c>
      <c r="B39" s="93">
        <f t="shared" si="15"/>
        <v>531441</v>
      </c>
      <c r="C39" s="1">
        <f t="shared" si="12"/>
        <v>4251528</v>
      </c>
      <c r="D39" s="9">
        <f>SUM($C$33:C39)</f>
        <v>4782968</v>
      </c>
      <c r="E39" s="9">
        <f t="shared" si="13"/>
        <v>-8528142.3992627487</v>
      </c>
      <c r="F39" s="9">
        <f t="shared" si="14"/>
        <v>1.2294599652414798E-5</v>
      </c>
      <c r="G39" s="287">
        <f t="shared" si="16"/>
        <v>894176554.19124532</v>
      </c>
      <c r="O39" s="99">
        <v>7</v>
      </c>
      <c r="P39" s="93">
        <f t="shared" si="20"/>
        <v>1348165</v>
      </c>
      <c r="Q39" s="1">
        <f t="shared" si="17"/>
        <v>10785348</v>
      </c>
      <c r="R39" s="9">
        <f>SUM($Q$33:Q39)</f>
        <v>12326076</v>
      </c>
      <c r="S39" s="282">
        <f t="shared" si="21"/>
        <v>-21977678.159698114</v>
      </c>
      <c r="T39" s="9">
        <f t="shared" si="18"/>
        <v>4.770754026691959E-6</v>
      </c>
      <c r="U39" s="287">
        <f t="shared" si="19"/>
        <v>2304361677.5983882</v>
      </c>
    </row>
    <row r="40" spans="1:21" x14ac:dyDescent="0.2">
      <c r="A40" s="97">
        <v>8</v>
      </c>
      <c r="B40" s="93">
        <f t="shared" si="15"/>
        <v>4782969</v>
      </c>
      <c r="C40" s="1">
        <f t="shared" si="12"/>
        <v>38263752</v>
      </c>
      <c r="D40" s="9">
        <f>SUM($C$33:C40)</f>
        <v>43046720</v>
      </c>
      <c r="E40" s="9">
        <f t="shared" si="13"/>
        <v>-76754196.836305588</v>
      </c>
      <c r="F40" s="9">
        <f t="shared" si="14"/>
        <v>1.5693649791759449E-6</v>
      </c>
      <c r="G40" s="287">
        <f t="shared" si="16"/>
        <v>9245453530.2649326</v>
      </c>
      <c r="O40" s="99">
        <v>8</v>
      </c>
      <c r="P40" s="93">
        <f t="shared" si="20"/>
        <v>10785349</v>
      </c>
      <c r="Q40" s="1">
        <f t="shared" si="17"/>
        <v>86282820</v>
      </c>
      <c r="R40" s="9">
        <f>SUM($Q$33:Q40)</f>
        <v>98608896</v>
      </c>
      <c r="S40" s="282">
        <f t="shared" si="21"/>
        <v>-175824002.69741312</v>
      </c>
      <c r="T40" s="9">
        <f t="shared" si="18"/>
        <v>6.8509046928578051E-7</v>
      </c>
      <c r="U40" s="287">
        <f t="shared" si="19"/>
        <v>21178941523.041191</v>
      </c>
    </row>
    <row r="41" spans="1:21" x14ac:dyDescent="0.2">
      <c r="A41" s="97">
        <v>9</v>
      </c>
      <c r="B41" s="93">
        <f t="shared" si="15"/>
        <v>43046721</v>
      </c>
      <c r="C41" s="1">
        <f t="shared" si="12"/>
        <v>344373768</v>
      </c>
      <c r="D41" s="9">
        <f>SUM($C$33:C41)</f>
        <v>387420488</v>
      </c>
      <c r="E41" s="9">
        <f t="shared" si="13"/>
        <v>-690789566.35270011</v>
      </c>
      <c r="F41" s="9">
        <f t="shared" si="14"/>
        <v>1.9696444350505494E-7</v>
      </c>
      <c r="G41" s="287">
        <f t="shared" si="16"/>
        <v>93989507109.582657</v>
      </c>
      <c r="O41" s="99">
        <v>9</v>
      </c>
      <c r="P41" s="93">
        <f t="shared" si="20"/>
        <v>86282821</v>
      </c>
      <c r="Q41" s="1">
        <f t="shared" si="17"/>
        <v>690262596</v>
      </c>
      <c r="R41" s="9">
        <f>SUM($Q$33:Q41)</f>
        <v>788871492</v>
      </c>
      <c r="S41" s="282">
        <f t="shared" si="21"/>
        <v>-1406596224.8921835</v>
      </c>
      <c r="T41" s="9">
        <f t="shared" si="18"/>
        <v>9.6730660944427726E-8</v>
      </c>
      <c r="U41" s="287">
        <f t="shared" si="19"/>
        <v>191382864361.78635</v>
      </c>
    </row>
    <row r="42" spans="1:21" ht="17" thickBot="1" x14ac:dyDescent="0.25">
      <c r="A42" s="145">
        <v>10</v>
      </c>
      <c r="B42" s="94">
        <f t="shared" si="15"/>
        <v>387420489</v>
      </c>
      <c r="C42" s="111">
        <f t="shared" si="12"/>
        <v>3099363912</v>
      </c>
      <c r="D42" s="10">
        <f>SUM($C$33:C42)</f>
        <v>3486784400</v>
      </c>
      <c r="E42" s="9">
        <f t="shared" si="13"/>
        <v>-6217109630.2529078</v>
      </c>
      <c r="F42" s="10">
        <f t="shared" si="14"/>
        <v>2.4395051833281378E-8</v>
      </c>
      <c r="G42" s="288">
        <f t="shared" si="16"/>
        <v>942928573794.49158</v>
      </c>
      <c r="O42" s="100">
        <v>10</v>
      </c>
      <c r="P42" s="94">
        <f t="shared" si="20"/>
        <v>690262597</v>
      </c>
      <c r="Q42" s="111">
        <f t="shared" si="17"/>
        <v>5522100804</v>
      </c>
      <c r="R42" s="10">
        <f>SUM($Q$33:Q42)</f>
        <v>6310972296</v>
      </c>
      <c r="S42" s="283">
        <f t="shared" si="21"/>
        <v>-11252776809.980251</v>
      </c>
      <c r="T42" s="10">
        <f t="shared" si="18"/>
        <v>1.3478158702010075E-8</v>
      </c>
      <c r="U42" s="288">
        <f t="shared" si="19"/>
        <v>1706671656074.8145</v>
      </c>
    </row>
    <row r="43" spans="1:21" ht="17" thickBot="1" x14ac:dyDescent="0.25">
      <c r="U43" s="285"/>
    </row>
    <row r="44" spans="1:21" ht="17" thickBot="1" x14ac:dyDescent="0.25">
      <c r="A44" s="117" t="s">
        <v>135</v>
      </c>
      <c r="B44" s="118" t="s">
        <v>140</v>
      </c>
      <c r="C44" s="118" t="s">
        <v>139</v>
      </c>
      <c r="D44" s="170" t="s">
        <v>138</v>
      </c>
      <c r="E44" s="167" t="s">
        <v>151</v>
      </c>
      <c r="F44" s="168" t="s">
        <v>152</v>
      </c>
      <c r="G44" s="290" t="s">
        <v>47</v>
      </c>
      <c r="O44" s="29" t="s">
        <v>135</v>
      </c>
      <c r="P44" s="118" t="s">
        <v>140</v>
      </c>
      <c r="Q44" s="118" t="s">
        <v>139</v>
      </c>
      <c r="R44" s="118" t="s">
        <v>138</v>
      </c>
      <c r="S44" s="166" t="s">
        <v>151</v>
      </c>
      <c r="T44" s="168" t="s">
        <v>152</v>
      </c>
      <c r="U44" s="294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8</v>
      </c>
      <c r="D45" s="57">
        <f>SUM(C45:C45)</f>
        <v>8</v>
      </c>
      <c r="E45" s="57">
        <f t="shared" ref="E45:E54" si="23">D45/R7</f>
        <v>-12.501823178594904</v>
      </c>
      <c r="F45" s="8">
        <f t="shared" ref="F45:F54" si="24">U7/E45</f>
        <v>1.0235303091207522</v>
      </c>
      <c r="G45" s="286">
        <f>E45*U7</f>
        <v>159.97326616608262</v>
      </c>
      <c r="O45" s="101">
        <v>1</v>
      </c>
      <c r="P45" s="109">
        <v>1</v>
      </c>
      <c r="Q45" s="110">
        <f>P45*8+28</f>
        <v>36</v>
      </c>
      <c r="R45" s="57">
        <f>SUM($Q$21)</f>
        <v>36</v>
      </c>
      <c r="S45" s="281">
        <f>R45/R7</f>
        <v>-56.258204303677068</v>
      </c>
      <c r="T45" s="8">
        <f>U7/S45</f>
        <v>0.2274511798046116</v>
      </c>
      <c r="U45" s="289">
        <f>S45*U7</f>
        <v>719.87969774737178</v>
      </c>
    </row>
    <row r="46" spans="1:21" x14ac:dyDescent="0.2">
      <c r="A46" s="97">
        <v>2</v>
      </c>
      <c r="B46" s="93">
        <f t="shared" ref="B46:B54" si="25">B45*$O$2*2</f>
        <v>16</v>
      </c>
      <c r="C46" s="1">
        <f t="shared" si="22"/>
        <v>128</v>
      </c>
      <c r="D46" s="9">
        <f>SUM($C$45:C46)</f>
        <v>136</v>
      </c>
      <c r="E46" s="9">
        <f t="shared" si="23"/>
        <v>-235.48202528049973</v>
      </c>
      <c r="F46" s="9">
        <f t="shared" si="24"/>
        <v>0.11602413106755979</v>
      </c>
      <c r="G46" s="287">
        <f t="shared" ref="G46:G54" si="26">E46*U8</f>
        <v>6433.7450814554559</v>
      </c>
      <c r="O46" s="99">
        <v>2</v>
      </c>
      <c r="P46" s="93">
        <f>Q45*2</f>
        <v>72</v>
      </c>
      <c r="Q46" s="1">
        <f t="shared" ref="Q46:Q54" si="27">P46*8+28</f>
        <v>604</v>
      </c>
      <c r="R46" s="9">
        <f>SUM($Q$45:Q46)</f>
        <v>640</v>
      </c>
      <c r="S46" s="282">
        <f t="shared" ref="S46:S54" si="28">R46/R8</f>
        <v>-1108.1507072023517</v>
      </c>
      <c r="T46" s="9">
        <f t="shared" ref="T46:T54" si="29">U8/S46</f>
        <v>2.4655127851856456E-2</v>
      </c>
      <c r="U46" s="287">
        <f t="shared" ref="U46:U54" si="30">S46*U8</f>
        <v>30276.447442143322</v>
      </c>
    </row>
    <row r="47" spans="1:21" x14ac:dyDescent="0.2">
      <c r="A47" s="97">
        <v>3</v>
      </c>
      <c r="B47" s="93">
        <f t="shared" si="25"/>
        <v>256</v>
      </c>
      <c r="C47" s="1">
        <f t="shared" si="22"/>
        <v>2048</v>
      </c>
      <c r="D47" s="9">
        <f>SUM($C$45:C47)</f>
        <v>2184</v>
      </c>
      <c r="E47" s="9">
        <f t="shared" si="23"/>
        <v>-3869.0896378750576</v>
      </c>
      <c r="F47" s="9">
        <f t="shared" si="24"/>
        <v>1.1003063874053627E-2</v>
      </c>
      <c r="G47" s="287">
        <f t="shared" si="26"/>
        <v>164714.26663420847</v>
      </c>
      <c r="O47" s="99">
        <v>3</v>
      </c>
      <c r="P47" s="93">
        <f t="shared" ref="P47:P54" si="31">Q46*2</f>
        <v>1208</v>
      </c>
      <c r="Q47" s="1">
        <f t="shared" si="27"/>
        <v>9692</v>
      </c>
      <c r="R47" s="9">
        <f>SUM($Q$45:Q47)</f>
        <v>10332</v>
      </c>
      <c r="S47" s="282">
        <f t="shared" si="28"/>
        <v>-18303.77020994739</v>
      </c>
      <c r="T47" s="9">
        <f t="shared" si="29"/>
        <v>2.3258509002064571E-3</v>
      </c>
      <c r="U47" s="287">
        <f t="shared" si="30"/>
        <v>779225.18446183251</v>
      </c>
    </row>
    <row r="48" spans="1:21" x14ac:dyDescent="0.2">
      <c r="A48" s="97">
        <v>4</v>
      </c>
      <c r="B48" s="93">
        <f t="shared" si="25"/>
        <v>4096</v>
      </c>
      <c r="C48" s="1">
        <f t="shared" si="22"/>
        <v>32768</v>
      </c>
      <c r="D48" s="9">
        <f>SUM($C$45:C48)</f>
        <v>34952</v>
      </c>
      <c r="E48" s="9">
        <f t="shared" si="23"/>
        <v>-62232.701729313121</v>
      </c>
      <c r="F48" s="9">
        <f t="shared" si="24"/>
        <v>9.331427489750547E-4</v>
      </c>
      <c r="G48" s="287">
        <f t="shared" si="26"/>
        <v>3613977.1043198821</v>
      </c>
      <c r="O48" s="99">
        <v>4</v>
      </c>
      <c r="P48" s="93">
        <f t="shared" si="31"/>
        <v>19384</v>
      </c>
      <c r="Q48" s="1">
        <f t="shared" si="27"/>
        <v>155100</v>
      </c>
      <c r="R48" s="9">
        <f>SUM($Q$45:Q48)</f>
        <v>165432</v>
      </c>
      <c r="S48" s="282">
        <f t="shared" si="28"/>
        <v>-294554.82697653148</v>
      </c>
      <c r="T48" s="9">
        <f t="shared" si="29"/>
        <v>1.9715173220523303E-4</v>
      </c>
      <c r="U48" s="287">
        <f t="shared" si="30"/>
        <v>17105386.253200009</v>
      </c>
    </row>
    <row r="49" spans="1:21" x14ac:dyDescent="0.2">
      <c r="A49" s="97">
        <v>5</v>
      </c>
      <c r="B49" s="93">
        <f t="shared" si="25"/>
        <v>65536</v>
      </c>
      <c r="C49" s="1">
        <f t="shared" si="22"/>
        <v>524288</v>
      </c>
      <c r="D49" s="9">
        <f>SUM($C$45:C49)</f>
        <v>559240</v>
      </c>
      <c r="E49" s="9">
        <f t="shared" si="23"/>
        <v>-996841.82517845288</v>
      </c>
      <c r="F49" s="9">
        <f t="shared" si="24"/>
        <v>7.3881730108395324E-5</v>
      </c>
      <c r="G49" s="287">
        <f t="shared" si="26"/>
        <v>73415804.170209065</v>
      </c>
      <c r="O49" s="99">
        <v>5</v>
      </c>
      <c r="P49" s="93">
        <f t="shared" si="31"/>
        <v>310200</v>
      </c>
      <c r="Q49" s="1">
        <f t="shared" si="27"/>
        <v>2481628</v>
      </c>
      <c r="R49" s="9">
        <f>SUM($Q$45:Q49)</f>
        <v>2647060</v>
      </c>
      <c r="S49" s="282">
        <f t="shared" si="28"/>
        <v>-4718368.0025693355</v>
      </c>
      <c r="T49" s="9">
        <f t="shared" si="29"/>
        <v>1.5608871255588844E-5</v>
      </c>
      <c r="U49" s="287">
        <f t="shared" si="30"/>
        <v>347500247.81273443</v>
      </c>
    </row>
    <row r="50" spans="1:21" x14ac:dyDescent="0.2">
      <c r="A50" s="97">
        <v>6</v>
      </c>
      <c r="B50" s="93">
        <f t="shared" si="25"/>
        <v>1048576</v>
      </c>
      <c r="C50" s="1">
        <f t="shared" si="22"/>
        <v>8388608</v>
      </c>
      <c r="D50" s="9">
        <f>SUM($C$45:C50)</f>
        <v>8947848</v>
      </c>
      <c r="E50" s="9">
        <f t="shared" si="23"/>
        <v>-15953366.758287065</v>
      </c>
      <c r="F50" s="9">
        <f t="shared" si="24"/>
        <v>5.5942016507884577E-6</v>
      </c>
      <c r="G50" s="287">
        <f t="shared" si="26"/>
        <v>1423779763.8354065</v>
      </c>
      <c r="O50" s="99">
        <v>6</v>
      </c>
      <c r="P50" s="93">
        <f t="shared" si="31"/>
        <v>4963256</v>
      </c>
      <c r="Q50" s="1">
        <f t="shared" si="27"/>
        <v>39706076</v>
      </c>
      <c r="R50" s="9">
        <f>SUM($Q$45:Q50)</f>
        <v>42353136</v>
      </c>
      <c r="S50" s="282">
        <f t="shared" si="28"/>
        <v>-75512582.687100977</v>
      </c>
      <c r="T50" s="9">
        <f t="shared" si="29"/>
        <v>1.1818739007332115E-6</v>
      </c>
      <c r="U50" s="287">
        <f t="shared" si="30"/>
        <v>6739222433.3458557</v>
      </c>
    </row>
    <row r="51" spans="1:21" x14ac:dyDescent="0.2">
      <c r="A51" s="97">
        <v>7</v>
      </c>
      <c r="B51" s="93">
        <f t="shared" si="25"/>
        <v>16777216</v>
      </c>
      <c r="C51" s="1">
        <f t="shared" si="22"/>
        <v>134217728</v>
      </c>
      <c r="D51" s="9">
        <f>SUM($C$45:C51)</f>
        <v>143165576</v>
      </c>
      <c r="E51" s="9">
        <f t="shared" si="23"/>
        <v>-255267528.19598067</v>
      </c>
      <c r="F51" s="9">
        <f t="shared" si="24"/>
        <v>4.1074592337973141E-7</v>
      </c>
      <c r="G51" s="287">
        <f t="shared" si="26"/>
        <v>26764824984.50436</v>
      </c>
      <c r="O51" s="99">
        <v>7</v>
      </c>
      <c r="P51" s="93">
        <f t="shared" si="31"/>
        <v>79412152</v>
      </c>
      <c r="Q51" s="1">
        <f t="shared" si="27"/>
        <v>635297244</v>
      </c>
      <c r="R51" s="9">
        <f>SUM($Q$45:Q51)</f>
        <v>677650380</v>
      </c>
      <c r="S51" s="282">
        <f t="shared" si="28"/>
        <v>-1208266276.8294735</v>
      </c>
      <c r="T51" s="9">
        <f t="shared" si="29"/>
        <v>8.6777309429548479E-8</v>
      </c>
      <c r="U51" s="287">
        <f t="shared" si="30"/>
        <v>126686835817.1721</v>
      </c>
    </row>
    <row r="52" spans="1:21" x14ac:dyDescent="0.2">
      <c r="A52" s="97">
        <v>8</v>
      </c>
      <c r="B52" s="93">
        <f t="shared" si="25"/>
        <v>268435456</v>
      </c>
      <c r="C52" s="1">
        <f t="shared" si="22"/>
        <v>2147483648</v>
      </c>
      <c r="D52" s="9">
        <f>SUM($C$45:C52)</f>
        <v>2290649224</v>
      </c>
      <c r="E52" s="9">
        <f t="shared" si="23"/>
        <v>-4084328409.2685027</v>
      </c>
      <c r="F52" s="9">
        <f t="shared" si="24"/>
        <v>2.9492082038831074E-8</v>
      </c>
      <c r="G52" s="287">
        <f t="shared" si="26"/>
        <v>491979202007.24768</v>
      </c>
      <c r="O52" s="99">
        <v>8</v>
      </c>
      <c r="P52" s="93">
        <f t="shared" si="31"/>
        <v>1270594488</v>
      </c>
      <c r="Q52" s="1">
        <f t="shared" si="27"/>
        <v>10164755932</v>
      </c>
      <c r="R52" s="9">
        <f>SUM($Q$45:Q52)</f>
        <v>10842406312</v>
      </c>
      <c r="S52" s="282">
        <f t="shared" si="28"/>
        <v>-19332487777.244122</v>
      </c>
      <c r="T52" s="9">
        <f t="shared" si="29"/>
        <v>6.2307215660811457E-9</v>
      </c>
      <c r="U52" s="287">
        <f t="shared" si="30"/>
        <v>2328701552960.2998</v>
      </c>
    </row>
    <row r="53" spans="1:21" x14ac:dyDescent="0.2">
      <c r="A53" s="97">
        <v>9</v>
      </c>
      <c r="B53" s="93">
        <f t="shared" si="25"/>
        <v>4294967296</v>
      </c>
      <c r="C53" s="1">
        <f t="shared" si="22"/>
        <v>34359738368</v>
      </c>
      <c r="D53" s="9">
        <f>SUM($C$45:C53)</f>
        <v>36650387592</v>
      </c>
      <c r="E53" s="9">
        <f t="shared" si="23"/>
        <v>-65349423005.569237</v>
      </c>
      <c r="F53" s="9">
        <f t="shared" si="24"/>
        <v>2.0820533106185552E-9</v>
      </c>
      <c r="G53" s="287">
        <f t="shared" si="26"/>
        <v>8891506700975.6172</v>
      </c>
      <c r="O53" s="99">
        <v>9</v>
      </c>
      <c r="P53" s="93">
        <f t="shared" si="31"/>
        <v>20329511864</v>
      </c>
      <c r="Q53" s="1">
        <f t="shared" si="27"/>
        <v>162636094940</v>
      </c>
      <c r="R53" s="9">
        <f>SUM($Q$45:Q53)</f>
        <v>173478501252</v>
      </c>
      <c r="S53" s="282">
        <f t="shared" si="28"/>
        <v>-309320602196.40582</v>
      </c>
      <c r="T53" s="9">
        <f t="shared" si="29"/>
        <v>4.3987041777891243E-10</v>
      </c>
      <c r="U53" s="287">
        <f t="shared" si="30"/>
        <v>42086465047208.852</v>
      </c>
    </row>
    <row r="54" spans="1:21" ht="17" thickBot="1" x14ac:dyDescent="0.25">
      <c r="A54" s="145">
        <v>10</v>
      </c>
      <c r="B54" s="94">
        <f t="shared" si="25"/>
        <v>68719476736</v>
      </c>
      <c r="C54" s="111">
        <f t="shared" si="22"/>
        <v>549755813888</v>
      </c>
      <c r="D54" s="10">
        <f>SUM($C$45:C54)</f>
        <v>586406201480</v>
      </c>
      <c r="E54" s="10">
        <f t="shared" si="23"/>
        <v>-1045591359896.3374</v>
      </c>
      <c r="F54" s="10">
        <f t="shared" si="24"/>
        <v>1.4505352425468506E-10</v>
      </c>
      <c r="G54" s="288">
        <f t="shared" si="26"/>
        <v>158581403319855.88</v>
      </c>
      <c r="O54" s="100">
        <v>10</v>
      </c>
      <c r="P54" s="94">
        <f t="shared" si="31"/>
        <v>325272189880</v>
      </c>
      <c r="Q54" s="111">
        <f t="shared" si="27"/>
        <v>2602177519068</v>
      </c>
      <c r="R54" s="10">
        <f>SUM($Q$45:Q54)</f>
        <v>2775656020320</v>
      </c>
      <c r="S54" s="283">
        <f t="shared" si="28"/>
        <v>-4949132436809.3799</v>
      </c>
      <c r="T54" s="10">
        <f t="shared" si="29"/>
        <v>3.0645110758238146E-11</v>
      </c>
      <c r="U54" s="288">
        <f t="shared" si="30"/>
        <v>750618642375603.12</v>
      </c>
    </row>
  </sheetData>
  <mergeCells count="2">
    <mergeCell ref="A18:F18"/>
    <mergeCell ref="O18:T18"/>
  </mergeCells>
  <conditionalFormatting sqref="F45:F54">
    <cfRule type="cellIs" dxfId="188" priority="53" operator="equal">
      <formula>MAX($F$45:$F$54)</formula>
    </cfRule>
  </conditionalFormatting>
  <conditionalFormatting sqref="F21:F30">
    <cfRule type="cellIs" dxfId="187" priority="51" operator="equal">
      <formula>MAX($F$21:$F$30)</formula>
    </cfRule>
  </conditionalFormatting>
  <conditionalFormatting sqref="E33:E42">
    <cfRule type="cellIs" dxfId="186" priority="49" stopIfTrue="1" operator="lessThan">
      <formula>0</formula>
    </cfRule>
    <cfRule type="cellIs" dxfId="185" priority="50" operator="equal">
      <formula>MIN($E$33:$E$42)</formula>
    </cfRule>
  </conditionalFormatting>
  <conditionalFormatting sqref="E21:E30">
    <cfRule type="cellIs" dxfId="184" priority="45" stopIfTrue="1" operator="lessThan">
      <formula>0</formula>
    </cfRule>
    <cfRule type="cellIs" dxfId="183" priority="46" operator="equal">
      <formula>MIN($E$21:$E$30)</formula>
    </cfRule>
  </conditionalFormatting>
  <conditionalFormatting sqref="E45:E54">
    <cfRule type="cellIs" dxfId="182" priority="41" stopIfTrue="1" operator="lessThan">
      <formula>0</formula>
    </cfRule>
    <cfRule type="cellIs" dxfId="181" priority="42" operator="equal">
      <formula>MIN($E$45:$E$54)</formula>
    </cfRule>
  </conditionalFormatting>
  <conditionalFormatting sqref="F33:F42">
    <cfRule type="cellIs" dxfId="180" priority="31" operator="lessThanOrEqual">
      <formula>0</formula>
    </cfRule>
    <cfRule type="cellIs" dxfId="179" priority="32" operator="equal">
      <formula>MAX($F$33:$F$42)</formula>
    </cfRule>
  </conditionalFormatting>
  <conditionalFormatting sqref="S7:T16">
    <cfRule type="cellIs" dxfId="178" priority="13" operator="lessThanOrEqual">
      <formula>0</formula>
    </cfRule>
    <cfRule type="cellIs" dxfId="177" priority="14" operator="greaterThan">
      <formula>0</formula>
    </cfRule>
  </conditionalFormatting>
  <conditionalFormatting sqref="U7:U16">
    <cfRule type="cellIs" dxfId="176" priority="15" operator="lessThanOrEqual">
      <formula>0</formula>
    </cfRule>
    <cfRule type="cellIs" dxfId="175" priority="16" operator="greaterThan">
      <formula>0</formula>
    </cfRule>
  </conditionalFormatting>
  <conditionalFormatting sqref="R7:R16">
    <cfRule type="cellIs" dxfId="174" priority="17" operator="lessThanOrEqual">
      <formula>0</formula>
    </cfRule>
    <cfRule type="cellIs" dxfId="173" priority="18" operator="greaterThan">
      <formula>0</formula>
    </cfRule>
  </conditionalFormatting>
  <conditionalFormatting sqref="T21:T30">
    <cfRule type="cellIs" dxfId="172" priority="9" operator="equal">
      <formula>MAX($T$21:$T$30)</formula>
    </cfRule>
  </conditionalFormatting>
  <conditionalFormatting sqref="S33:S42">
    <cfRule type="cellIs" dxfId="171" priority="7" stopIfTrue="1" operator="lessThan">
      <formula>0</formula>
    </cfRule>
    <cfRule type="cellIs" dxfId="170" priority="8" operator="equal">
      <formula>MIN($E$21:$E$30)</formula>
    </cfRule>
  </conditionalFormatting>
  <conditionalFormatting sqref="T33:T42">
    <cfRule type="cellIs" dxfId="169" priority="6" operator="equal">
      <formula>MAX($T$21:$T$30)</formula>
    </cfRule>
  </conditionalFormatting>
  <conditionalFormatting sqref="S45:S54">
    <cfRule type="cellIs" dxfId="168" priority="4" stopIfTrue="1" operator="lessThan">
      <formula>0</formula>
    </cfRule>
    <cfRule type="cellIs" dxfId="167" priority="5" operator="equal">
      <formula>MIN($E$21:$E$30)</formula>
    </cfRule>
  </conditionalFormatting>
  <conditionalFormatting sqref="T45:T54">
    <cfRule type="cellIs" dxfId="166" priority="3" operator="equal">
      <formula>MAX($T$21:$T$30)</formula>
    </cfRule>
  </conditionalFormatting>
  <conditionalFormatting sqref="S21:S30">
    <cfRule type="cellIs" dxfId="165" priority="1" stopIfTrue="1" operator="lessThan">
      <formula>0</formula>
    </cfRule>
    <cfRule type="cellIs" dxfId="164" priority="2" operator="equal">
      <formula>MIN($E$21:$E$30)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>
    <pageSetUpPr fitToPage="1"/>
  </sheetPr>
  <dimension ref="A1:W54"/>
  <sheetViews>
    <sheetView workbookViewId="0">
      <selection activeCell="C7" sqref="C7:C16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0.99999999999999889</v>
      </c>
    </row>
    <row r="2" spans="1:23" x14ac:dyDescent="0.2">
      <c r="A2" t="s">
        <v>40</v>
      </c>
      <c r="B2" s="149" t="s">
        <v>125</v>
      </c>
      <c r="C2" s="155">
        <f>Analysis!B47</f>
        <v>0.18073066878823524</v>
      </c>
      <c r="D2" s="149" t="s">
        <v>126</v>
      </c>
      <c r="E2" s="155">
        <f>Analysis!N47</f>
        <v>0.8192693312117636</v>
      </c>
      <c r="F2" s="149" t="s">
        <v>47</v>
      </c>
      <c r="G2" s="155">
        <f>Analysis!S47</f>
        <v>-8.9202806953545668</v>
      </c>
      <c r="H2" t="s">
        <v>156</v>
      </c>
      <c r="I2" s="169">
        <f>Analysis!T47</f>
        <v>-15.751512669895737</v>
      </c>
      <c r="J2" t="s">
        <v>48</v>
      </c>
      <c r="K2" s="169">
        <f>C2*G2+E2*I2</f>
        <v>-14.516899546489316</v>
      </c>
      <c r="L2" t="s">
        <v>47</v>
      </c>
      <c r="M2" s="176">
        <v>3</v>
      </c>
      <c r="N2" t="s">
        <v>156</v>
      </c>
      <c r="O2" s="176">
        <v>9</v>
      </c>
    </row>
    <row r="4" spans="1:23" x14ac:dyDescent="0.2">
      <c r="A4" t="s">
        <v>123</v>
      </c>
      <c r="B4">
        <f>$C$2</f>
        <v>0.18073066878823524</v>
      </c>
      <c r="C4" t="s">
        <v>124</v>
      </c>
      <c r="D4">
        <f>$E$2</f>
        <v>0.8192693312117636</v>
      </c>
      <c r="E4" t="s">
        <v>47</v>
      </c>
      <c r="F4">
        <f>G2</f>
        <v>-8.9202806953545668</v>
      </c>
      <c r="G4" t="s">
        <v>156</v>
      </c>
      <c r="H4">
        <f>I2</f>
        <v>-15.751512669895737</v>
      </c>
      <c r="I4" t="s">
        <v>48</v>
      </c>
      <c r="J4">
        <f>K2</f>
        <v>-14.516899546489316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60">
        <v>-10</v>
      </c>
      <c r="N6" s="104" t="s">
        <v>136</v>
      </c>
      <c r="R6" s="188" t="s">
        <v>49</v>
      </c>
      <c r="S6" s="164" t="s">
        <v>130</v>
      </c>
      <c r="T6" s="165" t="s">
        <v>137</v>
      </c>
      <c r="U6" s="268" t="s">
        <v>48</v>
      </c>
      <c r="V6" s="175" t="s">
        <v>47</v>
      </c>
      <c r="W6" s="168" t="s">
        <v>156</v>
      </c>
    </row>
    <row r="7" spans="1:23" x14ac:dyDescent="0.2">
      <c r="A7" s="101">
        <v>1</v>
      </c>
      <c r="B7" s="95">
        <f>C7*B4</f>
        <v>0.18073066878823524</v>
      </c>
      <c r="C7" s="95">
        <v>1</v>
      </c>
      <c r="D7" s="22">
        <f>C7*D4</f>
        <v>0.8192693312117636</v>
      </c>
      <c r="E7" s="2"/>
      <c r="F7" s="2"/>
      <c r="G7" s="2"/>
      <c r="H7" s="2"/>
      <c r="I7" s="2"/>
      <c r="J7" s="2"/>
      <c r="K7" s="2"/>
      <c r="L7" s="2"/>
      <c r="M7" s="261"/>
      <c r="N7" s="96">
        <f>B7+D7</f>
        <v>0.99999999999999889</v>
      </c>
      <c r="R7" s="189">
        <f>B7-D7</f>
        <v>-0.6385386624235283</v>
      </c>
      <c r="S7" s="109">
        <f>SUM(C7)*$B$4*$F$4</f>
        <v>-1.612168295850215</v>
      </c>
      <c r="T7" s="263">
        <f>SUM(C7)*$D$4*$H$4</f>
        <v>-12.904731250639101</v>
      </c>
      <c r="U7" s="265">
        <f>S7+T7</f>
        <v>-14.516899546489316</v>
      </c>
      <c r="V7" s="109">
        <f>(U7+W7*D7)/B7</f>
        <v>-75.790292301342973</v>
      </c>
      <c r="W7" s="57">
        <f>COUNT(D7:M7)</f>
        <v>1</v>
      </c>
    </row>
    <row r="8" spans="1:23" x14ac:dyDescent="0.2">
      <c r="A8" s="99">
        <v>2</v>
      </c>
      <c r="B8" s="97">
        <f>C8*B4</f>
        <v>0.21214190407095945</v>
      </c>
      <c r="C8" s="97">
        <f>1/(1-B4*D4*C7)</f>
        <v>1.173801355870205</v>
      </c>
      <c r="D8" s="144">
        <f>C8*D4</f>
        <v>0.96165945179924417</v>
      </c>
      <c r="E8" s="1">
        <f>D8*D4</f>
        <v>0.78785809592903799</v>
      </c>
      <c r="F8" s="1"/>
      <c r="G8" s="1"/>
      <c r="H8" s="1"/>
      <c r="I8" s="1"/>
      <c r="J8" s="1"/>
      <c r="K8" s="1"/>
      <c r="L8" s="1"/>
      <c r="M8" s="262"/>
      <c r="N8" s="97">
        <f>B8+E8</f>
        <v>0.99999999999999745</v>
      </c>
      <c r="R8" s="190">
        <f>B8-E8</f>
        <v>-0.57571619185807854</v>
      </c>
      <c r="S8" s="93">
        <f>SUM(C8:D8)*$B$4*$F$4</f>
        <v>-3.4427222111553792</v>
      </c>
      <c r="T8" s="262">
        <f>SUM(C8:D8)*$D$4*$H$4</f>
        <v>-27.55754781924696</v>
      </c>
      <c r="U8" s="266">
        <f>S8+T8</f>
        <v>-31.000270030402341</v>
      </c>
      <c r="V8" s="93">
        <f>(U8+W8*E8)/B8</f>
        <v>-138.7022237186201</v>
      </c>
      <c r="W8" s="9">
        <f>COUNT(D8:M8)</f>
        <v>2</v>
      </c>
    </row>
    <row r="9" spans="1:23" x14ac:dyDescent="0.2">
      <c r="A9" s="99">
        <v>3</v>
      </c>
      <c r="B9" s="97">
        <f>C9*B4</f>
        <v>0.21874965551243708</v>
      </c>
      <c r="C9" s="97">
        <f>1/(1-D4*B4*C8)</f>
        <v>1.2103626738013638</v>
      </c>
      <c r="D9" s="144">
        <f>C9*D4*C8</f>
        <v>1.1639567053660869</v>
      </c>
      <c r="E9" s="1">
        <f>D9*(D4)</f>
        <v>0.95359403156472178</v>
      </c>
      <c r="F9" s="1">
        <f>E9*D4</f>
        <v>0.78125034448755903</v>
      </c>
      <c r="G9" s="1"/>
      <c r="H9" s="1"/>
      <c r="I9" s="1"/>
      <c r="J9" s="1"/>
      <c r="K9" s="1"/>
      <c r="L9" s="1"/>
      <c r="M9" s="262"/>
      <c r="N9" s="97">
        <f>B9+F9</f>
        <v>0.99999999999999611</v>
      </c>
      <c r="R9" s="190">
        <f>B9-F9</f>
        <v>-0.56250068897512195</v>
      </c>
      <c r="S9" s="93">
        <f>SUM(C9:E9)*$B$4*$F$4</f>
        <v>-5.3651564921171628</v>
      </c>
      <c r="T9" s="262">
        <f>SUM(C9:E9)*$D$4*$H$4</f>
        <v>-42.945828190896421</v>
      </c>
      <c r="U9" s="266">
        <f t="shared" ref="U9:U16" si="0">S9+T9</f>
        <v>-48.310984683013587</v>
      </c>
      <c r="V9" s="93">
        <f>(U9+W9*F9)/B9</f>
        <v>-210.13625617772652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0.22019242949163748</v>
      </c>
      <c r="C10" s="97">
        <f>1/(1-D4*B4*C9)</f>
        <v>1.218345679612574</v>
      </c>
      <c r="D10" s="144">
        <f>C10*D4*C9</f>
        <v>1.2081274366798964</v>
      </c>
      <c r="E10" s="1">
        <f>D10*D4*C8</f>
        <v>1.1618071684612152</v>
      </c>
      <c r="F10" s="1">
        <f>E10*D4</f>
        <v>0.95183298190225252</v>
      </c>
      <c r="G10" s="1">
        <f>F10*D4</f>
        <v>0.77980757050835714</v>
      </c>
      <c r="H10" s="1"/>
      <c r="I10" s="1"/>
      <c r="J10" s="1"/>
      <c r="K10" s="1"/>
      <c r="L10" s="1"/>
      <c r="M10" s="262"/>
      <c r="N10" s="97">
        <f>B10+G10</f>
        <v>0.99999999999999467</v>
      </c>
      <c r="R10" s="190">
        <f>B10-G10</f>
        <v>-0.55961514101671961</v>
      </c>
      <c r="S10" s="93">
        <f>SUM(C10:F10)*$B$4*$F$4</f>
        <v>-7.3194266680716558</v>
      </c>
      <c r="T10" s="262">
        <f>SUM(C10:F10)*$D$4*$H$4</f>
        <v>-58.588941553656063</v>
      </c>
      <c r="U10" s="266">
        <f t="shared" si="0"/>
        <v>-65.908368221727713</v>
      </c>
      <c r="V10" s="93">
        <f>(U10+W10*G10)/B10</f>
        <v>-285.15575255996214</v>
      </c>
      <c r="W10" s="9">
        <f t="shared" si="1"/>
        <v>4</v>
      </c>
    </row>
    <row r="11" spans="1:23" x14ac:dyDescent="0.2">
      <c r="A11" s="99">
        <v>5</v>
      </c>
      <c r="B11" s="97">
        <f>C11*B4</f>
        <v>0.22050998802829691</v>
      </c>
      <c r="C11" s="97">
        <f>1/(1-D4*B4*C10)</f>
        <v>1.2201027612345732</v>
      </c>
      <c r="D11" s="144">
        <f>C11*D4*C10</f>
        <v>1.2178495366078164</v>
      </c>
      <c r="E11" s="1">
        <f>D11*D4*C9</f>
        <v>1.2076354548174457</v>
      </c>
      <c r="F11" s="1">
        <f>E11*D4*C8</f>
        <v>1.1613340494530757</v>
      </c>
      <c r="G11" s="1">
        <f>F11*D4</f>
        <v>0.95144537000887053</v>
      </c>
      <c r="H11" s="1">
        <f>G11*D4</f>
        <v>0.77949001197169632</v>
      </c>
      <c r="I11" s="1"/>
      <c r="J11" s="1"/>
      <c r="K11" s="1"/>
      <c r="L11" s="1"/>
      <c r="M11" s="262"/>
      <c r="N11" s="97">
        <f>B11+H11</f>
        <v>0.99999999999999323</v>
      </c>
      <c r="R11" s="190">
        <f>B11-H11</f>
        <v>-0.55898002394339941</v>
      </c>
      <c r="S11" s="93">
        <f>SUM(C11:G11)*$B$4*$F$4</f>
        <v>-9.2834569907593938</v>
      </c>
      <c r="T11" s="262">
        <f>SUM(C11:G11)*$D$4*$H$4</f>
        <v>-74.310180798734265</v>
      </c>
      <c r="U11" s="266">
        <f t="shared" si="0"/>
        <v>-83.593637789493656</v>
      </c>
      <c r="V11" s="93">
        <f>(U11+W11*H11)/B11</f>
        <v>-361.41758675987126</v>
      </c>
      <c r="W11" s="9">
        <f t="shared" si="1"/>
        <v>5</v>
      </c>
    </row>
    <row r="12" spans="1:23" x14ac:dyDescent="0.2">
      <c r="A12" s="99">
        <v>6</v>
      </c>
      <c r="B12" s="97">
        <f>C12*B4</f>
        <v>0.22058000656735741</v>
      </c>
      <c r="C12" s="97">
        <f>1/(1-D4*B4*C11)</f>
        <v>1.2204901804785231</v>
      </c>
      <c r="D12" s="144">
        <f>C12*D4*C11</f>
        <v>1.2199931641755537</v>
      </c>
      <c r="E12" s="1">
        <f>D12*D4*C10</f>
        <v>1.2177401419471525</v>
      </c>
      <c r="F12" s="1">
        <f>E12*D4*C9</f>
        <v>1.2075269776478001</v>
      </c>
      <c r="G12" s="1">
        <f>F12*D4*C8</f>
        <v>1.1612297313575817</v>
      </c>
      <c r="H12" s="1">
        <f>G12*D4</f>
        <v>0.95135990539254189</v>
      </c>
      <c r="I12" s="1">
        <f>H12*D4</f>
        <v>0.77941999343263446</v>
      </c>
      <c r="J12" s="1"/>
      <c r="K12" s="1"/>
      <c r="L12" s="1"/>
      <c r="M12" s="262"/>
      <c r="N12" s="97">
        <f>B12+I12</f>
        <v>0.9999999999999919</v>
      </c>
      <c r="R12" s="190">
        <f>B12-I12</f>
        <v>-0.55883998686527703</v>
      </c>
      <c r="S12" s="93">
        <f>SUM(C12:H12)*$B$4*$F$4</f>
        <v>-11.25025866849102</v>
      </c>
      <c r="T12" s="262">
        <f>SUM(C12:H12)*$D$4*$H$4</f>
        <v>-90.05360357895178</v>
      </c>
      <c r="U12" s="266">
        <f t="shared" si="0"/>
        <v>-101.30386224744279</v>
      </c>
      <c r="V12" s="93">
        <f>(U12+W12*I12)/B12</f>
        <v>-438.06029290936834</v>
      </c>
      <c r="W12" s="9">
        <f t="shared" si="1"/>
        <v>6</v>
      </c>
    </row>
    <row r="13" spans="1:23" x14ac:dyDescent="0.2">
      <c r="A13" s="99">
        <v>7</v>
      </c>
      <c r="B13" s="97">
        <f>C13*B4</f>
        <v>0.22059545095112321</v>
      </c>
      <c r="C13" s="97">
        <f>1/(1-D4*B4*C12)</f>
        <v>1.2205756357245494</v>
      </c>
      <c r="D13" s="144">
        <f>C13*D4*C12</f>
        <v>1.220465996189064</v>
      </c>
      <c r="E13" s="1">
        <f>D13*D4*C11</f>
        <v>1.2199689897345853</v>
      </c>
      <c r="F13" s="1">
        <f>E13*D4*C10</f>
        <v>1.2177160121503301</v>
      </c>
      <c r="G13" s="1">
        <f>F13*D4*C9</f>
        <v>1.2075030502271424</v>
      </c>
      <c r="H13" s="1">
        <f>G13*D4*C8</f>
        <v>1.1612067213273489</v>
      </c>
      <c r="I13" s="1">
        <f>H13*D4</f>
        <v>0.95134105398046187</v>
      </c>
      <c r="J13" s="1">
        <f>I13*D4</f>
        <v>0.77940454904886725</v>
      </c>
      <c r="K13" s="1"/>
      <c r="L13" s="1"/>
      <c r="M13" s="262"/>
      <c r="N13" s="97">
        <f>B13+J13</f>
        <v>0.99999999999999045</v>
      </c>
      <c r="R13" s="190">
        <f>B13-J13</f>
        <v>-0.55880909809774404</v>
      </c>
      <c r="S13" s="93">
        <f>SUM(C13:I13)*$B$4*$F$4</f>
        <v>-13.217809084668813</v>
      </c>
      <c r="T13" s="262">
        <f>SUM(C13:I13)*$D$4*$H$4</f>
        <v>-105.80301969649624</v>
      </c>
      <c r="U13" s="266">
        <f t="shared" si="0"/>
        <v>-119.02082878116505</v>
      </c>
      <c r="V13" s="93">
        <f>(U13+W13*J13)/B13</f>
        <v>-514.81114614183639</v>
      </c>
      <c r="W13" s="9">
        <f t="shared" si="1"/>
        <v>7</v>
      </c>
    </row>
    <row r="14" spans="1:23" x14ac:dyDescent="0.2">
      <c r="A14" s="99">
        <v>8</v>
      </c>
      <c r="B14" s="97">
        <f>C14*B4</f>
        <v>0.2205988578970321</v>
      </c>
      <c r="C14" s="97">
        <f>1/(1-D4*B4*C13)</f>
        <v>1.2205944866806806</v>
      </c>
      <c r="D14" s="144">
        <f>C14*D4*C13</f>
        <v>1.2205703003243706</v>
      </c>
      <c r="E14" s="1">
        <f>D14*D4*C12</f>
        <v>1.2204606612681435</v>
      </c>
      <c r="F14" s="1">
        <f>E14*D4*C11</f>
        <v>1.2199636569861876</v>
      </c>
      <c r="G14" s="1">
        <f>F14*D4*C10</f>
        <v>1.2177106892501848</v>
      </c>
      <c r="H14" s="1">
        <f>G14*D4*C9</f>
        <v>1.2074977719700632</v>
      </c>
      <c r="I14" s="1">
        <f>H14*D4*C8</f>
        <v>1.1612016454415397</v>
      </c>
      <c r="J14" s="1">
        <f>I14*D4</f>
        <v>0.95133689546288969</v>
      </c>
      <c r="K14" s="1">
        <f>J14*D4</f>
        <v>0.77940114210295708</v>
      </c>
      <c r="L14" s="1"/>
      <c r="M14" s="262"/>
      <c r="N14" s="97">
        <f>B14+K14</f>
        <v>0.99999999999998912</v>
      </c>
      <c r="R14" s="190">
        <f>B14-K14</f>
        <v>-0.55880228420592504</v>
      </c>
      <c r="S14" s="93">
        <f>SUM(C14:J14)*$B$4*$F$4</f>
        <v>-15.185555040281756</v>
      </c>
      <c r="T14" s="262">
        <f>SUM(C14:J14)*$D$4*$H$4</f>
        <v>-121.55400102523232</v>
      </c>
      <c r="U14" s="266">
        <f t="shared" si="0"/>
        <v>-136.73955606551408</v>
      </c>
      <c r="V14" s="93">
        <f>(U14+W14*K14)/B14</f>
        <v>-591.59121752844851</v>
      </c>
      <c r="W14" s="9">
        <f t="shared" si="1"/>
        <v>8</v>
      </c>
    </row>
    <row r="15" spans="1:23" x14ac:dyDescent="0.2">
      <c r="A15" s="99">
        <v>9</v>
      </c>
      <c r="B15" s="97">
        <f>C15*B4</f>
        <v>0.22059960946468379</v>
      </c>
      <c r="C15" s="97">
        <f>1/(1-D4*B4*C14)</f>
        <v>1.2205986451760635</v>
      </c>
      <c r="D15" s="144">
        <f>C15*D4*C14</f>
        <v>1.2205933096753054</v>
      </c>
      <c r="E15" s="1">
        <f>D15*D4*C13</f>
        <v>1.2205691233423182</v>
      </c>
      <c r="F15" s="1">
        <f>E15*D4*C12</f>
        <v>1.2204594843918146</v>
      </c>
      <c r="G15" s="1">
        <f>F15*D4*C11</f>
        <v>1.2199624805891143</v>
      </c>
      <c r="H15" s="1">
        <f>G15*D4*C10</f>
        <v>1.2177095150256225</v>
      </c>
      <c r="I15" s="1">
        <f>H15*D4*C9</f>
        <v>1.2074966075937008</v>
      </c>
      <c r="J15" s="1">
        <f>I15*D4*C8</f>
        <v>1.1612005257080054</v>
      </c>
      <c r="K15" s="1">
        <f>J15*D4</f>
        <v>0.95133597809954584</v>
      </c>
      <c r="L15" s="1">
        <f>K15*D4</f>
        <v>0.77940039053530386</v>
      </c>
      <c r="M15" s="262"/>
      <c r="N15" s="97">
        <f>B15+L15</f>
        <v>0.99999999999998768</v>
      </c>
      <c r="R15" s="190">
        <f>B15-L15</f>
        <v>-0.55880078107062003</v>
      </c>
      <c r="S15" s="93">
        <f>SUM(C15:K15)*$B$4*$F$4</f>
        <v>-17.153350834734393</v>
      </c>
      <c r="T15" s="262">
        <f>SUM(C15:K15)*$D$4*$H$4</f>
        <v>-137.30538129298355</v>
      </c>
      <c r="U15" s="266">
        <f t="shared" si="0"/>
        <v>-154.45873212771795</v>
      </c>
      <c r="V15" s="93">
        <f>(U15+W15*L15)/B15</f>
        <v>-668.37891948537117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0.22059977526017896</v>
      </c>
      <c r="C16" s="145">
        <f>1/(1-D4*B4*C15)</f>
        <v>1.2205995625383257</v>
      </c>
      <c r="D16" s="153">
        <f>C16*D4*C15</f>
        <v>1.220598385528056</v>
      </c>
      <c r="E16" s="111">
        <f>D16*D4*C14</f>
        <v>1.220593050028433</v>
      </c>
      <c r="F16" s="111">
        <f>E16*D4*C13</f>
        <v>1.2205688637005905</v>
      </c>
      <c r="G16" s="111">
        <f>F16*D4*C12</f>
        <v>1.2204592247734096</v>
      </c>
      <c r="H16" s="111">
        <f>G16*D4*C11</f>
        <v>1.2199622210764329</v>
      </c>
      <c r="I16" s="111">
        <f>H16*D4*C10</f>
        <v>1.2177092559921963</v>
      </c>
      <c r="J16" s="111">
        <f>I16*D4*C9</f>
        <v>1.2074963507327834</v>
      </c>
      <c r="K16" s="111">
        <f>J16*D4*C8</f>
        <v>1.1612002786952762</v>
      </c>
      <c r="L16" s="111">
        <f>K16*D4</f>
        <v>0.95133577572959238</v>
      </c>
      <c r="M16" s="264">
        <f>L16*D4</f>
        <v>0.77940022473980752</v>
      </c>
      <c r="N16" s="145">
        <f>B16+M16</f>
        <v>0.99999999999998646</v>
      </c>
      <c r="R16" s="191">
        <f>B16-M16</f>
        <v>-0.55880044947962859</v>
      </c>
      <c r="S16" s="94">
        <f>SUM(C16:L16)*$B$4*$F$4</f>
        <v>-19.121159102494723</v>
      </c>
      <c r="T16" s="264">
        <f>SUM(C16:L16)*$D$4*$H$4</f>
        <v>-153.05686140433292</v>
      </c>
      <c r="U16" s="267">
        <f t="shared" si="0"/>
        <v>-172.17802050682764</v>
      </c>
      <c r="V16" s="94">
        <f>(U16+W16*M16)/B16</f>
        <v>-745.16856631223845</v>
      </c>
      <c r="W16" s="10">
        <f t="shared" si="1"/>
        <v>10</v>
      </c>
    </row>
    <row r="18" spans="1:21" x14ac:dyDescent="0.2">
      <c r="A18" s="356" t="s">
        <v>200</v>
      </c>
      <c r="B18" s="356"/>
      <c r="C18" s="356"/>
      <c r="D18" s="356"/>
      <c r="E18" s="356"/>
      <c r="F18" s="356"/>
      <c r="O18" s="356" t="s">
        <v>201</v>
      </c>
      <c r="P18" s="356"/>
      <c r="Q18" s="356"/>
      <c r="R18" s="356"/>
      <c r="S18" s="356"/>
      <c r="T18" s="356"/>
    </row>
    <row r="19" spans="1:21" ht="17" thickBot="1" x14ac:dyDescent="0.25"/>
    <row r="20" spans="1:21" ht="17" thickBot="1" x14ac:dyDescent="0.25">
      <c r="A20" s="29" t="s">
        <v>135</v>
      </c>
      <c r="B20" s="19" t="s">
        <v>140</v>
      </c>
      <c r="C20" s="19" t="s">
        <v>139</v>
      </c>
      <c r="D20" s="19" t="s">
        <v>138</v>
      </c>
      <c r="E20" s="167" t="s">
        <v>151</v>
      </c>
      <c r="F20" s="168" t="s">
        <v>152</v>
      </c>
      <c r="G20" s="166" t="s">
        <v>47</v>
      </c>
      <c r="O20" s="29" t="s">
        <v>135</v>
      </c>
      <c r="P20" s="118" t="s">
        <v>140</v>
      </c>
      <c r="Q20" s="118" t="s">
        <v>139</v>
      </c>
      <c r="R20" s="118" t="s">
        <v>138</v>
      </c>
      <c r="S20" s="166" t="s">
        <v>151</v>
      </c>
      <c r="T20" s="168" t="s">
        <v>152</v>
      </c>
      <c r="U20" s="293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9</v>
      </c>
      <c r="D21" s="57">
        <f>SUM($C$21:C21)</f>
        <v>9</v>
      </c>
      <c r="E21" s="57">
        <f t="shared" ref="E21:E30" si="3">D21/R7</f>
        <v>-14.094682952855411</v>
      </c>
      <c r="F21" s="8">
        <f t="shared" ref="F21:F30" si="4">U7/E21</f>
        <v>1.0299557354391125</v>
      </c>
      <c r="G21" s="286">
        <f>E21*U7</f>
        <v>204.61109656621741</v>
      </c>
      <c r="O21" s="101">
        <v>1</v>
      </c>
      <c r="P21" s="109">
        <v>1</v>
      </c>
      <c r="Q21" s="110">
        <f>P21*9+36</f>
        <v>45</v>
      </c>
      <c r="R21" s="57">
        <f>SUM($Q$21)</f>
        <v>45</v>
      </c>
      <c r="S21" s="281">
        <f>R21/R7</f>
        <v>-70.473414764277052</v>
      </c>
      <c r="T21" s="8">
        <f>U7/S21</f>
        <v>0.20599114708782251</v>
      </c>
      <c r="U21" s="286">
        <f>S21*U7</f>
        <v>1023.055482831087</v>
      </c>
    </row>
    <row r="22" spans="1:21" x14ac:dyDescent="0.2">
      <c r="A22" s="97">
        <v>2</v>
      </c>
      <c r="B22" s="93">
        <f>C21</f>
        <v>9</v>
      </c>
      <c r="C22" s="1">
        <f t="shared" si="2"/>
        <v>81</v>
      </c>
      <c r="D22" s="9">
        <f>SUM($C$21:C22)</f>
        <v>90</v>
      </c>
      <c r="E22" s="9">
        <f t="shared" si="3"/>
        <v>-156.32702583808197</v>
      </c>
      <c r="F22" s="9">
        <f t="shared" si="4"/>
        <v>0.19830397120528173</v>
      </c>
      <c r="G22" s="287">
        <f t="shared" ref="G22:G30" si="5">E22*U8</f>
        <v>4846.1800140302248</v>
      </c>
      <c r="O22" s="99">
        <v>2</v>
      </c>
      <c r="P22" s="93">
        <f>Q21</f>
        <v>45</v>
      </c>
      <c r="Q22" s="1">
        <f t="shared" ref="Q22:Q30" si="6">P22*9+36</f>
        <v>441</v>
      </c>
      <c r="R22" s="9">
        <f>SUM($Q$21:Q22)</f>
        <v>486</v>
      </c>
      <c r="S22" s="282">
        <f t="shared" ref="S22:S30" si="7">R22/R8</f>
        <v>-844.16593952564267</v>
      </c>
      <c r="T22" s="9">
        <f>U8/S22</f>
        <v>3.6722957630607726E-2</v>
      </c>
      <c r="U22" s="287">
        <f t="shared" ref="U22:U30" si="8">S22*U8</f>
        <v>26169.372075763215</v>
      </c>
    </row>
    <row r="23" spans="1:21" x14ac:dyDescent="0.2">
      <c r="A23" s="97">
        <v>3</v>
      </c>
      <c r="B23" s="93">
        <f t="shared" ref="B23:B30" si="9">C22</f>
        <v>81</v>
      </c>
      <c r="C23" s="1">
        <f t="shared" si="2"/>
        <v>729</v>
      </c>
      <c r="D23" s="9">
        <f>SUM($C$21:C23)</f>
        <v>819</v>
      </c>
      <c r="E23" s="9">
        <f t="shared" si="3"/>
        <v>-1455.9982166283576</v>
      </c>
      <c r="F23" s="9">
        <f t="shared" si="4"/>
        <v>3.3180661989330534E-2</v>
      </c>
      <c r="G23" s="287">
        <f t="shared" si="5"/>
        <v>70340.707542027681</v>
      </c>
      <c r="O23" s="99">
        <v>3</v>
      </c>
      <c r="P23" s="93">
        <f t="shared" ref="P23:P30" si="10">Q22</f>
        <v>441</v>
      </c>
      <c r="Q23" s="1">
        <f t="shared" si="6"/>
        <v>4005</v>
      </c>
      <c r="R23" s="9">
        <f>SUM($Q$21:Q23)</f>
        <v>4491</v>
      </c>
      <c r="S23" s="282">
        <f t="shared" si="7"/>
        <v>-7983.9902208522026</v>
      </c>
      <c r="T23" s="9">
        <f t="shared" ref="T23:T30" si="11">U9/S23</f>
        <v>6.0509824469520612E-3</v>
      </c>
      <c r="U23" s="287">
        <f t="shared" si="8"/>
        <v>385714.42926892103</v>
      </c>
    </row>
    <row r="24" spans="1:21" x14ac:dyDescent="0.2">
      <c r="A24" s="97">
        <v>4</v>
      </c>
      <c r="B24" s="93">
        <f t="shared" si="9"/>
        <v>729</v>
      </c>
      <c r="C24" s="1">
        <f t="shared" si="2"/>
        <v>6561</v>
      </c>
      <c r="D24" s="9">
        <f>SUM($C$21:C24)</f>
        <v>7380</v>
      </c>
      <c r="E24" s="9">
        <f t="shared" si="3"/>
        <v>-13187.63460651167</v>
      </c>
      <c r="F24" s="9">
        <f t="shared" si="4"/>
        <v>4.9977399426265629E-3</v>
      </c>
      <c r="G24" s="287">
        <f t="shared" si="5"/>
        <v>869175.47761957045</v>
      </c>
      <c r="O24" s="99">
        <v>4</v>
      </c>
      <c r="P24" s="93">
        <f t="shared" si="10"/>
        <v>4005</v>
      </c>
      <c r="Q24" s="1">
        <f t="shared" si="6"/>
        <v>36081</v>
      </c>
      <c r="R24" s="9">
        <f>SUM($Q$21:Q24)</f>
        <v>40572</v>
      </c>
      <c r="S24" s="282">
        <f t="shared" si="7"/>
        <v>-72499.825373359286</v>
      </c>
      <c r="T24" s="9">
        <f t="shared" si="11"/>
        <v>9.0908313064635786E-4</v>
      </c>
      <c r="U24" s="287">
        <f t="shared" si="8"/>
        <v>4778345.1867183214</v>
      </c>
    </row>
    <row r="25" spans="1:21" x14ac:dyDescent="0.2">
      <c r="A25" s="97">
        <v>5</v>
      </c>
      <c r="B25" s="93">
        <f t="shared" si="9"/>
        <v>6561</v>
      </c>
      <c r="C25" s="1">
        <f t="shared" si="2"/>
        <v>59049</v>
      </c>
      <c r="D25" s="9">
        <f>SUM($C$21:C25)</f>
        <v>66429</v>
      </c>
      <c r="E25" s="9">
        <f t="shared" si="3"/>
        <v>-118839.66716979924</v>
      </c>
      <c r="F25" s="9">
        <f t="shared" si="4"/>
        <v>7.0341528027046958E-4</v>
      </c>
      <c r="G25" s="287">
        <f t="shared" si="5"/>
        <v>9934240.0924161784</v>
      </c>
      <c r="O25" s="99">
        <v>5</v>
      </c>
      <c r="P25" s="93">
        <f t="shared" si="10"/>
        <v>36081</v>
      </c>
      <c r="Q25" s="1">
        <f t="shared" si="6"/>
        <v>324765</v>
      </c>
      <c r="R25" s="9">
        <f>SUM($Q$21:Q25)</f>
        <v>365337</v>
      </c>
      <c r="S25" s="282">
        <f t="shared" si="7"/>
        <v>-653577.91754825378</v>
      </c>
      <c r="T25" s="9">
        <f t="shared" si="11"/>
        <v>1.279015639069873E-4</v>
      </c>
      <c r="U25" s="287">
        <f t="shared" si="8"/>
        <v>54634955.706740275</v>
      </c>
    </row>
    <row r="26" spans="1:21" x14ac:dyDescent="0.2">
      <c r="A26" s="97">
        <v>6</v>
      </c>
      <c r="B26" s="93">
        <f t="shared" si="9"/>
        <v>59049</v>
      </c>
      <c r="C26" s="1">
        <f t="shared" si="2"/>
        <v>531441</v>
      </c>
      <c r="D26" s="9">
        <f>SUM($C$21:C26)</f>
        <v>597870</v>
      </c>
      <c r="E26" s="9">
        <f t="shared" si="3"/>
        <v>-1069841.1245652903</v>
      </c>
      <c r="F26" s="9">
        <f t="shared" si="4"/>
        <v>9.4690566591002661E-5</v>
      </c>
      <c r="G26" s="287">
        <f t="shared" si="5"/>
        <v>108379037.90961145</v>
      </c>
      <c r="O26" s="99">
        <v>6</v>
      </c>
      <c r="P26" s="93">
        <f t="shared" si="10"/>
        <v>324765</v>
      </c>
      <c r="Q26" s="1">
        <f t="shared" si="6"/>
        <v>2922921</v>
      </c>
      <c r="R26" s="9">
        <f>SUM($Q$21:Q26)</f>
        <v>3288258</v>
      </c>
      <c r="S26" s="282">
        <f t="shared" si="7"/>
        <v>-5884077.8707424896</v>
      </c>
      <c r="T26" s="9">
        <f t="shared" si="11"/>
        <v>1.7216608017911842E-5</v>
      </c>
      <c r="U26" s="287">
        <f t="shared" si="8"/>
        <v>596079814.07092369</v>
      </c>
    </row>
    <row r="27" spans="1:21" x14ac:dyDescent="0.2">
      <c r="A27" s="97">
        <v>7</v>
      </c>
      <c r="B27" s="93">
        <f t="shared" si="9"/>
        <v>531441</v>
      </c>
      <c r="C27" s="1">
        <f t="shared" si="2"/>
        <v>4782969</v>
      </c>
      <c r="D27" s="9">
        <f>SUM($C$21:C27)</f>
        <v>5380839</v>
      </c>
      <c r="E27" s="9">
        <f t="shared" si="3"/>
        <v>-9629118.4562260136</v>
      </c>
      <c r="F27" s="9">
        <f t="shared" si="4"/>
        <v>1.2360511434378329E-5</v>
      </c>
      <c r="G27" s="287">
        <f t="shared" si="5"/>
        <v>1146065659.0920327</v>
      </c>
      <c r="O27" s="99">
        <v>7</v>
      </c>
      <c r="P27" s="93">
        <f t="shared" si="10"/>
        <v>2922921</v>
      </c>
      <c r="Q27" s="1">
        <f t="shared" si="6"/>
        <v>26306325</v>
      </c>
      <c r="R27" s="9">
        <f>SUM($Q$21:Q27)</f>
        <v>29594583</v>
      </c>
      <c r="S27" s="282">
        <f t="shared" si="7"/>
        <v>-52960095.139366299</v>
      </c>
      <c r="T27" s="9">
        <f t="shared" si="11"/>
        <v>2.2473681074015761E-6</v>
      </c>
      <c r="U27" s="287">
        <f t="shared" si="8"/>
        <v>6303354415.8167276</v>
      </c>
    </row>
    <row r="28" spans="1:21" x14ac:dyDescent="0.2">
      <c r="A28" s="97">
        <v>8</v>
      </c>
      <c r="B28" s="93">
        <f t="shared" si="9"/>
        <v>4782969</v>
      </c>
      <c r="C28" s="1">
        <f t="shared" si="2"/>
        <v>43046721</v>
      </c>
      <c r="D28" s="9">
        <f>SUM($C$21:C28)</f>
        <v>48427560</v>
      </c>
      <c r="E28" s="9">
        <f t="shared" si="3"/>
        <v>-86663138.946930096</v>
      </c>
      <c r="F28" s="9">
        <f t="shared" si="4"/>
        <v>1.5778283330961422E-6</v>
      </c>
      <c r="G28" s="287">
        <f t="shared" si="5"/>
        <v>11850279146.847185</v>
      </c>
      <c r="O28" s="99">
        <v>8</v>
      </c>
      <c r="P28" s="93">
        <f t="shared" si="10"/>
        <v>26306325</v>
      </c>
      <c r="Q28" s="1">
        <f t="shared" si="6"/>
        <v>236756961</v>
      </c>
      <c r="R28" s="9">
        <f>SUM($Q$21:Q28)</f>
        <v>266351544</v>
      </c>
      <c r="S28" s="282">
        <f t="shared" si="7"/>
        <v>-476647199.78461361</v>
      </c>
      <c r="T28" s="9">
        <f t="shared" si="11"/>
        <v>2.8687791751908683E-7</v>
      </c>
      <c r="U28" s="287">
        <f t="shared" si="8"/>
        <v>65176526498.418465</v>
      </c>
    </row>
    <row r="29" spans="1:21" x14ac:dyDescent="0.2">
      <c r="A29" s="97">
        <v>9</v>
      </c>
      <c r="B29" s="93">
        <f t="shared" si="9"/>
        <v>43046721</v>
      </c>
      <c r="C29" s="1">
        <f t="shared" si="2"/>
        <v>387420489</v>
      </c>
      <c r="D29" s="9">
        <f>SUM($C$21:C29)</f>
        <v>435848049</v>
      </c>
      <c r="E29" s="9">
        <f t="shared" si="3"/>
        <v>-779970364.68873239</v>
      </c>
      <c r="F29" s="9">
        <f t="shared" si="4"/>
        <v>1.9803153955645322E-7</v>
      </c>
      <c r="G29" s="287">
        <f t="shared" si="5"/>
        <v>120473233627.0154</v>
      </c>
      <c r="O29" s="99">
        <v>9</v>
      </c>
      <c r="P29" s="93">
        <f t="shared" si="10"/>
        <v>236756961</v>
      </c>
      <c r="Q29" s="1">
        <f t="shared" si="6"/>
        <v>2130812685</v>
      </c>
      <c r="R29" s="9">
        <f>SUM($Q$21:Q29)</f>
        <v>2397164229</v>
      </c>
      <c r="S29" s="282">
        <f t="shared" si="7"/>
        <v>-4289836933.3113933</v>
      </c>
      <c r="T29" s="9">
        <f t="shared" si="11"/>
        <v>3.6005735073125218E-8</v>
      </c>
      <c r="U29" s="287">
        <f t="shared" si="8"/>
        <v>662602773753.93555</v>
      </c>
    </row>
    <row r="30" spans="1:21" ht="17" thickBot="1" x14ac:dyDescent="0.25">
      <c r="A30" s="145">
        <v>10</v>
      </c>
      <c r="B30" s="94">
        <f t="shared" si="9"/>
        <v>387420489</v>
      </c>
      <c r="C30" s="111">
        <f t="shared" si="2"/>
        <v>3486784401</v>
      </c>
      <c r="D30" s="10">
        <f>SUM($C$21:C30)</f>
        <v>3922632450</v>
      </c>
      <c r="E30" s="10">
        <f t="shared" si="3"/>
        <v>-7019737463.7992344</v>
      </c>
      <c r="F30" s="10">
        <f t="shared" si="4"/>
        <v>2.4527700842766439E-8</v>
      </c>
      <c r="G30" s="288">
        <f t="shared" si="5"/>
        <v>1208644500994.5708</v>
      </c>
      <c r="O30" s="100">
        <v>10</v>
      </c>
      <c r="P30" s="94">
        <f t="shared" si="10"/>
        <v>2130812685</v>
      </c>
      <c r="Q30" s="111">
        <f t="shared" si="6"/>
        <v>19177314201</v>
      </c>
      <c r="R30" s="10">
        <f>SUM($Q$21:Q30)</f>
        <v>21574478430</v>
      </c>
      <c r="S30" s="283">
        <f t="shared" si="7"/>
        <v>-38608555970.366142</v>
      </c>
      <c r="T30" s="10">
        <f t="shared" si="11"/>
        <v>4.459581980713867E-9</v>
      </c>
      <c r="U30" s="288">
        <f t="shared" si="8"/>
        <v>6647544741604.7041</v>
      </c>
    </row>
    <row r="31" spans="1:21" ht="17" thickBot="1" x14ac:dyDescent="0.25"/>
    <row r="32" spans="1:21" ht="17" thickBot="1" x14ac:dyDescent="0.25">
      <c r="A32" s="117" t="s">
        <v>135</v>
      </c>
      <c r="B32" s="118" t="s">
        <v>140</v>
      </c>
      <c r="C32" s="118" t="s">
        <v>139</v>
      </c>
      <c r="D32" s="170" t="s">
        <v>138</v>
      </c>
      <c r="E32" s="167" t="s">
        <v>151</v>
      </c>
      <c r="F32" s="168" t="s">
        <v>152</v>
      </c>
      <c r="G32" s="290" t="s">
        <v>47</v>
      </c>
      <c r="O32" s="29" t="s">
        <v>135</v>
      </c>
      <c r="P32" s="118" t="s">
        <v>140</v>
      </c>
      <c r="Q32" s="118" t="s">
        <v>139</v>
      </c>
      <c r="R32" s="118" t="s">
        <v>138</v>
      </c>
      <c r="S32" s="166" t="s">
        <v>151</v>
      </c>
      <c r="T32" s="168" t="s">
        <v>152</v>
      </c>
      <c r="U32" s="294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9</v>
      </c>
      <c r="D33" s="57">
        <f>SUM($C$33:C33)</f>
        <v>9</v>
      </c>
      <c r="E33" s="9">
        <f t="shared" ref="E33:E42" si="13">D33/R7</f>
        <v>-14.094682952855411</v>
      </c>
      <c r="F33" s="8">
        <f t="shared" ref="F33:F42" si="14">U7/E33</f>
        <v>1.0299557354391125</v>
      </c>
      <c r="G33" s="289">
        <f>E33*U7</f>
        <v>204.61109656621741</v>
      </c>
      <c r="O33" s="101">
        <v>1</v>
      </c>
      <c r="P33" s="109">
        <v>1</v>
      </c>
      <c r="Q33" s="110">
        <f>P33*9+36</f>
        <v>45</v>
      </c>
      <c r="R33" s="57">
        <f>SUM($Q$21)</f>
        <v>45</v>
      </c>
      <c r="S33" s="281">
        <f>R33/R7</f>
        <v>-70.473414764277052</v>
      </c>
      <c r="T33" s="8">
        <f>U7/S33</f>
        <v>0.20599114708782251</v>
      </c>
      <c r="U33" s="289">
        <f>S33*U7</f>
        <v>1023.055482831087</v>
      </c>
    </row>
    <row r="34" spans="1:21" x14ac:dyDescent="0.2">
      <c r="A34" s="97">
        <v>2</v>
      </c>
      <c r="B34" s="93">
        <f t="shared" ref="B34:B42" si="15">B33*($O$2+1)</f>
        <v>10</v>
      </c>
      <c r="C34" s="1">
        <f t="shared" si="12"/>
        <v>90</v>
      </c>
      <c r="D34" s="9">
        <f>SUM($C$33:C34)</f>
        <v>99</v>
      </c>
      <c r="E34" s="9">
        <f t="shared" si="13"/>
        <v>-171.95972842189016</v>
      </c>
      <c r="F34" s="9">
        <f t="shared" si="14"/>
        <v>0.18027633745934704</v>
      </c>
      <c r="G34" s="287">
        <f t="shared" ref="G34:G42" si="16">E34*U8</f>
        <v>5330.7980154332472</v>
      </c>
      <c r="O34" s="99">
        <v>2</v>
      </c>
      <c r="P34" s="93">
        <f>Q33+1</f>
        <v>46</v>
      </c>
      <c r="Q34" s="1">
        <f t="shared" ref="Q34:Q42" si="17">P34*9+36</f>
        <v>450</v>
      </c>
      <c r="R34" s="9">
        <f>SUM($Q$33:Q34)</f>
        <v>495</v>
      </c>
      <c r="S34" s="282">
        <f>R34/R8</f>
        <v>-859.79864210945084</v>
      </c>
      <c r="T34" s="9">
        <f t="shared" ref="T34:T42" si="18">U8/S34</f>
        <v>3.6055267491869408E-2</v>
      </c>
      <c r="U34" s="287">
        <f t="shared" ref="U34:U42" si="19">S34*U8</f>
        <v>26653.990077166236</v>
      </c>
    </row>
    <row r="35" spans="1:21" x14ac:dyDescent="0.2">
      <c r="A35" s="97">
        <v>3</v>
      </c>
      <c r="B35" s="93">
        <f t="shared" si="15"/>
        <v>100</v>
      </c>
      <c r="C35" s="1">
        <f t="shared" si="12"/>
        <v>900</v>
      </c>
      <c r="D35" s="9">
        <f>SUM($C$33:C35)</f>
        <v>999</v>
      </c>
      <c r="E35" s="9">
        <f t="shared" si="13"/>
        <v>-1775.9978246785461</v>
      </c>
      <c r="F35" s="9">
        <f t="shared" si="14"/>
        <v>2.7202164333595302E-2</v>
      </c>
      <c r="G35" s="287">
        <f t="shared" si="16"/>
        <v>85800.203705110689</v>
      </c>
      <c r="O35" s="99">
        <v>3</v>
      </c>
      <c r="P35" s="93">
        <f t="shared" ref="P35:P42" si="20">Q34+1</f>
        <v>451</v>
      </c>
      <c r="Q35" s="1">
        <f t="shared" si="17"/>
        <v>4095</v>
      </c>
      <c r="R35" s="9">
        <f>SUM($Q$33:Q35)</f>
        <v>4590</v>
      </c>
      <c r="S35" s="282">
        <f t="shared" ref="S35:S42" si="21">R35/R9</f>
        <v>-8159.9900052798066</v>
      </c>
      <c r="T35" s="9">
        <f t="shared" si="18"/>
        <v>5.9204710608413303E-3</v>
      </c>
      <c r="U35" s="287">
        <f t="shared" si="19"/>
        <v>394217.15215861669</v>
      </c>
    </row>
    <row r="36" spans="1:21" x14ac:dyDescent="0.2">
      <c r="A36" s="97">
        <v>4</v>
      </c>
      <c r="B36" s="93">
        <f t="shared" si="15"/>
        <v>1000</v>
      </c>
      <c r="C36" s="1">
        <f t="shared" si="12"/>
        <v>9000</v>
      </c>
      <c r="D36" s="9">
        <f>SUM($C$33:C36)</f>
        <v>9999</v>
      </c>
      <c r="E36" s="9">
        <f t="shared" si="13"/>
        <v>-17867.636643700567</v>
      </c>
      <c r="F36" s="9">
        <f t="shared" si="14"/>
        <v>3.6887009477531789E-3</v>
      </c>
      <c r="G36" s="287">
        <f t="shared" si="16"/>
        <v>1177626.7751650522</v>
      </c>
      <c r="O36" s="99">
        <v>4</v>
      </c>
      <c r="P36" s="93">
        <f t="shared" si="20"/>
        <v>4096</v>
      </c>
      <c r="Q36" s="1">
        <f t="shared" si="17"/>
        <v>36900</v>
      </c>
      <c r="R36" s="9">
        <f>SUM($Q$33:Q36)</f>
        <v>41490</v>
      </c>
      <c r="S36" s="282">
        <f t="shared" si="21"/>
        <v>-74140.238458559514</v>
      </c>
      <c r="T36" s="9">
        <f t="shared" si="18"/>
        <v>8.8896892688802203E-4</v>
      </c>
      <c r="U36" s="287">
        <f t="shared" si="19"/>
        <v>4886462.1363734389</v>
      </c>
    </row>
    <row r="37" spans="1:21" x14ac:dyDescent="0.2">
      <c r="A37" s="97">
        <v>5</v>
      </c>
      <c r="B37" s="93">
        <f t="shared" si="15"/>
        <v>10000</v>
      </c>
      <c r="C37" s="1">
        <f t="shared" si="12"/>
        <v>90000</v>
      </c>
      <c r="D37" s="9">
        <f>SUM($C$33:C37)</f>
        <v>99999</v>
      </c>
      <c r="E37" s="9">
        <f t="shared" si="13"/>
        <v>-178895.4805478444</v>
      </c>
      <c r="F37" s="9">
        <f t="shared" si="14"/>
        <v>4.6727640929496313E-4</v>
      </c>
      <c r="G37" s="287">
        <f t="shared" si="16"/>
        <v>14954524.003093913</v>
      </c>
      <c r="O37" s="99">
        <v>5</v>
      </c>
      <c r="P37" s="93">
        <f t="shared" si="20"/>
        <v>36901</v>
      </c>
      <c r="Q37" s="1">
        <f t="shared" si="17"/>
        <v>332145</v>
      </c>
      <c r="R37" s="9">
        <f>SUM($Q$33:Q37)</f>
        <v>373635</v>
      </c>
      <c r="S37" s="282">
        <f t="shared" si="21"/>
        <v>-668422.8129730681</v>
      </c>
      <c r="T37" s="9">
        <f t="shared" si="18"/>
        <v>1.2506101851562896E-4</v>
      </c>
      <c r="U37" s="287">
        <f t="shared" si="19"/>
        <v>55875894.517905116</v>
      </c>
    </row>
    <row r="38" spans="1:21" x14ac:dyDescent="0.2">
      <c r="A38" s="97">
        <v>6</v>
      </c>
      <c r="B38" s="93">
        <f t="shared" si="15"/>
        <v>100000</v>
      </c>
      <c r="C38" s="1">
        <f t="shared" si="12"/>
        <v>900000</v>
      </c>
      <c r="D38" s="9">
        <f>SUM($C$33:C38)</f>
        <v>999999</v>
      </c>
      <c r="E38" s="9">
        <f t="shared" si="13"/>
        <v>-1789419.1960194786</v>
      </c>
      <c r="F38" s="9">
        <f t="shared" si="14"/>
        <v>5.6612705660468426E-5</v>
      </c>
      <c r="G38" s="287">
        <f t="shared" si="16"/>
        <v>181275075.73648709</v>
      </c>
      <c r="O38" s="99">
        <v>6</v>
      </c>
      <c r="P38" s="93">
        <f t="shared" si="20"/>
        <v>332146</v>
      </c>
      <c r="Q38" s="1">
        <f t="shared" si="17"/>
        <v>2989350</v>
      </c>
      <c r="R38" s="9">
        <f>SUM($Q$33:Q38)</f>
        <v>3362985</v>
      </c>
      <c r="S38" s="282">
        <f t="shared" si="21"/>
        <v>-6017795.9327214994</v>
      </c>
      <c r="T38" s="9">
        <f t="shared" si="18"/>
        <v>1.6834047445279346E-5</v>
      </c>
      <c r="U38" s="287">
        <f t="shared" si="19"/>
        <v>609625970.20164025</v>
      </c>
    </row>
    <row r="39" spans="1:21" x14ac:dyDescent="0.2">
      <c r="A39" s="97">
        <v>7</v>
      </c>
      <c r="B39" s="93">
        <f t="shared" si="15"/>
        <v>1000000</v>
      </c>
      <c r="C39" s="1">
        <f t="shared" si="12"/>
        <v>9000000</v>
      </c>
      <c r="D39" s="9">
        <f>SUM($C$33:C39)</f>
        <v>9999999</v>
      </c>
      <c r="E39" s="9">
        <f t="shared" si="13"/>
        <v>-17895197.186375894</v>
      </c>
      <c r="F39" s="9">
        <f t="shared" si="14"/>
        <v>6.6509928637041719E-6</v>
      </c>
      <c r="G39" s="287">
        <f t="shared" si="16"/>
        <v>2129901200.3248317</v>
      </c>
      <c r="O39" s="99">
        <v>7</v>
      </c>
      <c r="P39" s="93">
        <f t="shared" si="20"/>
        <v>2989351</v>
      </c>
      <c r="Q39" s="1">
        <f t="shared" si="17"/>
        <v>26904195</v>
      </c>
      <c r="R39" s="9">
        <f>SUM($Q$33:Q39)</f>
        <v>30267180</v>
      </c>
      <c r="S39" s="282">
        <f t="shared" si="21"/>
        <v>-54163720.853925355</v>
      </c>
      <c r="T39" s="9">
        <f t="shared" si="18"/>
        <v>2.1974271136607E-6</v>
      </c>
      <c r="U39" s="287">
        <f t="shared" si="19"/>
        <v>6446610945.9058685</v>
      </c>
    </row>
    <row r="40" spans="1:21" x14ac:dyDescent="0.2">
      <c r="A40" s="97">
        <v>8</v>
      </c>
      <c r="B40" s="93">
        <f t="shared" si="15"/>
        <v>10000000</v>
      </c>
      <c r="C40" s="1">
        <f t="shared" si="12"/>
        <v>90000000</v>
      </c>
      <c r="D40" s="9">
        <f>SUM($C$33:C40)</f>
        <v>99999999</v>
      </c>
      <c r="E40" s="9">
        <f t="shared" si="13"/>
        <v>-178954170.06410956</v>
      </c>
      <c r="F40" s="9">
        <f t="shared" si="14"/>
        <v>7.6410377034817198E-7</v>
      </c>
      <c r="G40" s="287">
        <f t="shared" si="16"/>
        <v>24470113770.638851</v>
      </c>
      <c r="O40" s="99">
        <v>8</v>
      </c>
      <c r="P40" s="93">
        <f t="shared" si="20"/>
        <v>26904196</v>
      </c>
      <c r="Q40" s="1">
        <f t="shared" si="17"/>
        <v>242137800</v>
      </c>
      <c r="R40" s="9">
        <f>SUM($Q$33:Q40)</f>
        <v>272404980</v>
      </c>
      <c r="S40" s="282">
        <f t="shared" si="21"/>
        <v>-487480076.04710442</v>
      </c>
      <c r="T40" s="9">
        <f t="shared" si="18"/>
        <v>2.805028611103711E-7</v>
      </c>
      <c r="U40" s="287">
        <f t="shared" si="19"/>
        <v>66657809189.464104</v>
      </c>
    </row>
    <row r="41" spans="1:21" x14ac:dyDescent="0.2">
      <c r="A41" s="97">
        <v>9</v>
      </c>
      <c r="B41" s="93">
        <f t="shared" si="15"/>
        <v>100000000</v>
      </c>
      <c r="C41" s="1">
        <f t="shared" si="12"/>
        <v>900000000</v>
      </c>
      <c r="D41" s="9">
        <f>SUM($C$33:C41)</f>
        <v>999999999</v>
      </c>
      <c r="E41" s="9">
        <f t="shared" si="13"/>
        <v>-1789546530.4899461</v>
      </c>
      <c r="F41" s="9">
        <f t="shared" si="14"/>
        <v>8.6311660242458122E-8</v>
      </c>
      <c r="G41" s="287">
        <f t="shared" si="16"/>
        <v>276411088183.03363</v>
      </c>
      <c r="O41" s="99">
        <v>9</v>
      </c>
      <c r="P41" s="93">
        <f t="shared" si="20"/>
        <v>242137801</v>
      </c>
      <c r="Q41" s="1">
        <f t="shared" si="17"/>
        <v>2179240245</v>
      </c>
      <c r="R41" s="9">
        <f>SUM($Q$33:Q41)</f>
        <v>2451645225</v>
      </c>
      <c r="S41" s="282">
        <f t="shared" si="21"/>
        <v>-4387333210.778326</v>
      </c>
      <c r="T41" s="9">
        <f t="shared" si="18"/>
        <v>3.5205607759232974E-8</v>
      </c>
      <c r="U41" s="287">
        <f t="shared" si="19"/>
        <v>677661925158.65015</v>
      </c>
    </row>
    <row r="42" spans="1:21" ht="17" thickBot="1" x14ac:dyDescent="0.25">
      <c r="A42" s="145">
        <v>10</v>
      </c>
      <c r="B42" s="94">
        <f t="shared" si="15"/>
        <v>1000000000</v>
      </c>
      <c r="C42" s="111">
        <f t="shared" si="12"/>
        <v>9000000000</v>
      </c>
      <c r="D42" s="10">
        <f>SUM($C$33:C42)</f>
        <v>9999999999</v>
      </c>
      <c r="E42" s="9">
        <f t="shared" si="13"/>
        <v>-17895475940.136223</v>
      </c>
      <c r="F42" s="10">
        <f t="shared" si="14"/>
        <v>9.6213155259349298E-9</v>
      </c>
      <c r="G42" s="288">
        <f t="shared" si="16"/>
        <v>3081207623400.2153</v>
      </c>
      <c r="O42" s="100">
        <v>10</v>
      </c>
      <c r="P42" s="94">
        <f t="shared" si="20"/>
        <v>2179240246</v>
      </c>
      <c r="Q42" s="111">
        <f t="shared" si="17"/>
        <v>19613162250</v>
      </c>
      <c r="R42" s="10">
        <f>SUM($Q$33:Q42)</f>
        <v>22064807475</v>
      </c>
      <c r="S42" s="283">
        <f t="shared" si="21"/>
        <v>-39486023133.208641</v>
      </c>
      <c r="T42" s="10">
        <f t="shared" si="18"/>
        <v>4.3604801609413536E-9</v>
      </c>
      <c r="U42" s="288">
        <f t="shared" si="19"/>
        <v>6798625300762.668</v>
      </c>
    </row>
    <row r="43" spans="1:21" ht="17" thickBot="1" x14ac:dyDescent="0.25">
      <c r="U43" s="285"/>
    </row>
    <row r="44" spans="1:21" ht="17" thickBot="1" x14ac:dyDescent="0.25">
      <c r="A44" s="117" t="s">
        <v>135</v>
      </c>
      <c r="B44" s="118" t="s">
        <v>140</v>
      </c>
      <c r="C44" s="118" t="s">
        <v>139</v>
      </c>
      <c r="D44" s="170" t="s">
        <v>138</v>
      </c>
      <c r="E44" s="167" t="s">
        <v>151</v>
      </c>
      <c r="F44" s="168" t="s">
        <v>152</v>
      </c>
      <c r="G44" s="290" t="s">
        <v>47</v>
      </c>
      <c r="O44" s="29" t="s">
        <v>135</v>
      </c>
      <c r="P44" s="118" t="s">
        <v>140</v>
      </c>
      <c r="Q44" s="118" t="s">
        <v>139</v>
      </c>
      <c r="R44" s="118" t="s">
        <v>138</v>
      </c>
      <c r="S44" s="166" t="s">
        <v>151</v>
      </c>
      <c r="T44" s="168" t="s">
        <v>152</v>
      </c>
      <c r="U44" s="294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9</v>
      </c>
      <c r="D45" s="57">
        <f>SUM(C45:C45)</f>
        <v>9</v>
      </c>
      <c r="E45" s="57">
        <f t="shared" ref="E45:E54" si="23">D45/R7</f>
        <v>-14.094682952855411</v>
      </c>
      <c r="F45" s="8">
        <f t="shared" ref="F45:F54" si="24">U7/E45</f>
        <v>1.0299557354391125</v>
      </c>
      <c r="G45" s="286">
        <f>E45*U7</f>
        <v>204.61109656621741</v>
      </c>
      <c r="O45" s="101">
        <v>1</v>
      </c>
      <c r="P45" s="109">
        <v>1</v>
      </c>
      <c r="Q45" s="110">
        <f>P45*9+36</f>
        <v>45</v>
      </c>
      <c r="R45" s="57">
        <f>SUM($Q$21)</f>
        <v>45</v>
      </c>
      <c r="S45" s="281">
        <f>R45/R7</f>
        <v>-70.473414764277052</v>
      </c>
      <c r="T45" s="8">
        <f>U7/S45</f>
        <v>0.20599114708782251</v>
      </c>
      <c r="U45" s="289">
        <f>S45*U7</f>
        <v>1023.055482831087</v>
      </c>
    </row>
    <row r="46" spans="1:21" x14ac:dyDescent="0.2">
      <c r="A46" s="97">
        <v>2</v>
      </c>
      <c r="B46" s="93">
        <f t="shared" ref="B46:B54" si="25">B45*$O$2*2</f>
        <v>18</v>
      </c>
      <c r="C46" s="1">
        <f t="shared" si="22"/>
        <v>162</v>
      </c>
      <c r="D46" s="9">
        <f>SUM($C$45:C46)</f>
        <v>171</v>
      </c>
      <c r="E46" s="9">
        <f t="shared" si="23"/>
        <v>-297.02134909235576</v>
      </c>
      <c r="F46" s="9">
        <f t="shared" si="24"/>
        <v>0.10437051116067458</v>
      </c>
      <c r="G46" s="287">
        <f t="shared" ref="G46:G54" si="26">E46*U8</f>
        <v>9207.7420266574281</v>
      </c>
      <c r="O46" s="99">
        <v>2</v>
      </c>
      <c r="P46" s="93">
        <f>Q45*2</f>
        <v>90</v>
      </c>
      <c r="Q46" s="1">
        <f t="shared" ref="Q46:Q54" si="27">P46*9+36</f>
        <v>846</v>
      </c>
      <c r="R46" s="9">
        <f>SUM($Q$45:Q46)</f>
        <v>891</v>
      </c>
      <c r="S46" s="282">
        <f t="shared" ref="S46:S54" si="28">R46/R8</f>
        <v>-1547.6375557970116</v>
      </c>
      <c r="T46" s="9">
        <f t="shared" ref="T46:T54" si="29">U8/S46</f>
        <v>2.0030704162149669E-2</v>
      </c>
      <c r="U46" s="287">
        <f t="shared" ref="U46:U54" si="30">S46*U8</f>
        <v>47977.182138899232</v>
      </c>
    </row>
    <row r="47" spans="1:21" x14ac:dyDescent="0.2">
      <c r="A47" s="97">
        <v>3</v>
      </c>
      <c r="B47" s="93">
        <f t="shared" si="25"/>
        <v>324</v>
      </c>
      <c r="C47" s="1">
        <f t="shared" si="22"/>
        <v>2916</v>
      </c>
      <c r="D47" s="9">
        <f>SUM($C$45:C47)</f>
        <v>3087</v>
      </c>
      <c r="E47" s="9">
        <f t="shared" si="23"/>
        <v>-5487.9932780607323</v>
      </c>
      <c r="F47" s="9">
        <f t="shared" si="24"/>
        <v>8.8030327726795286E-3</v>
      </c>
      <c r="G47" s="287">
        <f t="shared" si="26"/>
        <v>265130.35919687356</v>
      </c>
      <c r="O47" s="99">
        <v>3</v>
      </c>
      <c r="P47" s="93">
        <f t="shared" ref="P47:P54" si="31">Q46*2</f>
        <v>1692</v>
      </c>
      <c r="Q47" s="1">
        <f t="shared" si="27"/>
        <v>15264</v>
      </c>
      <c r="R47" s="9">
        <f>SUM($Q$45:Q47)</f>
        <v>16155</v>
      </c>
      <c r="S47" s="282">
        <f t="shared" si="28"/>
        <v>-28719.964822504415</v>
      </c>
      <c r="T47" s="9">
        <f t="shared" si="29"/>
        <v>1.6821394100440549E-3</v>
      </c>
      <c r="U47" s="287">
        <f t="shared" si="30"/>
        <v>1387489.7806366999</v>
      </c>
    </row>
    <row r="48" spans="1:21" x14ac:dyDescent="0.2">
      <c r="A48" s="97">
        <v>4</v>
      </c>
      <c r="B48" s="93">
        <f t="shared" si="25"/>
        <v>5832</v>
      </c>
      <c r="C48" s="1">
        <f t="shared" si="22"/>
        <v>52488</v>
      </c>
      <c r="D48" s="9">
        <f>SUM($C$45:C48)</f>
        <v>55575</v>
      </c>
      <c r="E48" s="9">
        <f t="shared" si="23"/>
        <v>-99309.321579523865</v>
      </c>
      <c r="F48" s="9">
        <f t="shared" si="24"/>
        <v>6.6366749035688764E-4</v>
      </c>
      <c r="G48" s="287">
        <f t="shared" si="26"/>
        <v>6545315.3345132293</v>
      </c>
      <c r="O48" s="99">
        <v>4</v>
      </c>
      <c r="P48" s="93">
        <f t="shared" si="31"/>
        <v>30528</v>
      </c>
      <c r="Q48" s="1">
        <f t="shared" si="27"/>
        <v>274788</v>
      </c>
      <c r="R48" s="9">
        <f>SUM($Q$45:Q48)</f>
        <v>290943</v>
      </c>
      <c r="S48" s="282">
        <f t="shared" si="28"/>
        <v>-519898.37063988141</v>
      </c>
      <c r="T48" s="9">
        <f t="shared" si="29"/>
        <v>1.267716383504124E-4</v>
      </c>
      <c r="U48" s="287">
        <f t="shared" si="30"/>
        <v>34265653.250009574</v>
      </c>
    </row>
    <row r="49" spans="1:21" x14ac:dyDescent="0.2">
      <c r="A49" s="97">
        <v>5</v>
      </c>
      <c r="B49" s="93">
        <f t="shared" si="25"/>
        <v>104976</v>
      </c>
      <c r="C49" s="1">
        <f t="shared" si="22"/>
        <v>944784</v>
      </c>
      <c r="D49" s="9">
        <f>SUM($C$45:C49)</f>
        <v>1000359</v>
      </c>
      <c r="E49" s="9">
        <f t="shared" si="23"/>
        <v>-1789614.9364029747</v>
      </c>
      <c r="F49" s="9">
        <f t="shared" si="24"/>
        <v>4.6710404617829223E-5</v>
      </c>
      <c r="G49" s="287">
        <f t="shared" si="26"/>
        <v>149600422.77633798</v>
      </c>
      <c r="O49" s="99">
        <v>5</v>
      </c>
      <c r="P49" s="93">
        <f t="shared" si="31"/>
        <v>549576</v>
      </c>
      <c r="Q49" s="1">
        <f t="shared" si="27"/>
        <v>4946220</v>
      </c>
      <c r="R49" s="9">
        <f>SUM($Q$45:Q49)</f>
        <v>5237163</v>
      </c>
      <c r="S49" s="282">
        <f t="shared" si="28"/>
        <v>-9369141.6073399764</v>
      </c>
      <c r="T49" s="9">
        <f t="shared" si="29"/>
        <v>8.9222301564963753E-6</v>
      </c>
      <c r="U49" s="287">
        <f t="shared" si="30"/>
        <v>783200629.92245233</v>
      </c>
    </row>
    <row r="50" spans="1:21" x14ac:dyDescent="0.2">
      <c r="A50" s="97">
        <v>6</v>
      </c>
      <c r="B50" s="93">
        <f t="shared" si="25"/>
        <v>1889568</v>
      </c>
      <c r="C50" s="1">
        <f t="shared" si="22"/>
        <v>17006112</v>
      </c>
      <c r="D50" s="9">
        <f>SUM($C$45:C50)</f>
        <v>18006471</v>
      </c>
      <c r="E50" s="9">
        <f t="shared" si="23"/>
        <v>-32221157.081125136</v>
      </c>
      <c r="F50" s="9">
        <f t="shared" si="24"/>
        <v>3.1440168952463128E-6</v>
      </c>
      <c r="G50" s="287">
        <f t="shared" si="26"/>
        <v>3264127658.3995166</v>
      </c>
      <c r="O50" s="99">
        <v>6</v>
      </c>
      <c r="P50" s="93">
        <f t="shared" si="31"/>
        <v>9892440</v>
      </c>
      <c r="Q50" s="1">
        <f t="shared" si="27"/>
        <v>89031996</v>
      </c>
      <c r="R50" s="9">
        <f>SUM($Q$45:Q50)</f>
        <v>94269159</v>
      </c>
      <c r="S50" s="282">
        <f t="shared" si="28"/>
        <v>-168687211.39442378</v>
      </c>
      <c r="T50" s="9">
        <f t="shared" si="29"/>
        <v>6.0054263396751817E-7</v>
      </c>
      <c r="U50" s="287">
        <f t="shared" si="30"/>
        <v>17088666026.00597</v>
      </c>
    </row>
    <row r="51" spans="1:21" x14ac:dyDescent="0.2">
      <c r="A51" s="97">
        <v>7</v>
      </c>
      <c r="B51" s="93">
        <f t="shared" si="25"/>
        <v>34012224</v>
      </c>
      <c r="C51" s="1">
        <f t="shared" si="22"/>
        <v>306110016</v>
      </c>
      <c r="D51" s="9">
        <f>SUM($C$45:C51)</f>
        <v>324116487</v>
      </c>
      <c r="E51" s="9">
        <f t="shared" si="23"/>
        <v>-580012902.62333417</v>
      </c>
      <c r="F51" s="9">
        <f t="shared" si="24"/>
        <v>2.0520376054195867E-7</v>
      </c>
      <c r="G51" s="287">
        <f t="shared" si="26"/>
        <v>69033616373.998413</v>
      </c>
      <c r="O51" s="99">
        <v>7</v>
      </c>
      <c r="P51" s="93">
        <f t="shared" si="31"/>
        <v>178063992</v>
      </c>
      <c r="Q51" s="1">
        <f t="shared" si="27"/>
        <v>1602575964</v>
      </c>
      <c r="R51" s="9">
        <f>SUM($Q$45:Q51)</f>
        <v>1696845123</v>
      </c>
      <c r="S51" s="282">
        <f t="shared" si="28"/>
        <v>-3036538110.7363367</v>
      </c>
      <c r="T51" s="9">
        <f t="shared" si="29"/>
        <v>3.9196224266160596E-8</v>
      </c>
      <c r="U51" s="287">
        <f t="shared" si="30"/>
        <v>361411282565.43195</v>
      </c>
    </row>
    <row r="52" spans="1:21" x14ac:dyDescent="0.2">
      <c r="A52" s="97">
        <v>8</v>
      </c>
      <c r="B52" s="93">
        <f t="shared" si="25"/>
        <v>612220032</v>
      </c>
      <c r="C52" s="1">
        <f t="shared" si="22"/>
        <v>5509980288</v>
      </c>
      <c r="D52" s="9">
        <f>SUM($C$45:C52)</f>
        <v>5834096775</v>
      </c>
      <c r="E52" s="9">
        <f t="shared" si="23"/>
        <v>-10440359568.841827</v>
      </c>
      <c r="F52" s="9">
        <f t="shared" si="24"/>
        <v>1.3097207540016068E-8</v>
      </c>
      <c r="G52" s="287">
        <f t="shared" si="26"/>
        <v>1427610132607.7734</v>
      </c>
      <c r="O52" s="99">
        <v>8</v>
      </c>
      <c r="P52" s="93">
        <f t="shared" si="31"/>
        <v>3205151928</v>
      </c>
      <c r="Q52" s="1">
        <f t="shared" si="27"/>
        <v>28846367388</v>
      </c>
      <c r="R52" s="9">
        <f>SUM($Q$45:Q52)</f>
        <v>30543212511</v>
      </c>
      <c r="S52" s="282">
        <f t="shared" si="28"/>
        <v>-54658353006.56086</v>
      </c>
      <c r="T52" s="9">
        <f t="shared" si="29"/>
        <v>2.501713801165957E-9</v>
      </c>
      <c r="U52" s="287">
        <f t="shared" si="30"/>
        <v>7473958925389.2891</v>
      </c>
    </row>
    <row r="53" spans="1:21" x14ac:dyDescent="0.2">
      <c r="A53" s="97">
        <v>9</v>
      </c>
      <c r="B53" s="93">
        <f t="shared" si="25"/>
        <v>11019960576</v>
      </c>
      <c r="C53" s="1">
        <f t="shared" si="22"/>
        <v>99179645184</v>
      </c>
      <c r="D53" s="9">
        <f>SUM($C$45:C53)</f>
        <v>105013741959</v>
      </c>
      <c r="E53" s="9">
        <f t="shared" si="23"/>
        <v>-187926977764.42191</v>
      </c>
      <c r="F53" s="9">
        <f t="shared" si="24"/>
        <v>8.2190824311207476E-10</v>
      </c>
      <c r="G53" s="287">
        <f t="shared" si="26"/>
        <v>29026962718086.449</v>
      </c>
      <c r="O53" s="99">
        <v>9</v>
      </c>
      <c r="P53" s="93">
        <f t="shared" si="31"/>
        <v>57692734776</v>
      </c>
      <c r="Q53" s="1">
        <f t="shared" si="27"/>
        <v>519234613020</v>
      </c>
      <c r="R53" s="9">
        <f>SUM($Q$45:Q53)</f>
        <v>549777825531</v>
      </c>
      <c r="S53" s="282">
        <f t="shared" si="28"/>
        <v>-983853001203.16089</v>
      </c>
      <c r="T53" s="9">
        <f t="shared" si="29"/>
        <v>1.5699370936392861E-10</v>
      </c>
      <c r="U53" s="287">
        <f t="shared" si="30"/>
        <v>151964687165890.41</v>
      </c>
    </row>
    <row r="54" spans="1:21" ht="17" thickBot="1" x14ac:dyDescent="0.25">
      <c r="A54" s="145">
        <v>10</v>
      </c>
      <c r="B54" s="94">
        <f t="shared" si="25"/>
        <v>198359290368</v>
      </c>
      <c r="C54" s="111">
        <f t="shared" si="22"/>
        <v>1785233613312</v>
      </c>
      <c r="D54" s="10">
        <f>SUM($C$45:C54)</f>
        <v>1890247355271</v>
      </c>
      <c r="E54" s="10">
        <f t="shared" si="23"/>
        <v>-3382687607054.0996</v>
      </c>
      <c r="F54" s="10">
        <f t="shared" si="24"/>
        <v>5.089976980072756E-11</v>
      </c>
      <c r="G54" s="288">
        <f t="shared" si="26"/>
        <v>582424456175552.5</v>
      </c>
      <c r="O54" s="100">
        <v>10</v>
      </c>
      <c r="P54" s="94">
        <f t="shared" si="31"/>
        <v>1038469226040</v>
      </c>
      <c r="Q54" s="111">
        <f t="shared" si="27"/>
        <v>9346223034396</v>
      </c>
      <c r="R54" s="10">
        <f>SUM($Q$45:Q54)</f>
        <v>9896000859927</v>
      </c>
      <c r="S54" s="283">
        <f t="shared" si="28"/>
        <v>-17709364531010.035</v>
      </c>
      <c r="T54" s="10">
        <f t="shared" si="29"/>
        <v>9.7224279394856206E-12</v>
      </c>
      <c r="U54" s="288">
        <f t="shared" si="30"/>
        <v>3049163329383132</v>
      </c>
    </row>
  </sheetData>
  <mergeCells count="2">
    <mergeCell ref="A18:F18"/>
    <mergeCell ref="O18:T18"/>
  </mergeCells>
  <conditionalFormatting sqref="F45:F54">
    <cfRule type="cellIs" dxfId="163" priority="53" operator="equal">
      <formula>MAX($F$45:$F$54)</formula>
    </cfRule>
  </conditionalFormatting>
  <conditionalFormatting sqref="F21:F30">
    <cfRule type="cellIs" dxfId="162" priority="51" operator="equal">
      <formula>MAX($F$21:$F$30)</formula>
    </cfRule>
  </conditionalFormatting>
  <conditionalFormatting sqref="E33:E42">
    <cfRule type="cellIs" dxfId="161" priority="49" stopIfTrue="1" operator="lessThan">
      <formula>0</formula>
    </cfRule>
    <cfRule type="cellIs" dxfId="160" priority="50" operator="equal">
      <formula>MIN($E$33:$E$42)</formula>
    </cfRule>
  </conditionalFormatting>
  <conditionalFormatting sqref="E21:E30">
    <cfRule type="cellIs" dxfId="159" priority="45" stopIfTrue="1" operator="lessThan">
      <formula>0</formula>
    </cfRule>
    <cfRule type="cellIs" dxfId="158" priority="46" operator="equal">
      <formula>MIN($E$21:$E$30)</formula>
    </cfRule>
  </conditionalFormatting>
  <conditionalFormatting sqref="E45:E54">
    <cfRule type="cellIs" dxfId="157" priority="41" stopIfTrue="1" operator="lessThan">
      <formula>0</formula>
    </cfRule>
    <cfRule type="cellIs" dxfId="156" priority="42" operator="equal">
      <formula>MIN($E$45:$E$54)</formula>
    </cfRule>
  </conditionalFormatting>
  <conditionalFormatting sqref="F33:F42">
    <cfRule type="cellIs" dxfId="155" priority="31" operator="lessThanOrEqual">
      <formula>0</formula>
    </cfRule>
    <cfRule type="cellIs" dxfId="154" priority="32" operator="equal">
      <formula>MAX($F$33:$F$42)</formula>
    </cfRule>
  </conditionalFormatting>
  <conditionalFormatting sqref="S7:T16">
    <cfRule type="cellIs" dxfId="153" priority="13" operator="lessThanOrEqual">
      <formula>0</formula>
    </cfRule>
    <cfRule type="cellIs" dxfId="152" priority="14" operator="greaterThan">
      <formula>0</formula>
    </cfRule>
  </conditionalFormatting>
  <conditionalFormatting sqref="U7:U16">
    <cfRule type="cellIs" dxfId="151" priority="15" operator="lessThanOrEqual">
      <formula>0</formula>
    </cfRule>
    <cfRule type="cellIs" dxfId="150" priority="16" operator="greaterThan">
      <formula>0</formula>
    </cfRule>
  </conditionalFormatting>
  <conditionalFormatting sqref="R7:R16">
    <cfRule type="cellIs" dxfId="149" priority="17" operator="lessThanOrEqual">
      <formula>0</formula>
    </cfRule>
    <cfRule type="cellIs" dxfId="148" priority="18" operator="greaterThan">
      <formula>0</formula>
    </cfRule>
  </conditionalFormatting>
  <conditionalFormatting sqref="T21:T30">
    <cfRule type="cellIs" dxfId="147" priority="9" operator="equal">
      <formula>MAX($T$21:$T$30)</formula>
    </cfRule>
  </conditionalFormatting>
  <conditionalFormatting sqref="S33:S42">
    <cfRule type="cellIs" dxfId="146" priority="7" stopIfTrue="1" operator="lessThan">
      <formula>0</formula>
    </cfRule>
    <cfRule type="cellIs" dxfId="145" priority="8" operator="equal">
      <formula>MIN($E$21:$E$30)</formula>
    </cfRule>
  </conditionalFormatting>
  <conditionalFormatting sqref="T33:T42">
    <cfRule type="cellIs" dxfId="144" priority="6" operator="equal">
      <formula>MAX($T$21:$T$30)</formula>
    </cfRule>
  </conditionalFormatting>
  <conditionalFormatting sqref="S45:S54">
    <cfRule type="cellIs" dxfId="143" priority="4" stopIfTrue="1" operator="lessThan">
      <formula>0</formula>
    </cfRule>
    <cfRule type="cellIs" dxfId="142" priority="5" operator="equal">
      <formula>MIN($E$21:$E$30)</formula>
    </cfRule>
  </conditionalFormatting>
  <conditionalFormatting sqref="T45:T54">
    <cfRule type="cellIs" dxfId="141" priority="3" operator="equal">
      <formula>MAX($T$21:$T$30)</formula>
    </cfRule>
  </conditionalFormatting>
  <conditionalFormatting sqref="S21:S30">
    <cfRule type="cellIs" dxfId="140" priority="1" stopIfTrue="1" operator="lessThan">
      <formula>0</formula>
    </cfRule>
    <cfRule type="cellIs" dxfId="139" priority="2" operator="equal">
      <formula>MIN($E$21:$E$30)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>
    <pageSetUpPr fitToPage="1"/>
  </sheetPr>
  <dimension ref="A1:W54"/>
  <sheetViews>
    <sheetView workbookViewId="0">
      <selection activeCell="C7" sqref="C7:C16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0.99999999999999889</v>
      </c>
    </row>
    <row r="2" spans="1:23" x14ac:dyDescent="0.2">
      <c r="A2" t="s">
        <v>40</v>
      </c>
      <c r="B2" s="149" t="s">
        <v>125</v>
      </c>
      <c r="C2" s="155">
        <f>Analysis!B48</f>
        <v>0.18111752200222467</v>
      </c>
      <c r="D2" s="149" t="s">
        <v>126</v>
      </c>
      <c r="E2" s="155">
        <f>Analysis!O48</f>
        <v>0.81888247799777425</v>
      </c>
      <c r="F2" s="149" t="s">
        <v>47</v>
      </c>
      <c r="G2" s="155">
        <f>Analysis!S48</f>
        <v>-9.9835225112138897</v>
      </c>
      <c r="H2" t="s">
        <v>156</v>
      </c>
      <c r="I2" s="169">
        <f>Analysis!T48</f>
        <v>-17.62899472518496</v>
      </c>
      <c r="J2" t="s">
        <v>48</v>
      </c>
      <c r="K2" s="169">
        <f>C2*G2+E2*I2</f>
        <v>-16.244265743253639</v>
      </c>
      <c r="L2" t="s">
        <v>47</v>
      </c>
      <c r="M2" s="176">
        <v>3</v>
      </c>
      <c r="N2" t="s">
        <v>156</v>
      </c>
      <c r="O2" s="176">
        <v>10</v>
      </c>
    </row>
    <row r="4" spans="1:23" x14ac:dyDescent="0.2">
      <c r="A4" t="s">
        <v>123</v>
      </c>
      <c r="B4">
        <f>$C$2</f>
        <v>0.18111752200222467</v>
      </c>
      <c r="C4" t="s">
        <v>124</v>
      </c>
      <c r="D4">
        <f>$E$2</f>
        <v>0.81888247799777425</v>
      </c>
      <c r="E4" t="s">
        <v>47</v>
      </c>
      <c r="F4">
        <f>G2</f>
        <v>-9.9835225112138897</v>
      </c>
      <c r="G4" t="s">
        <v>156</v>
      </c>
      <c r="H4">
        <f>I2</f>
        <v>-17.62899472518496</v>
      </c>
      <c r="I4" t="s">
        <v>48</v>
      </c>
      <c r="J4">
        <f>K2</f>
        <v>-16.244265743253639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60">
        <v>-10</v>
      </c>
      <c r="N6" s="104" t="s">
        <v>136</v>
      </c>
      <c r="R6" s="188" t="s">
        <v>49</v>
      </c>
      <c r="S6" s="164" t="s">
        <v>130</v>
      </c>
      <c r="T6" s="165" t="s">
        <v>137</v>
      </c>
      <c r="U6" s="268" t="s">
        <v>48</v>
      </c>
      <c r="V6" s="175" t="s">
        <v>47</v>
      </c>
      <c r="W6" s="168" t="s">
        <v>156</v>
      </c>
    </row>
    <row r="7" spans="1:23" x14ac:dyDescent="0.2">
      <c r="A7" s="101">
        <v>1</v>
      </c>
      <c r="B7" s="95">
        <f>C7*B4</f>
        <v>0.18111752200222467</v>
      </c>
      <c r="C7" s="95">
        <v>1</v>
      </c>
      <c r="D7" s="22">
        <f>C7*D4</f>
        <v>0.81888247799777425</v>
      </c>
      <c r="E7" s="2"/>
      <c r="F7" s="2"/>
      <c r="G7" s="2"/>
      <c r="H7" s="2"/>
      <c r="I7" s="2"/>
      <c r="J7" s="2"/>
      <c r="K7" s="2"/>
      <c r="L7" s="2"/>
      <c r="M7" s="261"/>
      <c r="N7" s="96">
        <f>B7+D7</f>
        <v>0.99999999999999889</v>
      </c>
      <c r="R7" s="189">
        <f>B7-D7</f>
        <v>-0.63776495599554961</v>
      </c>
      <c r="S7" s="109">
        <f>SUM(C7)*$B$4*$F$4</f>
        <v>-1.808190858084487</v>
      </c>
      <c r="T7" s="263">
        <f>SUM(C7)*$D$4*$H$4</f>
        <v>-14.436074885169152</v>
      </c>
      <c r="U7" s="265">
        <f>S7+T7</f>
        <v>-16.244265743253639</v>
      </c>
      <c r="V7" s="109">
        <f>(U7+W7*D7)/B7</f>
        <v>-85.167813112341463</v>
      </c>
      <c r="W7" s="57">
        <f>COUNT(D7:M7)</f>
        <v>1</v>
      </c>
    </row>
    <row r="8" spans="1:23" x14ac:dyDescent="0.2">
      <c r="A8" s="99">
        <v>2</v>
      </c>
      <c r="B8" s="97">
        <f>C8*B4</f>
        <v>0.21265761631313457</v>
      </c>
      <c r="C8" s="97">
        <f>1/(1-B4*D4*C7)</f>
        <v>1.1741415958115995</v>
      </c>
      <c r="D8" s="144">
        <f>C8*D4</f>
        <v>0.96148397949846365</v>
      </c>
      <c r="E8" s="1">
        <f>D8*D4</f>
        <v>0.78734238368686305</v>
      </c>
      <c r="F8" s="1"/>
      <c r="G8" s="1"/>
      <c r="H8" s="1"/>
      <c r="I8" s="1"/>
      <c r="J8" s="1"/>
      <c r="K8" s="1"/>
      <c r="L8" s="1"/>
      <c r="M8" s="262"/>
      <c r="N8" s="97">
        <f>B8+E8</f>
        <v>0.99999999999999756</v>
      </c>
      <c r="R8" s="190">
        <f>B8-E8</f>
        <v>-0.57468476737372853</v>
      </c>
      <c r="S8" s="93">
        <f>SUM(C8:D8)*$B$4*$F$4</f>
        <v>-3.8616186415670795</v>
      </c>
      <c r="T8" s="262">
        <f>SUM(C8:D8)*$D$4*$H$4</f>
        <v>-30.830050731858524</v>
      </c>
      <c r="U8" s="266">
        <f>S8+T8</f>
        <v>-34.691669373425604</v>
      </c>
      <c r="V8" s="93">
        <f>(U8+W8*E8)/B8</f>
        <v>-155.72912543742476</v>
      </c>
      <c r="W8" s="9">
        <f>COUNT(D8:M8)</f>
        <v>2</v>
      </c>
    </row>
    <row r="9" spans="1:23" x14ac:dyDescent="0.2">
      <c r="A9" s="99">
        <v>3</v>
      </c>
      <c r="B9" s="97">
        <f>C9*B4</f>
        <v>0.2193082023306587</v>
      </c>
      <c r="C9" s="97">
        <f>1/(1-D4*B4*C8)</f>
        <v>1.2108613231135359</v>
      </c>
      <c r="D9" s="144">
        <f>C9*D4*C8</f>
        <v>1.1642237635679775</v>
      </c>
      <c r="E9" s="1">
        <f>D9*(D4)</f>
        <v>0.9533624404544403</v>
      </c>
      <c r="F9" s="1">
        <f>E9*D4</f>
        <v>0.78069179766933761</v>
      </c>
      <c r="G9" s="1"/>
      <c r="H9" s="1"/>
      <c r="I9" s="1"/>
      <c r="J9" s="1"/>
      <c r="K9" s="1"/>
      <c r="L9" s="1"/>
      <c r="M9" s="262"/>
      <c r="N9" s="97">
        <f>B9+F9</f>
        <v>0.99999999999999634</v>
      </c>
      <c r="R9" s="190">
        <f>B9-F9</f>
        <v>-0.56138359533867888</v>
      </c>
      <c r="S9" s="93">
        <f>SUM(C9:E9)*$B$4*$F$4</f>
        <v>-6.0184683901811491</v>
      </c>
      <c r="T9" s="262">
        <f>SUM(C9:E9)*$D$4*$H$4</f>
        <v>-48.049717753090711</v>
      </c>
      <c r="U9" s="266">
        <f t="shared" ref="U9:U16" si="0">S9+T9</f>
        <v>-54.068186143271859</v>
      </c>
      <c r="V9" s="93">
        <f>(U9+W9*F9)/B9</f>
        <v>-235.86035634123056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0.22076401057970307</v>
      </c>
      <c r="C10" s="97">
        <f>1/(1-D4*B4*C9)</f>
        <v>1.2188992436468484</v>
      </c>
      <c r="D10" s="144">
        <f>C10*D4*C9</f>
        <v>1.2086033489579195</v>
      </c>
      <c r="E10" s="1">
        <f>D10*D4*C8</f>
        <v>1.1620527575912307</v>
      </c>
      <c r="F10" s="1">
        <f>E10*D4</f>
        <v>0.95158464170045387</v>
      </c>
      <c r="G10" s="1">
        <f>F10*D4</f>
        <v>0.77923598942029182</v>
      </c>
      <c r="H10" s="1"/>
      <c r="I10" s="1"/>
      <c r="J10" s="1"/>
      <c r="K10" s="1"/>
      <c r="L10" s="1"/>
      <c r="M10" s="262"/>
      <c r="N10" s="97">
        <f>B10+G10</f>
        <v>0.99999999999999489</v>
      </c>
      <c r="R10" s="190">
        <f>B10-G10</f>
        <v>-0.55847197884058875</v>
      </c>
      <c r="S10" s="93">
        <f>SUM(C10:F10)*$B$4*$F$4</f>
        <v>-8.2112478186290261</v>
      </c>
      <c r="T10" s="262">
        <f>SUM(C10:F10)*$D$4*$H$4</f>
        <v>-65.556236987053623</v>
      </c>
      <c r="U10" s="266">
        <f t="shared" si="0"/>
        <v>-73.767484805682642</v>
      </c>
      <c r="V10" s="93">
        <f>(U10+W10*G10)/B10</f>
        <v>-320.02743863223259</v>
      </c>
      <c r="W10" s="9">
        <f t="shared" si="1"/>
        <v>4</v>
      </c>
    </row>
    <row r="11" spans="1:23" x14ac:dyDescent="0.2">
      <c r="A11" s="99">
        <v>5</v>
      </c>
      <c r="B11" s="97">
        <f>C11*B4</f>
        <v>0.22108526814711127</v>
      </c>
      <c r="C11" s="97">
        <f>1/(1-D4*B4*C10)</f>
        <v>1.2206729956497289</v>
      </c>
      <c r="D11" s="144">
        <f>C11*D4*C10</f>
        <v>1.218396725011611</v>
      </c>
      <c r="E11" s="1">
        <f>D11*D4*C9</f>
        <v>1.2081050750368982</v>
      </c>
      <c r="F11" s="1">
        <f>E11*D4*C8</f>
        <v>1.1615736751987671</v>
      </c>
      <c r="G11" s="1">
        <f>F11*D4</f>
        <v>0.95119232952374821</v>
      </c>
      <c r="H11" s="1">
        <f>G11*D4</f>
        <v>0.7789147318528824</v>
      </c>
      <c r="I11" s="1"/>
      <c r="J11" s="1"/>
      <c r="K11" s="1"/>
      <c r="L11" s="1"/>
      <c r="M11" s="262"/>
      <c r="N11" s="97">
        <f>B11+H11</f>
        <v>0.99999999999999367</v>
      </c>
      <c r="R11" s="190">
        <f>B11-H11</f>
        <v>-0.55782946370577113</v>
      </c>
      <c r="S11" s="93">
        <f>SUM(C11:G11)*$B$4*$F$4</f>
        <v>-10.415072298428651</v>
      </c>
      <c r="T11" s="262">
        <f>SUM(C11:G11)*$D$4*$H$4</f>
        <v>-83.150936729015143</v>
      </c>
      <c r="U11" s="266">
        <f t="shared" si="0"/>
        <v>-93.566009027443798</v>
      </c>
      <c r="V11" s="93">
        <f>(U11+W11*H11)/B11</f>
        <v>-405.59661039247334</v>
      </c>
      <c r="W11" s="9">
        <f t="shared" si="1"/>
        <v>5</v>
      </c>
    </row>
    <row r="12" spans="1:23" x14ac:dyDescent="0.2">
      <c r="A12" s="99">
        <v>6</v>
      </c>
      <c r="B12" s="97">
        <f>C12*B4</f>
        <v>0.22115628698669534</v>
      </c>
      <c r="C12" s="97">
        <f>1/(1-D4*B4*C11)</f>
        <v>1.2210651103319472</v>
      </c>
      <c r="D12" s="144">
        <f>C12*D4*C11</f>
        <v>1.2205616987694425</v>
      </c>
      <c r="E12" s="1">
        <f>D12*D4*C10</f>
        <v>1.2182856356740668</v>
      </c>
      <c r="F12" s="1">
        <f>E12*D4*C9</f>
        <v>1.2079949240575705</v>
      </c>
      <c r="G12" s="1">
        <f>F12*D4*C8</f>
        <v>1.1614677667968174</v>
      </c>
      <c r="H12" s="1">
        <f>G12*D4</f>
        <v>0.95110560298911884</v>
      </c>
      <c r="I12" s="1">
        <f>H12*D4</f>
        <v>0.77884371301329691</v>
      </c>
      <c r="J12" s="1"/>
      <c r="K12" s="1"/>
      <c r="L12" s="1"/>
      <c r="M12" s="262"/>
      <c r="N12" s="97">
        <f>B12+I12</f>
        <v>0.99999999999999223</v>
      </c>
      <c r="R12" s="190">
        <f>B12-I12</f>
        <v>-0.5576874260266016</v>
      </c>
      <c r="S12" s="93">
        <f>SUM(C12:H12)*$B$4*$F$4</f>
        <v>-12.622041456605658</v>
      </c>
      <c r="T12" s="262">
        <f>SUM(C12:H12)*$D$4*$H$4</f>
        <v>-100.77074267718423</v>
      </c>
      <c r="U12" s="266">
        <f t="shared" si="0"/>
        <v>-113.39278413378989</v>
      </c>
      <c r="V12" s="93">
        <f>(U12+W12*I12)/B12</f>
        <v>-491.59679490482057</v>
      </c>
      <c r="W12" s="9">
        <f t="shared" si="1"/>
        <v>6</v>
      </c>
    </row>
    <row r="13" spans="1:23" x14ac:dyDescent="0.2">
      <c r="A13" s="99">
        <v>7</v>
      </c>
      <c r="B13" s="97">
        <f>C13*B4</f>
        <v>0.22117199293283574</v>
      </c>
      <c r="C13" s="97">
        <f>1/(1-D4*B4*C12)</f>
        <v>1.2211518272103958</v>
      </c>
      <c r="D13" s="144">
        <f>C13*D4*C12</f>
        <v>1.2210404866718496</v>
      </c>
      <c r="E13" s="1">
        <f>D13*D4*C11</f>
        <v>1.2205370852610027</v>
      </c>
      <c r="F13" s="1">
        <f>E13*D4*C10</f>
        <v>1.2182610680640835</v>
      </c>
      <c r="G13" s="1">
        <f>F13*D4*C9</f>
        <v>1.2079705639672216</v>
      </c>
      <c r="H13" s="1">
        <f>G13*D4*C8</f>
        <v>1.1614443449602077</v>
      </c>
      <c r="I13" s="1">
        <f>H13*D4</f>
        <v>0.95108642325751658</v>
      </c>
      <c r="J13" s="1">
        <f>I13*D4</f>
        <v>0.77882800706715516</v>
      </c>
      <c r="K13" s="1"/>
      <c r="L13" s="1"/>
      <c r="M13" s="262"/>
      <c r="N13" s="97">
        <f>B13+J13</f>
        <v>0.9999999999999909</v>
      </c>
      <c r="R13" s="190">
        <f>B13-J13</f>
        <v>-0.55765601413431942</v>
      </c>
      <c r="S13" s="93">
        <f>SUM(C13:I13)*$B$4*$F$4</f>
        <v>-14.829862494316004</v>
      </c>
      <c r="T13" s="262">
        <f>SUM(C13:I13)*$D$4*$H$4</f>
        <v>-118.39734978612761</v>
      </c>
      <c r="U13" s="266">
        <f t="shared" si="0"/>
        <v>-133.22721228044361</v>
      </c>
      <c r="V13" s="93">
        <f>(U13+W13*J13)/B13</f>
        <v>-577.71969468926216</v>
      </c>
      <c r="W13" s="9">
        <f t="shared" si="1"/>
        <v>7</v>
      </c>
    </row>
    <row r="14" spans="1:23" x14ac:dyDescent="0.2">
      <c r="A14" s="99">
        <v>8</v>
      </c>
      <c r="B14" s="97">
        <f>C14*B4</f>
        <v>0.22117546663275117</v>
      </c>
      <c r="C14" s="97">
        <f>1/(1-D4*B4*C13)</f>
        <v>1.2211710064696804</v>
      </c>
      <c r="D14" s="144">
        <f>C14*D4*C13</f>
        <v>1.2211463806741107</v>
      </c>
      <c r="E14" s="1">
        <f>D14*D4*C12</f>
        <v>1.2210350406321615</v>
      </c>
      <c r="F14" s="1">
        <f>E14*D4*C11</f>
        <v>1.220531641466567</v>
      </c>
      <c r="G14" s="1">
        <f>F14*D4*C10</f>
        <v>1.2182556344210558</v>
      </c>
      <c r="H14" s="1">
        <f>G14*D4*C9</f>
        <v>1.2079651762215202</v>
      </c>
      <c r="I14" s="1">
        <f>H14*D4*C8</f>
        <v>1.1614391647290303</v>
      </c>
      <c r="J14" s="1">
        <f>I14*D4</f>
        <v>0.95108218125697341</v>
      </c>
      <c r="K14" s="1">
        <f>J14*D4</f>
        <v>0.77882453336723867</v>
      </c>
      <c r="L14" s="1"/>
      <c r="M14" s="262"/>
      <c r="N14" s="97">
        <f>B14+K14</f>
        <v>0.99999999999998979</v>
      </c>
      <c r="R14" s="190">
        <f>B14-K14</f>
        <v>-0.55764906673448755</v>
      </c>
      <c r="S14" s="93">
        <f>SUM(C14:J14)*$B$4*$F$4</f>
        <v>-17.037906600767254</v>
      </c>
      <c r="T14" s="262">
        <f>SUM(C14:J14)*$D$4*$H$4</f>
        <v>-136.02573781163395</v>
      </c>
      <c r="U14" s="266">
        <f t="shared" si="0"/>
        <v>-153.0636444124012</v>
      </c>
      <c r="V14" s="93">
        <f>(U14+W14*K14)/B14</f>
        <v>-663.87583750086947</v>
      </c>
      <c r="W14" s="9">
        <f t="shared" si="1"/>
        <v>8</v>
      </c>
    </row>
    <row r="15" spans="1:23" x14ac:dyDescent="0.2">
      <c r="A15" s="99">
        <v>9</v>
      </c>
      <c r="B15" s="97">
        <f>C15*B4</f>
        <v>0.22117623492919297</v>
      </c>
      <c r="C15" s="97">
        <f>1/(1-D4*B4*C14)</f>
        <v>1.2211752484471174</v>
      </c>
      <c r="D15" s="144">
        <f>C15*D4*C14</f>
        <v>1.2211698018063697</v>
      </c>
      <c r="E15" s="1">
        <f>D15*D4*C13</f>
        <v>1.2211451760350929</v>
      </c>
      <c r="F15" s="1">
        <f>E15*D4*C12</f>
        <v>1.2210338361029787</v>
      </c>
      <c r="G15" s="1">
        <f>F15*D4*C11</f>
        <v>1.2205304374339785</v>
      </c>
      <c r="H15" s="1">
        <f>G15*D4*C10</f>
        <v>1.2182544326337073</v>
      </c>
      <c r="I15" s="1">
        <f>H15*D4*C9</f>
        <v>1.2079639845855241</v>
      </c>
      <c r="J15" s="1">
        <f>I15*D4*C8</f>
        <v>1.1614380189901106</v>
      </c>
      <c r="K15" s="1">
        <f>J15*D4</f>
        <v>0.9510812430314477</v>
      </c>
      <c r="L15" s="1">
        <f>K15*D4</f>
        <v>0.7788237650707952</v>
      </c>
      <c r="M15" s="262"/>
      <c r="N15" s="97">
        <f>B15+L15</f>
        <v>0.99999999999998823</v>
      </c>
      <c r="R15" s="190">
        <f>B15-L15</f>
        <v>-0.55764753014160218</v>
      </c>
      <c r="S15" s="93">
        <f>SUM(C15:K15)*$B$4*$F$4</f>
        <v>-19.246007713538894</v>
      </c>
      <c r="T15" s="262">
        <f>SUM(C15:K15)*$D$4*$H$4</f>
        <v>-153.65458095917927</v>
      </c>
      <c r="U15" s="266">
        <f t="shared" si="0"/>
        <v>-172.90058867271816</v>
      </c>
      <c r="V15" s="93">
        <f>(U15+W15*L15)/B15</f>
        <v>-750.04068515855317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0.22117640485807019</v>
      </c>
      <c r="C16" s="145">
        <f>1/(1-D4*B4*C15)</f>
        <v>1.221176186671511</v>
      </c>
      <c r="D16" s="153">
        <f>C16*D4*C15</f>
        <v>1.2211749820030902</v>
      </c>
      <c r="E16" s="111">
        <f>D16*D4*C14</f>
        <v>1.2211695353635308</v>
      </c>
      <c r="F16" s="111">
        <f>E16*D4*C13</f>
        <v>1.221144909597627</v>
      </c>
      <c r="G16" s="111">
        <f>F16*D4*C12</f>
        <v>1.2210335696898056</v>
      </c>
      <c r="H16" s="111">
        <f>G16*D4*C11</f>
        <v>1.2205301711306402</v>
      </c>
      <c r="I16" s="111">
        <f>H16*D4*C10</f>
        <v>1.2182541668269629</v>
      </c>
      <c r="J16" s="111">
        <f>I16*D4*C9</f>
        <v>1.2079637210240173</v>
      </c>
      <c r="K16" s="111">
        <f>J16*D4*C8</f>
        <v>1.1614377655799442</v>
      </c>
      <c r="L16" s="111">
        <f>K16*D4</f>
        <v>0.9510810355183027</v>
      </c>
      <c r="M16" s="264">
        <f>L16*D4</f>
        <v>0.7788235951419169</v>
      </c>
      <c r="N16" s="145">
        <f>B16+M16</f>
        <v>0.99999999999998712</v>
      </c>
      <c r="R16" s="191">
        <f>B16-M16</f>
        <v>-0.55764719028384668</v>
      </c>
      <c r="S16" s="94">
        <f>SUM(C16:L16)*$B$4*$F$4</f>
        <v>-21.454123131168569</v>
      </c>
      <c r="T16" s="264">
        <f>SUM(C16:L16)*$D$4*$H$4</f>
        <v>-171.28353831258994</v>
      </c>
      <c r="U16" s="267">
        <f t="shared" si="0"/>
        <v>-192.7376614437585</v>
      </c>
      <c r="V16" s="94">
        <f>(U16+W16*M16)/B16</f>
        <v>-836.20775738271959</v>
      </c>
      <c r="W16" s="10">
        <f t="shared" si="1"/>
        <v>10</v>
      </c>
    </row>
    <row r="18" spans="1:21" x14ac:dyDescent="0.2">
      <c r="A18" s="356" t="s">
        <v>200</v>
      </c>
      <c r="B18" s="356"/>
      <c r="C18" s="356"/>
      <c r="D18" s="356"/>
      <c r="E18" s="356"/>
      <c r="F18" s="356"/>
      <c r="O18" s="356" t="s">
        <v>201</v>
      </c>
      <c r="P18" s="356"/>
      <c r="Q18" s="356"/>
      <c r="R18" s="356"/>
      <c r="S18" s="356"/>
      <c r="T18" s="356"/>
    </row>
    <row r="19" spans="1:21" ht="17" thickBot="1" x14ac:dyDescent="0.25"/>
    <row r="20" spans="1:21" ht="17" thickBot="1" x14ac:dyDescent="0.25">
      <c r="A20" s="29" t="s">
        <v>135</v>
      </c>
      <c r="B20" s="19" t="s">
        <v>140</v>
      </c>
      <c r="C20" s="19" t="s">
        <v>139</v>
      </c>
      <c r="D20" s="19" t="s">
        <v>138</v>
      </c>
      <c r="E20" s="167" t="s">
        <v>151</v>
      </c>
      <c r="F20" s="168" t="s">
        <v>152</v>
      </c>
      <c r="G20" s="166" t="s">
        <v>47</v>
      </c>
      <c r="O20" s="29" t="s">
        <v>135</v>
      </c>
      <c r="P20" s="118" t="s">
        <v>140</v>
      </c>
      <c r="Q20" s="118" t="s">
        <v>139</v>
      </c>
      <c r="R20" s="118" t="s">
        <v>138</v>
      </c>
      <c r="S20" s="166" t="s">
        <v>151</v>
      </c>
      <c r="T20" s="168" t="s">
        <v>152</v>
      </c>
      <c r="U20" s="293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10</v>
      </c>
      <c r="D21" s="57">
        <f>SUM($C$21:C21)</f>
        <v>10</v>
      </c>
      <c r="E21" s="57">
        <f t="shared" ref="E21:E30" si="3">D21/R7</f>
        <v>-15.679757732047261</v>
      </c>
      <c r="F21" s="8">
        <f t="shared" ref="F21:F30" si="4">U7/E21</f>
        <v>1.036002342692617</v>
      </c>
      <c r="G21" s="286">
        <f>E21*U7</f>
        <v>254.70615138921167</v>
      </c>
      <c r="O21" s="101">
        <v>1</v>
      </c>
      <c r="P21" s="109">
        <v>1</v>
      </c>
      <c r="Q21" s="110">
        <f>P21*10+45</f>
        <v>55</v>
      </c>
      <c r="R21" s="57">
        <f>SUM($Q$21)</f>
        <v>55</v>
      </c>
      <c r="S21" s="281">
        <f>R21/R7</f>
        <v>-86.238667526259931</v>
      </c>
      <c r="T21" s="8">
        <f>U7/S21</f>
        <v>0.18836406230774858</v>
      </c>
      <c r="U21" s="286">
        <f>S21*U7</f>
        <v>1400.8838326406642</v>
      </c>
    </row>
    <row r="22" spans="1:21" x14ac:dyDescent="0.2">
      <c r="A22" s="97">
        <v>2</v>
      </c>
      <c r="B22" s="93">
        <f>C21</f>
        <v>10</v>
      </c>
      <c r="C22" s="1">
        <f t="shared" si="2"/>
        <v>100</v>
      </c>
      <c r="D22" s="9">
        <f>SUM($C$21:C22)</f>
        <v>110</v>
      </c>
      <c r="E22" s="9">
        <f t="shared" si="3"/>
        <v>-191.40928426325399</v>
      </c>
      <c r="F22" s="9">
        <f t="shared" si="4"/>
        <v>0.18124339948793997</v>
      </c>
      <c r="G22" s="287">
        <f t="shared" ref="G22:G30" si="5">E22*U8</f>
        <v>6640.3076046648439</v>
      </c>
      <c r="O22" s="99">
        <v>2</v>
      </c>
      <c r="P22" s="93">
        <f>Q21</f>
        <v>55</v>
      </c>
      <c r="Q22" s="1">
        <f t="shared" ref="Q22:Q30" si="6">P22*10+45</f>
        <v>595</v>
      </c>
      <c r="R22" s="9">
        <f>SUM($Q$21:Q22)</f>
        <v>650</v>
      </c>
      <c r="S22" s="282">
        <f t="shared" ref="S22:S30" si="7">R22/R8</f>
        <v>-1131.0548615555917</v>
      </c>
      <c r="T22" s="9">
        <f>U8/S22</f>
        <v>3.0671959913343688E-2</v>
      </c>
      <c r="U22" s="287">
        <f t="shared" ref="U22:U30" si="8">S22*U8</f>
        <v>39238.181300292257</v>
      </c>
    </row>
    <row r="23" spans="1:21" x14ac:dyDescent="0.2">
      <c r="A23" s="97">
        <v>3</v>
      </c>
      <c r="B23" s="93">
        <f t="shared" ref="B23:B30" si="9">C22</f>
        <v>100</v>
      </c>
      <c r="C23" s="1">
        <f t="shared" si="2"/>
        <v>1000</v>
      </c>
      <c r="D23" s="9">
        <f>SUM($C$21:C23)</f>
        <v>1110</v>
      </c>
      <c r="E23" s="9">
        <f t="shared" si="3"/>
        <v>-1977.2576349160054</v>
      </c>
      <c r="F23" s="9">
        <f t="shared" si="4"/>
        <v>2.7345038495991795E-2</v>
      </c>
      <c r="G23" s="287">
        <f t="shared" si="5"/>
        <v>106906.73385784405</v>
      </c>
      <c r="O23" s="99">
        <v>3</v>
      </c>
      <c r="P23" s="93">
        <f t="shared" ref="P23:P30" si="10">Q22</f>
        <v>595</v>
      </c>
      <c r="Q23" s="1">
        <f t="shared" si="6"/>
        <v>5995</v>
      </c>
      <c r="R23" s="9">
        <f>SUM($Q$21:Q23)</f>
        <v>6645</v>
      </c>
      <c r="S23" s="282">
        <f t="shared" si="7"/>
        <v>-11836.826111726898</v>
      </c>
      <c r="T23" s="9">
        <f t="shared" ref="T23:T30" si="11">U9/S23</f>
        <v>4.5677942408654465E-3</v>
      </c>
      <c r="U23" s="287">
        <f t="shared" si="8"/>
        <v>639995.71755439078</v>
      </c>
    </row>
    <row r="24" spans="1:21" x14ac:dyDescent="0.2">
      <c r="A24" s="97">
        <v>4</v>
      </c>
      <c r="B24" s="93">
        <f t="shared" si="9"/>
        <v>1000</v>
      </c>
      <c r="C24" s="1">
        <f t="shared" si="2"/>
        <v>10000</v>
      </c>
      <c r="D24" s="9">
        <f>SUM($C$21:C24)</f>
        <v>11110</v>
      </c>
      <c r="E24" s="9">
        <f t="shared" si="3"/>
        <v>-19893.5674858116</v>
      </c>
      <c r="F24" s="9">
        <f t="shared" si="4"/>
        <v>3.7081073999570341E-3</v>
      </c>
      <c r="G24" s="287">
        <f t="shared" si="5"/>
        <v>1467498.4372404295</v>
      </c>
      <c r="O24" s="99">
        <v>4</v>
      </c>
      <c r="P24" s="93">
        <f t="shared" si="10"/>
        <v>5995</v>
      </c>
      <c r="Q24" s="1">
        <f t="shared" si="6"/>
        <v>59995</v>
      </c>
      <c r="R24" s="9">
        <f>SUM($Q$21:Q24)</f>
        <v>66640</v>
      </c>
      <c r="S24" s="282">
        <f t="shared" si="7"/>
        <v>-119325.59291219487</v>
      </c>
      <c r="T24" s="9">
        <f t="shared" si="11"/>
        <v>6.1820337955466158E-4</v>
      </c>
      <c r="U24" s="287">
        <f t="shared" si="8"/>
        <v>8802348.862079408</v>
      </c>
    </row>
    <row r="25" spans="1:21" x14ac:dyDescent="0.2">
      <c r="A25" s="97">
        <v>5</v>
      </c>
      <c r="B25" s="93">
        <f t="shared" si="9"/>
        <v>10000</v>
      </c>
      <c r="C25" s="1">
        <f t="shared" si="2"/>
        <v>100000</v>
      </c>
      <c r="D25" s="9">
        <f>SUM($C$21:C25)</f>
        <v>111110</v>
      </c>
      <c r="E25" s="9">
        <f t="shared" si="3"/>
        <v>-199182.73814702142</v>
      </c>
      <c r="F25" s="9">
        <f t="shared" si="4"/>
        <v>4.697495872276871E-4</v>
      </c>
      <c r="G25" s="287">
        <f t="shared" si="5"/>
        <v>18636733.875575181</v>
      </c>
      <c r="O25" s="99">
        <v>5</v>
      </c>
      <c r="P25" s="93">
        <f t="shared" si="10"/>
        <v>59995</v>
      </c>
      <c r="Q25" s="1">
        <f t="shared" si="6"/>
        <v>599995</v>
      </c>
      <c r="R25" s="9">
        <f>SUM($Q$21:Q25)</f>
        <v>666635</v>
      </c>
      <c r="S25" s="282">
        <f t="shared" si="7"/>
        <v>-1195051.6123178797</v>
      </c>
      <c r="T25" s="9">
        <f t="shared" si="11"/>
        <v>7.8294533945664897E-5</v>
      </c>
      <c r="U25" s="287">
        <f t="shared" si="8"/>
        <v>111816209.94639599</v>
      </c>
    </row>
    <row r="26" spans="1:21" x14ac:dyDescent="0.2">
      <c r="A26" s="97">
        <v>6</v>
      </c>
      <c r="B26" s="93">
        <f t="shared" si="9"/>
        <v>100000</v>
      </c>
      <c r="C26" s="1">
        <f t="shared" si="2"/>
        <v>1000000</v>
      </c>
      <c r="D26" s="9">
        <f>SUM($C$21:C26)</f>
        <v>1111110</v>
      </c>
      <c r="E26" s="9">
        <f t="shared" si="3"/>
        <v>-1992352.612136893</v>
      </c>
      <c r="F26" s="9">
        <f t="shared" si="4"/>
        <v>5.6914013836220856E-5</v>
      </c>
      <c r="G26" s="287">
        <f t="shared" si="5"/>
        <v>225918409.66643113</v>
      </c>
      <c r="O26" s="99">
        <v>6</v>
      </c>
      <c r="P26" s="93">
        <f t="shared" si="10"/>
        <v>599995</v>
      </c>
      <c r="Q26" s="1">
        <f t="shared" si="6"/>
        <v>5999995</v>
      </c>
      <c r="R26" s="9">
        <f>SUM($Q$21:Q26)</f>
        <v>6666630</v>
      </c>
      <c r="S26" s="282">
        <f t="shared" si="7"/>
        <v>-11954061.879247038</v>
      </c>
      <c r="T26" s="9">
        <f t="shared" si="11"/>
        <v>9.4857116584486236E-6</v>
      </c>
      <c r="U26" s="287">
        <f t="shared" si="8"/>
        <v>1355504358.195426</v>
      </c>
    </row>
    <row r="27" spans="1:21" x14ac:dyDescent="0.2">
      <c r="A27" s="97">
        <v>7</v>
      </c>
      <c r="B27" s="93">
        <f t="shared" si="9"/>
        <v>1000000</v>
      </c>
      <c r="C27" s="1">
        <f t="shared" si="2"/>
        <v>10000000</v>
      </c>
      <c r="D27" s="9">
        <f>SUM($C$21:C27)</f>
        <v>11111110</v>
      </c>
      <c r="E27" s="9">
        <f t="shared" si="3"/>
        <v>-19924666.314678587</v>
      </c>
      <c r="F27" s="9">
        <f t="shared" si="4"/>
        <v>6.6865467243631856E-6</v>
      </c>
      <c r="G27" s="287">
        <f t="shared" si="5"/>
        <v>2654507748.7226882</v>
      </c>
      <c r="O27" s="99">
        <v>7</v>
      </c>
      <c r="P27" s="93">
        <f t="shared" si="10"/>
        <v>5999995</v>
      </c>
      <c r="Q27" s="1">
        <f t="shared" si="6"/>
        <v>59999995</v>
      </c>
      <c r="R27" s="9">
        <f>SUM($Q$21:Q27)</f>
        <v>66666625</v>
      </c>
      <c r="S27" s="282">
        <f t="shared" si="7"/>
        <v>-119547935.12536636</v>
      </c>
      <c r="T27" s="9">
        <f t="shared" si="11"/>
        <v>1.114425039133735E-6</v>
      </c>
      <c r="U27" s="287">
        <f t="shared" si="8"/>
        <v>15927038130.635885</v>
      </c>
    </row>
    <row r="28" spans="1:21" x14ac:dyDescent="0.2">
      <c r="A28" s="97">
        <v>8</v>
      </c>
      <c r="B28" s="93">
        <f t="shared" si="9"/>
        <v>10000000</v>
      </c>
      <c r="C28" s="1">
        <f t="shared" si="2"/>
        <v>100000000</v>
      </c>
      <c r="D28" s="9">
        <f>SUM($C$21:C28)</f>
        <v>111111110</v>
      </c>
      <c r="E28" s="9">
        <f t="shared" si="3"/>
        <v>-199249163.36837184</v>
      </c>
      <c r="F28" s="9">
        <f t="shared" si="4"/>
        <v>7.6820219380001682E-7</v>
      </c>
      <c r="G28" s="287">
        <f t="shared" si="5"/>
        <v>30497803091.284904</v>
      </c>
      <c r="O28" s="99">
        <v>8</v>
      </c>
      <c r="P28" s="93">
        <f t="shared" si="10"/>
        <v>59999995</v>
      </c>
      <c r="Q28" s="1">
        <f t="shared" si="6"/>
        <v>599999995</v>
      </c>
      <c r="R28" s="9">
        <f>SUM($Q$21:Q28)</f>
        <v>666666620</v>
      </c>
      <c r="S28" s="282">
        <f t="shared" si="7"/>
        <v>-1195494908.4805315</v>
      </c>
      <c r="T28" s="9">
        <f t="shared" si="11"/>
        <v>1.2803370664869196E-7</v>
      </c>
      <c r="U28" s="287">
        <f t="shared" si="8"/>
        <v>182986807568.50018</v>
      </c>
    </row>
    <row r="29" spans="1:21" x14ac:dyDescent="0.2">
      <c r="A29" s="97">
        <v>9</v>
      </c>
      <c r="B29" s="93">
        <f t="shared" si="9"/>
        <v>100000000</v>
      </c>
      <c r="C29" s="1">
        <f t="shared" si="2"/>
        <v>1000000000</v>
      </c>
      <c r="D29" s="9">
        <f>SUM($C$21:C29)</f>
        <v>1111111110</v>
      </c>
      <c r="E29" s="9">
        <f t="shared" si="3"/>
        <v>-1992497141.9094388</v>
      </c>
      <c r="F29" s="9">
        <f t="shared" si="4"/>
        <v>8.6775827696809156E-8</v>
      </c>
      <c r="G29" s="287">
        <f t="shared" si="5"/>
        <v>344503928764.8504</v>
      </c>
      <c r="O29" s="99">
        <v>9</v>
      </c>
      <c r="P29" s="93">
        <f t="shared" si="10"/>
        <v>599999995</v>
      </c>
      <c r="Q29" s="1">
        <f t="shared" si="6"/>
        <v>5999999995</v>
      </c>
      <c r="R29" s="9">
        <f>SUM($Q$21:Q29)</f>
        <v>6666666615</v>
      </c>
      <c r="S29" s="282">
        <f t="shared" si="7"/>
        <v>-11954982770.760498</v>
      </c>
      <c r="T29" s="9">
        <f t="shared" si="11"/>
        <v>1.4462638047090999E-8</v>
      </c>
      <c r="U29" s="287">
        <f t="shared" si="8"/>
        <v>2067023558636.6934</v>
      </c>
    </row>
    <row r="30" spans="1:21" ht="17" thickBot="1" x14ac:dyDescent="0.25">
      <c r="A30" s="145">
        <v>10</v>
      </c>
      <c r="B30" s="94">
        <f t="shared" si="9"/>
        <v>1000000000</v>
      </c>
      <c r="C30" s="111">
        <f t="shared" si="2"/>
        <v>10000000000</v>
      </c>
      <c r="D30" s="10">
        <f>SUM($C$21:C30)</f>
        <v>11111111110</v>
      </c>
      <c r="E30" s="10">
        <f t="shared" si="3"/>
        <v>-19924983580.289104</v>
      </c>
      <c r="F30" s="10">
        <f t="shared" si="4"/>
        <v>9.673165383906526E-9</v>
      </c>
      <c r="G30" s="288">
        <f t="shared" si="5"/>
        <v>3840294739570.2085</v>
      </c>
      <c r="O30" s="100">
        <v>10</v>
      </c>
      <c r="P30" s="94">
        <f t="shared" si="10"/>
        <v>5999999995</v>
      </c>
      <c r="Q30" s="111">
        <f t="shared" si="6"/>
        <v>59999999995</v>
      </c>
      <c r="R30" s="10">
        <f>SUM($Q$21:Q30)</f>
        <v>66666666610</v>
      </c>
      <c r="S30" s="283">
        <f t="shared" si="7"/>
        <v>-119549901392.0722</v>
      </c>
      <c r="T30" s="10">
        <f t="shared" si="11"/>
        <v>1.6121942318602335E-9</v>
      </c>
      <c r="U30" s="288">
        <f t="shared" si="8"/>
        <v>23041768420139.926</v>
      </c>
    </row>
    <row r="31" spans="1:21" ht="17" thickBot="1" x14ac:dyDescent="0.25"/>
    <row r="32" spans="1:21" ht="17" thickBot="1" x14ac:dyDescent="0.25">
      <c r="A32" s="117" t="s">
        <v>135</v>
      </c>
      <c r="B32" s="118" t="s">
        <v>140</v>
      </c>
      <c r="C32" s="118" t="s">
        <v>139</v>
      </c>
      <c r="D32" s="170" t="s">
        <v>138</v>
      </c>
      <c r="E32" s="167" t="s">
        <v>151</v>
      </c>
      <c r="F32" s="168" t="s">
        <v>152</v>
      </c>
      <c r="G32" s="290" t="s">
        <v>47</v>
      </c>
      <c r="O32" s="29" t="s">
        <v>135</v>
      </c>
      <c r="P32" s="118" t="s">
        <v>140</v>
      </c>
      <c r="Q32" s="118" t="s">
        <v>139</v>
      </c>
      <c r="R32" s="118" t="s">
        <v>138</v>
      </c>
      <c r="S32" s="166" t="s">
        <v>151</v>
      </c>
      <c r="T32" s="168" t="s">
        <v>152</v>
      </c>
      <c r="U32" s="294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10</v>
      </c>
      <c r="D33" s="57">
        <f>SUM($C$33:C33)</f>
        <v>10</v>
      </c>
      <c r="E33" s="9">
        <f t="shared" ref="E33:E42" si="13">D33/R7</f>
        <v>-15.679757732047261</v>
      </c>
      <c r="F33" s="8">
        <f t="shared" ref="F33:F42" si="14">U7/E33</f>
        <v>1.036002342692617</v>
      </c>
      <c r="G33" s="289">
        <f>E33*U7</f>
        <v>254.70615138921167</v>
      </c>
      <c r="O33" s="101">
        <v>1</v>
      </c>
      <c r="P33" s="109">
        <v>1</v>
      </c>
      <c r="Q33" s="110">
        <f>P33*10+45</f>
        <v>55</v>
      </c>
      <c r="R33" s="57">
        <f>SUM($Q$21)</f>
        <v>55</v>
      </c>
      <c r="S33" s="281">
        <f>R33/R7</f>
        <v>-86.238667526259931</v>
      </c>
      <c r="T33" s="8">
        <f>U7/S33</f>
        <v>0.18836406230774858</v>
      </c>
      <c r="U33" s="289">
        <f>S33*U7</f>
        <v>1400.8838326406642</v>
      </c>
    </row>
    <row r="34" spans="1:21" x14ac:dyDescent="0.2">
      <c r="A34" s="97">
        <v>2</v>
      </c>
      <c r="B34" s="93">
        <f t="shared" ref="B34:B42" si="15">B33*($O$2+1)</f>
        <v>11</v>
      </c>
      <c r="C34" s="1">
        <f t="shared" si="12"/>
        <v>110</v>
      </c>
      <c r="D34" s="9">
        <f>SUM($C$33:C34)</f>
        <v>120</v>
      </c>
      <c r="E34" s="9">
        <f t="shared" si="13"/>
        <v>-208.81012828718619</v>
      </c>
      <c r="F34" s="9">
        <f t="shared" si="14"/>
        <v>0.16613978286394496</v>
      </c>
      <c r="G34" s="287">
        <f t="shared" ref="G34:G42" si="16">E34*U8</f>
        <v>7243.9719323616482</v>
      </c>
      <c r="O34" s="99">
        <v>2</v>
      </c>
      <c r="P34" s="93">
        <f>Q33+1</f>
        <v>56</v>
      </c>
      <c r="Q34" s="1">
        <f t="shared" ref="Q34:Q42" si="17">P34*10+45</f>
        <v>605</v>
      </c>
      <c r="R34" s="9">
        <f>SUM($Q$33:Q34)</f>
        <v>660</v>
      </c>
      <c r="S34" s="282">
        <f>R34/R8</f>
        <v>-1148.455705579524</v>
      </c>
      <c r="T34" s="9">
        <f t="shared" ref="T34:T42" si="18">U8/S34</f>
        <v>3.0207233247989993E-2</v>
      </c>
      <c r="U34" s="287">
        <f t="shared" ref="U34:U42" si="19">S34*U8</f>
        <v>39841.845627989067</v>
      </c>
    </row>
    <row r="35" spans="1:21" x14ac:dyDescent="0.2">
      <c r="A35" s="97">
        <v>3</v>
      </c>
      <c r="B35" s="93">
        <f t="shared" si="15"/>
        <v>121</v>
      </c>
      <c r="C35" s="1">
        <f t="shared" si="12"/>
        <v>1210</v>
      </c>
      <c r="D35" s="9">
        <f>SUM($C$33:C35)</f>
        <v>1330</v>
      </c>
      <c r="E35" s="9">
        <f t="shared" si="13"/>
        <v>-2369.1465355299883</v>
      </c>
      <c r="F35" s="9">
        <f t="shared" si="14"/>
        <v>2.2821799045526989E-2</v>
      </c>
      <c r="G35" s="287">
        <f t="shared" si="16"/>
        <v>128095.45588372304</v>
      </c>
      <c r="O35" s="99">
        <v>3</v>
      </c>
      <c r="P35" s="93">
        <f t="shared" ref="P35:P42" si="20">Q34+1</f>
        <v>606</v>
      </c>
      <c r="Q35" s="1">
        <f t="shared" si="17"/>
        <v>6105</v>
      </c>
      <c r="R35" s="9">
        <f>SUM($Q$33:Q35)</f>
        <v>6765</v>
      </c>
      <c r="S35" s="282">
        <f t="shared" ref="S35:S42" si="21">R35/R9</f>
        <v>-12050.583693879978</v>
      </c>
      <c r="T35" s="9">
        <f t="shared" si="18"/>
        <v>4.4867690658611818E-3</v>
      </c>
      <c r="U35" s="287">
        <f t="shared" si="19"/>
        <v>651553.20229577925</v>
      </c>
    </row>
    <row r="36" spans="1:21" x14ac:dyDescent="0.2">
      <c r="A36" s="97">
        <v>4</v>
      </c>
      <c r="B36" s="93">
        <f t="shared" si="15"/>
        <v>1331</v>
      </c>
      <c r="C36" s="1">
        <f t="shared" si="12"/>
        <v>13310</v>
      </c>
      <c r="D36" s="9">
        <f>SUM($C$33:C36)</f>
        <v>14640</v>
      </c>
      <c r="E36" s="9">
        <f t="shared" si="13"/>
        <v>-26214.385957901155</v>
      </c>
      <c r="F36" s="9">
        <f t="shared" si="14"/>
        <v>2.8140077331641152E-3</v>
      </c>
      <c r="G36" s="287">
        <f t="shared" si="16"/>
        <v>1933769.3178397738</v>
      </c>
      <c r="O36" s="99">
        <v>4</v>
      </c>
      <c r="P36" s="93">
        <f t="shared" si="20"/>
        <v>6106</v>
      </c>
      <c r="Q36" s="1">
        <f t="shared" si="17"/>
        <v>61105</v>
      </c>
      <c r="R36" s="9">
        <f>SUM($Q$33:Q36)</f>
        <v>67870</v>
      </c>
      <c r="S36" s="282">
        <f t="shared" si="21"/>
        <v>-121528.03107669066</v>
      </c>
      <c r="T36" s="9">
        <f t="shared" si="18"/>
        <v>6.0699975266719679E-4</v>
      </c>
      <c r="U36" s="287">
        <f t="shared" si="19"/>
        <v>8964817.185914306</v>
      </c>
    </row>
    <row r="37" spans="1:21" x14ac:dyDescent="0.2">
      <c r="A37" s="97">
        <v>5</v>
      </c>
      <c r="B37" s="93">
        <f t="shared" si="15"/>
        <v>14641</v>
      </c>
      <c r="C37" s="1">
        <f t="shared" si="12"/>
        <v>146410</v>
      </c>
      <c r="D37" s="9">
        <f>SUM($C$33:C37)</f>
        <v>161050</v>
      </c>
      <c r="E37" s="9">
        <f t="shared" si="13"/>
        <v>-288708.3068902691</v>
      </c>
      <c r="F37" s="9">
        <f t="shared" si="14"/>
        <v>3.2408492168188954E-4</v>
      </c>
      <c r="G37" s="287">
        <f t="shared" si="16"/>
        <v>27013284.048792932</v>
      </c>
      <c r="O37" s="99">
        <v>5</v>
      </c>
      <c r="P37" s="93">
        <f t="shared" si="20"/>
        <v>61106</v>
      </c>
      <c r="Q37" s="1">
        <f t="shared" si="17"/>
        <v>611105</v>
      </c>
      <c r="R37" s="9">
        <f>SUM($Q$33:Q37)</f>
        <v>678975</v>
      </c>
      <c r="S37" s="282">
        <f t="shared" si="21"/>
        <v>-1217173.0684310491</v>
      </c>
      <c r="T37" s="9">
        <f t="shared" si="18"/>
        <v>7.6871573529022888E-5</v>
      </c>
      <c r="U37" s="287">
        <f t="shared" si="19"/>
        <v>113886026.30878101</v>
      </c>
    </row>
    <row r="38" spans="1:21" x14ac:dyDescent="0.2">
      <c r="A38" s="97">
        <v>6</v>
      </c>
      <c r="B38" s="93">
        <f t="shared" si="15"/>
        <v>161051</v>
      </c>
      <c r="C38" s="1">
        <f t="shared" si="12"/>
        <v>1610510</v>
      </c>
      <c r="D38" s="9">
        <f>SUM($C$33:C38)</f>
        <v>1771560</v>
      </c>
      <c r="E38" s="9">
        <f t="shared" si="13"/>
        <v>-3176618.1508196616</v>
      </c>
      <c r="F38" s="9">
        <f t="shared" si="14"/>
        <v>3.5696070081489398E-5</v>
      </c>
      <c r="G38" s="287">
        <f t="shared" si="16"/>
        <v>360205576.25137269</v>
      </c>
      <c r="O38" s="99">
        <v>6</v>
      </c>
      <c r="P38" s="93">
        <f t="shared" si="20"/>
        <v>611106</v>
      </c>
      <c r="Q38" s="1">
        <f t="shared" si="17"/>
        <v>6111105</v>
      </c>
      <c r="R38" s="9">
        <f>SUM($Q$33:Q38)</f>
        <v>6790080</v>
      </c>
      <c r="S38" s="282">
        <f t="shared" si="21"/>
        <v>-12175422.437579066</v>
      </c>
      <c r="T38" s="9">
        <f t="shared" si="18"/>
        <v>9.3132525557229581E-6</v>
      </c>
      <c r="U38" s="287">
        <f t="shared" si="19"/>
        <v>1380605048.2021048</v>
      </c>
    </row>
    <row r="39" spans="1:21" x14ac:dyDescent="0.2">
      <c r="A39" s="97">
        <v>7</v>
      </c>
      <c r="B39" s="93">
        <f t="shared" si="15"/>
        <v>1771561</v>
      </c>
      <c r="C39" s="1">
        <f t="shared" si="12"/>
        <v>17715610</v>
      </c>
      <c r="D39" s="9">
        <f>SUM($C$33:C39)</f>
        <v>19487170</v>
      </c>
      <c r="E39" s="9">
        <f t="shared" si="13"/>
        <v>-34944785.864545949</v>
      </c>
      <c r="F39" s="9">
        <f t="shared" si="14"/>
        <v>3.8125061860977778E-6</v>
      </c>
      <c r="G39" s="287">
        <f t="shared" si="16"/>
        <v>4655596404.4705086</v>
      </c>
      <c r="O39" s="99">
        <v>7</v>
      </c>
      <c r="P39" s="93">
        <f t="shared" si="20"/>
        <v>6111106</v>
      </c>
      <c r="Q39" s="1">
        <f t="shared" si="17"/>
        <v>61111105</v>
      </c>
      <c r="R39" s="9">
        <f>SUM($Q$33:Q39)</f>
        <v>67901185</v>
      </c>
      <c r="S39" s="282">
        <f t="shared" si="21"/>
        <v>-121761772.9908406</v>
      </c>
      <c r="T39" s="9">
        <f t="shared" si="18"/>
        <v>1.0941628805821141E-6</v>
      </c>
      <c r="U39" s="287">
        <f t="shared" si="19"/>
        <v>16221981577.893906</v>
      </c>
    </row>
    <row r="40" spans="1:21" x14ac:dyDescent="0.2">
      <c r="A40" s="97">
        <v>8</v>
      </c>
      <c r="B40" s="93">
        <f t="shared" si="15"/>
        <v>19487171</v>
      </c>
      <c r="C40" s="1">
        <f t="shared" si="12"/>
        <v>194871710</v>
      </c>
      <c r="D40" s="9">
        <f>SUM($C$33:C40)</f>
        <v>214358880</v>
      </c>
      <c r="E40" s="9">
        <f t="shared" si="13"/>
        <v>-384397451.34920543</v>
      </c>
      <c r="F40" s="9">
        <f t="shared" si="14"/>
        <v>3.9819110109903072E-7</v>
      </c>
      <c r="G40" s="287">
        <f t="shared" si="16"/>
        <v>58837274806.348068</v>
      </c>
      <c r="O40" s="99">
        <v>8</v>
      </c>
      <c r="P40" s="93">
        <f t="shared" si="20"/>
        <v>61111106</v>
      </c>
      <c r="Q40" s="1">
        <f t="shared" si="17"/>
        <v>611111105</v>
      </c>
      <c r="R40" s="9">
        <f>SUM($Q$33:Q40)</f>
        <v>679012290</v>
      </c>
      <c r="S40" s="282">
        <f t="shared" si="21"/>
        <v>-1217633688.4704173</v>
      </c>
      <c r="T40" s="9">
        <f t="shared" si="18"/>
        <v>1.2570582258173118E-7</v>
      </c>
      <c r="U40" s="287">
        <f t="shared" si="19"/>
        <v>186375449916.59644</v>
      </c>
    </row>
    <row r="41" spans="1:21" x14ac:dyDescent="0.2">
      <c r="A41" s="97">
        <v>9</v>
      </c>
      <c r="B41" s="93">
        <f t="shared" si="15"/>
        <v>214358881</v>
      </c>
      <c r="C41" s="1">
        <f t="shared" si="12"/>
        <v>2143588810</v>
      </c>
      <c r="D41" s="9">
        <f>SUM($C$33:C41)</f>
        <v>2357947690</v>
      </c>
      <c r="E41" s="9">
        <f t="shared" si="13"/>
        <v>-4228383634.0156507</v>
      </c>
      <c r="F41" s="9">
        <f t="shared" si="14"/>
        <v>4.0890468708137611E-8</v>
      </c>
      <c r="G41" s="287">
        <f t="shared" si="16"/>
        <v>731090019455.39331</v>
      </c>
      <c r="O41" s="99">
        <v>9</v>
      </c>
      <c r="P41" s="93">
        <f t="shared" si="20"/>
        <v>611111106</v>
      </c>
      <c r="Q41" s="1">
        <f t="shared" si="17"/>
        <v>6111111105</v>
      </c>
      <c r="R41" s="9">
        <f>SUM($Q$33:Q41)</f>
        <v>6790123395</v>
      </c>
      <c r="S41" s="282">
        <f t="shared" si="21"/>
        <v>-12176371324.151295</v>
      </c>
      <c r="T41" s="9">
        <f t="shared" si="18"/>
        <v>1.4199681010858915E-8</v>
      </c>
      <c r="U41" s="287">
        <f t="shared" si="19"/>
        <v>2105301769843.3635</v>
      </c>
    </row>
    <row r="42" spans="1:21" ht="17" thickBot="1" x14ac:dyDescent="0.25">
      <c r="A42" s="145">
        <v>10</v>
      </c>
      <c r="B42" s="94">
        <f t="shared" si="15"/>
        <v>2357947691</v>
      </c>
      <c r="C42" s="111">
        <f t="shared" si="12"/>
        <v>23579476910</v>
      </c>
      <c r="D42" s="10">
        <f>SUM($C$33:C42)</f>
        <v>25937424600</v>
      </c>
      <c r="E42" s="9">
        <f t="shared" si="13"/>
        <v>-46512248338.950035</v>
      </c>
      <c r="F42" s="10">
        <f t="shared" si="14"/>
        <v>4.1438044456422714E-9</v>
      </c>
      <c r="G42" s="288">
        <f t="shared" si="16"/>
        <v>8964661973340.5703</v>
      </c>
      <c r="O42" s="100">
        <v>10</v>
      </c>
      <c r="P42" s="94">
        <f t="shared" si="20"/>
        <v>6111111106</v>
      </c>
      <c r="Q42" s="111">
        <f t="shared" si="17"/>
        <v>61111111105</v>
      </c>
      <c r="R42" s="10">
        <f>SUM($Q$33:Q42)</f>
        <v>67901234500</v>
      </c>
      <c r="S42" s="283">
        <f t="shared" si="21"/>
        <v>-121763788436.62379</v>
      </c>
      <c r="T42" s="10">
        <f t="shared" si="18"/>
        <v>1.5828816097002067E-9</v>
      </c>
      <c r="U42" s="288">
        <f t="shared" si="19"/>
        <v>23468467831807.434</v>
      </c>
    </row>
    <row r="43" spans="1:21" ht="17" thickBot="1" x14ac:dyDescent="0.25">
      <c r="U43" s="285"/>
    </row>
    <row r="44" spans="1:21" ht="17" thickBot="1" x14ac:dyDescent="0.25">
      <c r="A44" s="117" t="s">
        <v>135</v>
      </c>
      <c r="B44" s="118" t="s">
        <v>140</v>
      </c>
      <c r="C44" s="118" t="s">
        <v>139</v>
      </c>
      <c r="D44" s="170" t="s">
        <v>138</v>
      </c>
      <c r="E44" s="167" t="s">
        <v>151</v>
      </c>
      <c r="F44" s="168" t="s">
        <v>152</v>
      </c>
      <c r="G44" s="290" t="s">
        <v>47</v>
      </c>
      <c r="O44" s="29" t="s">
        <v>135</v>
      </c>
      <c r="P44" s="118" t="s">
        <v>140</v>
      </c>
      <c r="Q44" s="118" t="s">
        <v>139</v>
      </c>
      <c r="R44" s="118" t="s">
        <v>138</v>
      </c>
      <c r="S44" s="166" t="s">
        <v>151</v>
      </c>
      <c r="T44" s="168" t="s">
        <v>152</v>
      </c>
      <c r="U44" s="294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10</v>
      </c>
      <c r="D45" s="57">
        <f>SUM(C45:C45)</f>
        <v>10</v>
      </c>
      <c r="E45" s="57">
        <f t="shared" ref="E45:E54" si="23">D45/R7</f>
        <v>-15.679757732047261</v>
      </c>
      <c r="F45" s="8">
        <f t="shared" ref="F45:F54" si="24">U7/E45</f>
        <v>1.036002342692617</v>
      </c>
      <c r="G45" s="286">
        <f>E45*U7</f>
        <v>254.70615138921167</v>
      </c>
      <c r="O45" s="101">
        <v>1</v>
      </c>
      <c r="P45" s="109">
        <v>1</v>
      </c>
      <c r="Q45" s="110">
        <f>P45*10+45</f>
        <v>55</v>
      </c>
      <c r="R45" s="57">
        <f>SUM($Q$21)</f>
        <v>55</v>
      </c>
      <c r="S45" s="281">
        <f>R45/R7</f>
        <v>-86.238667526259931</v>
      </c>
      <c r="T45" s="8">
        <f>U7/S45</f>
        <v>0.18836406230774858</v>
      </c>
      <c r="U45" s="289">
        <f>S45*U7</f>
        <v>1400.8838326406642</v>
      </c>
    </row>
    <row r="46" spans="1:21" x14ac:dyDescent="0.2">
      <c r="A46" s="97">
        <v>2</v>
      </c>
      <c r="B46" s="93">
        <f t="shared" ref="B46:B54" si="25">B45*$O$2*2</f>
        <v>20</v>
      </c>
      <c r="C46" s="1">
        <f t="shared" si="22"/>
        <v>200</v>
      </c>
      <c r="D46" s="9">
        <f>SUM($C$45:C46)</f>
        <v>210</v>
      </c>
      <c r="E46" s="9">
        <f t="shared" si="23"/>
        <v>-365.41772450257582</v>
      </c>
      <c r="F46" s="9">
        <f t="shared" si="24"/>
        <v>9.4937018779397114E-2</v>
      </c>
      <c r="G46" s="287">
        <f t="shared" ref="G46:G54" si="26">E46*U8</f>
        <v>12676.950881632885</v>
      </c>
      <c r="O46" s="99">
        <v>2</v>
      </c>
      <c r="P46" s="93">
        <f>Q45*2</f>
        <v>110</v>
      </c>
      <c r="Q46" s="1">
        <f t="shared" ref="Q46:Q54" si="27">P46*10+45</f>
        <v>1145</v>
      </c>
      <c r="R46" s="9">
        <f>SUM($Q$45:Q46)</f>
        <v>1200</v>
      </c>
      <c r="S46" s="282">
        <f t="shared" ref="S46:S54" si="28">R46/R8</f>
        <v>-2088.1012828718617</v>
      </c>
      <c r="T46" s="9">
        <f t="shared" ref="T46:T54" si="29">U8/S46</f>
        <v>1.6613978286394496E-2</v>
      </c>
      <c r="U46" s="287">
        <f t="shared" ref="U46:U54" si="30">S46*U8</f>
        <v>72439.719323616475</v>
      </c>
    </row>
    <row r="47" spans="1:21" x14ac:dyDescent="0.2">
      <c r="A47" s="97">
        <v>3</v>
      </c>
      <c r="B47" s="93">
        <f t="shared" si="25"/>
        <v>400</v>
      </c>
      <c r="C47" s="1">
        <f t="shared" si="22"/>
        <v>4000</v>
      </c>
      <c r="D47" s="9">
        <f>SUM($C$45:C47)</f>
        <v>4210</v>
      </c>
      <c r="E47" s="9">
        <f t="shared" si="23"/>
        <v>-7499.328507203948</v>
      </c>
      <c r="F47" s="9">
        <f t="shared" si="24"/>
        <v>7.2097369906296664E-3</v>
      </c>
      <c r="G47" s="287">
        <f t="shared" si="26"/>
        <v>405475.08967704815</v>
      </c>
      <c r="O47" s="99">
        <v>3</v>
      </c>
      <c r="P47" s="93">
        <f t="shared" ref="P47:P54" si="31">Q46*2</f>
        <v>2290</v>
      </c>
      <c r="Q47" s="1">
        <f t="shared" si="27"/>
        <v>22945</v>
      </c>
      <c r="R47" s="9">
        <f>SUM($Q$45:Q47)</f>
        <v>24145</v>
      </c>
      <c r="S47" s="282">
        <f t="shared" si="28"/>
        <v>-43009.806842384642</v>
      </c>
      <c r="T47" s="9">
        <f t="shared" si="29"/>
        <v>1.2571129728950463E-3</v>
      </c>
      <c r="U47" s="287">
        <f t="shared" si="30"/>
        <v>2325462.2423402206</v>
      </c>
    </row>
    <row r="48" spans="1:21" x14ac:dyDescent="0.2">
      <c r="A48" s="97">
        <v>4</v>
      </c>
      <c r="B48" s="93">
        <f t="shared" si="25"/>
        <v>8000</v>
      </c>
      <c r="C48" s="1">
        <f t="shared" si="22"/>
        <v>80000</v>
      </c>
      <c r="D48" s="9">
        <f>SUM($C$45:C48)</f>
        <v>84210</v>
      </c>
      <c r="E48" s="9">
        <f t="shared" si="23"/>
        <v>-150786.43726194373</v>
      </c>
      <c r="F48" s="9">
        <f t="shared" si="24"/>
        <v>4.8921830202496908E-4</v>
      </c>
      <c r="G48" s="287">
        <f t="shared" si="26"/>
        <v>11123136.219623454</v>
      </c>
      <c r="O48" s="99">
        <v>4</v>
      </c>
      <c r="P48" s="93">
        <f t="shared" si="31"/>
        <v>45890</v>
      </c>
      <c r="Q48" s="1">
        <f t="shared" si="27"/>
        <v>458945</v>
      </c>
      <c r="R48" s="9">
        <f>SUM($Q$45:Q48)</f>
        <v>483090</v>
      </c>
      <c r="S48" s="282">
        <f t="shared" si="28"/>
        <v>-865021.01860672596</v>
      </c>
      <c r="T48" s="9">
        <f t="shared" si="29"/>
        <v>8.5278257081543085E-5</v>
      </c>
      <c r="U48" s="287">
        <f t="shared" si="30"/>
        <v>63810424.846667781</v>
      </c>
    </row>
    <row r="49" spans="1:21" x14ac:dyDescent="0.2">
      <c r="A49" s="97">
        <v>5</v>
      </c>
      <c r="B49" s="93">
        <f t="shared" si="25"/>
        <v>160000</v>
      </c>
      <c r="C49" s="1">
        <f t="shared" si="22"/>
        <v>1600000</v>
      </c>
      <c r="D49" s="9">
        <f>SUM($C$45:C49)</f>
        <v>1684210</v>
      </c>
      <c r="E49" s="9">
        <f t="shared" si="23"/>
        <v>-3019220.2269336237</v>
      </c>
      <c r="F49" s="9">
        <f t="shared" si="24"/>
        <v>3.0990123937554291E-5</v>
      </c>
      <c r="G49" s="287">
        <f t="shared" si="26"/>
        <v>282496387.00911236</v>
      </c>
      <c r="O49" s="99">
        <v>5</v>
      </c>
      <c r="P49" s="93">
        <f t="shared" si="31"/>
        <v>917890</v>
      </c>
      <c r="Q49" s="1">
        <f t="shared" si="27"/>
        <v>9178945</v>
      </c>
      <c r="R49" s="9">
        <f>SUM($Q$45:Q49)</f>
        <v>9662035</v>
      </c>
      <c r="S49" s="282">
        <f t="shared" si="28"/>
        <v>-17320768.494036146</v>
      </c>
      <c r="T49" s="9">
        <f t="shared" si="29"/>
        <v>5.4019548301023868E-6</v>
      </c>
      <c r="U49" s="287">
        <f t="shared" si="30"/>
        <v>1620635181.2752502</v>
      </c>
    </row>
    <row r="50" spans="1:21" x14ac:dyDescent="0.2">
      <c r="A50" s="97">
        <v>6</v>
      </c>
      <c r="B50" s="93">
        <f t="shared" si="25"/>
        <v>3200000</v>
      </c>
      <c r="C50" s="1">
        <f t="shared" si="22"/>
        <v>32000000</v>
      </c>
      <c r="D50" s="9">
        <f>SUM($C$45:C50)</f>
        <v>33684210</v>
      </c>
      <c r="E50" s="9">
        <f t="shared" si="23"/>
        <v>-60399801.802942693</v>
      </c>
      <c r="F50" s="9">
        <f t="shared" si="24"/>
        <v>1.8773701361428202E-6</v>
      </c>
      <c r="G50" s="287">
        <f t="shared" si="26"/>
        <v>6848901687.5647745</v>
      </c>
      <c r="O50" s="99">
        <v>6</v>
      </c>
      <c r="P50" s="93">
        <f t="shared" si="31"/>
        <v>18357890</v>
      </c>
      <c r="Q50" s="1">
        <f t="shared" si="27"/>
        <v>183578945</v>
      </c>
      <c r="R50" s="9">
        <f>SUM($Q$45:Q50)</f>
        <v>193240980</v>
      </c>
      <c r="S50" s="282">
        <f t="shared" si="28"/>
        <v>-346504100.65150446</v>
      </c>
      <c r="T50" s="9">
        <f t="shared" si="29"/>
        <v>3.2724802944780839E-7</v>
      </c>
      <c r="U50" s="287">
        <f t="shared" si="30"/>
        <v>39291064686.649048</v>
      </c>
    </row>
    <row r="51" spans="1:21" x14ac:dyDescent="0.2">
      <c r="A51" s="97">
        <v>7</v>
      </c>
      <c r="B51" s="93">
        <f t="shared" si="25"/>
        <v>64000000</v>
      </c>
      <c r="C51" s="1">
        <f t="shared" si="22"/>
        <v>640000000</v>
      </c>
      <c r="D51" s="9">
        <f>SUM($C$45:C51)</f>
        <v>673684210</v>
      </c>
      <c r="E51" s="9">
        <f t="shared" si="23"/>
        <v>-1208064098.5210168</v>
      </c>
      <c r="F51" s="9">
        <f t="shared" si="24"/>
        <v>1.1028157565773886E-7</v>
      </c>
      <c r="G51" s="287">
        <f t="shared" si="26"/>
        <v>160947012102.04227</v>
      </c>
      <c r="O51" s="99">
        <v>7</v>
      </c>
      <c r="P51" s="93">
        <f t="shared" si="31"/>
        <v>367157890</v>
      </c>
      <c r="Q51" s="1">
        <f t="shared" si="27"/>
        <v>3671578945</v>
      </c>
      <c r="R51" s="9">
        <f>SUM($Q$45:Q51)</f>
        <v>3864819925</v>
      </c>
      <c r="S51" s="282">
        <f t="shared" si="28"/>
        <v>-6930472956.5224466</v>
      </c>
      <c r="T51" s="9">
        <f t="shared" si="29"/>
        <v>1.9223394004453917E-8</v>
      </c>
      <c r="U51" s="287">
        <f t="shared" si="30"/>
        <v>923327591782.48962</v>
      </c>
    </row>
    <row r="52" spans="1:21" x14ac:dyDescent="0.2">
      <c r="A52" s="97">
        <v>8</v>
      </c>
      <c r="B52" s="93">
        <f t="shared" si="25"/>
        <v>1280000000</v>
      </c>
      <c r="C52" s="1">
        <f t="shared" si="22"/>
        <v>12800000000</v>
      </c>
      <c r="D52" s="9">
        <f>SUM($C$45:C52)</f>
        <v>13473684210</v>
      </c>
      <c r="E52" s="9">
        <f t="shared" si="23"/>
        <v>-24161582998.60511</v>
      </c>
      <c r="F52" s="9">
        <f t="shared" si="24"/>
        <v>6.3350006670191199E-9</v>
      </c>
      <c r="G52" s="287">
        <f t="shared" si="26"/>
        <v>3698259948539.2109</v>
      </c>
      <c r="O52" s="99">
        <v>8</v>
      </c>
      <c r="P52" s="93">
        <f t="shared" si="31"/>
        <v>7343157890</v>
      </c>
      <c r="Q52" s="1">
        <f t="shared" si="27"/>
        <v>73431578945</v>
      </c>
      <c r="R52" s="9">
        <f>SUM($Q$45:Q52)</f>
        <v>77296398870</v>
      </c>
      <c r="S52" s="282">
        <f t="shared" si="28"/>
        <v>-138611186642.23102</v>
      </c>
      <c r="T52" s="9">
        <f t="shared" si="29"/>
        <v>1.1042661715859441E-9</v>
      </c>
      <c r="U52" s="287">
        <f t="shared" si="30"/>
        <v>21216333383787.426</v>
      </c>
    </row>
    <row r="53" spans="1:21" x14ac:dyDescent="0.2">
      <c r="A53" s="97">
        <v>9</v>
      </c>
      <c r="B53" s="93">
        <f t="shared" si="25"/>
        <v>25600000000</v>
      </c>
      <c r="C53" s="1">
        <f t="shared" si="22"/>
        <v>256000000000</v>
      </c>
      <c r="D53" s="9">
        <f>SUM($C$45:C53)</f>
        <v>269473684210</v>
      </c>
      <c r="E53" s="9">
        <f t="shared" si="23"/>
        <v>-483232991530.64148</v>
      </c>
      <c r="F53" s="9">
        <f t="shared" si="24"/>
        <v>3.5779963641359668E-10</v>
      </c>
      <c r="G53" s="287">
        <f t="shared" si="26"/>
        <v>83551268701726.547</v>
      </c>
      <c r="O53" s="99">
        <v>9</v>
      </c>
      <c r="P53" s="93">
        <f t="shared" si="31"/>
        <v>146863157890</v>
      </c>
      <c r="Q53" s="1">
        <f t="shared" si="27"/>
        <v>1468631578945</v>
      </c>
      <c r="R53" s="9">
        <f>SUM($Q$45:Q53)</f>
        <v>1545927977815</v>
      </c>
      <c r="S53" s="282">
        <f t="shared" si="28"/>
        <v>-2772231372427.0347</v>
      </c>
      <c r="T53" s="9">
        <f t="shared" si="29"/>
        <v>6.2368743962863053E-11</v>
      </c>
      <c r="U53" s="287">
        <f t="shared" si="30"/>
        <v>479320436229611.69</v>
      </c>
    </row>
    <row r="54" spans="1:21" ht="17" thickBot="1" x14ac:dyDescent="0.25">
      <c r="A54" s="145">
        <v>10</v>
      </c>
      <c r="B54" s="94">
        <f t="shared" si="25"/>
        <v>512000000000</v>
      </c>
      <c r="C54" s="111">
        <f t="shared" si="22"/>
        <v>5120000000000</v>
      </c>
      <c r="D54" s="10">
        <f>SUM($C$45:C54)</f>
        <v>5389473684210</v>
      </c>
      <c r="E54" s="10">
        <f t="shared" si="23"/>
        <v>-9664665720752.0703</v>
      </c>
      <c r="F54" s="10">
        <f t="shared" si="24"/>
        <v>1.99425067573636E-11</v>
      </c>
      <c r="G54" s="288">
        <f t="shared" si="26"/>
        <v>1862745069653410.8</v>
      </c>
      <c r="O54" s="100">
        <v>10</v>
      </c>
      <c r="P54" s="94">
        <f t="shared" si="31"/>
        <v>2937263157890</v>
      </c>
      <c r="Q54" s="111">
        <f t="shared" si="27"/>
        <v>29372631578945</v>
      </c>
      <c r="R54" s="10">
        <f>SUM($Q$45:Q54)</f>
        <v>30918559556760</v>
      </c>
      <c r="S54" s="283">
        <f t="shared" si="28"/>
        <v>-55444661240061.508</v>
      </c>
      <c r="T54" s="10">
        <f t="shared" si="29"/>
        <v>3.476216774222006E-12</v>
      </c>
      <c r="U54" s="288">
        <f t="shared" si="30"/>
        <v>1.0686274346950854E+16</v>
      </c>
    </row>
  </sheetData>
  <mergeCells count="2">
    <mergeCell ref="A18:F18"/>
    <mergeCell ref="O18:T18"/>
  </mergeCells>
  <conditionalFormatting sqref="F45:F54">
    <cfRule type="cellIs" dxfId="138" priority="53" operator="equal">
      <formula>MAX($F$45:$F$54)</formula>
    </cfRule>
  </conditionalFormatting>
  <conditionalFormatting sqref="F21:F30">
    <cfRule type="cellIs" dxfId="137" priority="51" operator="equal">
      <formula>MAX($F$21:$F$30)</formula>
    </cfRule>
  </conditionalFormatting>
  <conditionalFormatting sqref="E33:E42">
    <cfRule type="cellIs" dxfId="136" priority="49" stopIfTrue="1" operator="lessThan">
      <formula>0</formula>
    </cfRule>
    <cfRule type="cellIs" dxfId="135" priority="50" operator="equal">
      <formula>MIN($E$33:$E$42)</formula>
    </cfRule>
  </conditionalFormatting>
  <conditionalFormatting sqref="E21:E30">
    <cfRule type="cellIs" dxfId="134" priority="45" stopIfTrue="1" operator="lessThan">
      <formula>0</formula>
    </cfRule>
    <cfRule type="cellIs" dxfId="133" priority="46" operator="equal">
      <formula>MIN($E$21:$E$30)</formula>
    </cfRule>
  </conditionalFormatting>
  <conditionalFormatting sqref="E45:E54">
    <cfRule type="cellIs" dxfId="132" priority="41" stopIfTrue="1" operator="lessThan">
      <formula>0</formula>
    </cfRule>
    <cfRule type="cellIs" dxfId="131" priority="42" operator="equal">
      <formula>MIN($E$45:$E$54)</formula>
    </cfRule>
  </conditionalFormatting>
  <conditionalFormatting sqref="F33:F42">
    <cfRule type="cellIs" dxfId="130" priority="31" operator="lessThanOrEqual">
      <formula>0</formula>
    </cfRule>
    <cfRule type="cellIs" dxfId="129" priority="32" operator="equal">
      <formula>MAX($F$33:$F$42)</formula>
    </cfRule>
  </conditionalFormatting>
  <conditionalFormatting sqref="S7:T16">
    <cfRule type="cellIs" dxfId="128" priority="13" operator="lessThanOrEqual">
      <formula>0</formula>
    </cfRule>
    <cfRule type="cellIs" dxfId="127" priority="14" operator="greaterThan">
      <formula>0</formula>
    </cfRule>
  </conditionalFormatting>
  <conditionalFormatting sqref="U7:U16">
    <cfRule type="cellIs" dxfId="126" priority="15" operator="lessThanOrEqual">
      <formula>0</formula>
    </cfRule>
    <cfRule type="cellIs" dxfId="125" priority="16" operator="greaterThan">
      <formula>0</formula>
    </cfRule>
  </conditionalFormatting>
  <conditionalFormatting sqref="R7:R16">
    <cfRule type="cellIs" dxfId="124" priority="17" operator="lessThanOrEqual">
      <formula>0</formula>
    </cfRule>
    <cfRule type="cellIs" dxfId="123" priority="18" operator="greaterThan">
      <formula>0</formula>
    </cfRule>
  </conditionalFormatting>
  <conditionalFormatting sqref="T21:T30">
    <cfRule type="cellIs" dxfId="122" priority="9" operator="equal">
      <formula>MAX($T$21:$T$30)</formula>
    </cfRule>
  </conditionalFormatting>
  <conditionalFormatting sqref="S33:S42">
    <cfRule type="cellIs" dxfId="121" priority="7" stopIfTrue="1" operator="lessThan">
      <formula>0</formula>
    </cfRule>
    <cfRule type="cellIs" dxfId="120" priority="8" operator="equal">
      <formula>MIN($E$21:$E$30)</formula>
    </cfRule>
  </conditionalFormatting>
  <conditionalFormatting sqref="T33:T42">
    <cfRule type="cellIs" dxfId="119" priority="6" operator="equal">
      <formula>MAX($T$21:$T$30)</formula>
    </cfRule>
  </conditionalFormatting>
  <conditionalFormatting sqref="S45:S54">
    <cfRule type="cellIs" dxfId="118" priority="4" stopIfTrue="1" operator="lessThan">
      <formula>0</formula>
    </cfRule>
    <cfRule type="cellIs" dxfId="117" priority="5" operator="equal">
      <formula>MIN($E$21:$E$30)</formula>
    </cfRule>
  </conditionalFormatting>
  <conditionalFormatting sqref="T45:T54">
    <cfRule type="cellIs" dxfId="116" priority="3" operator="equal">
      <formula>MAX($T$21:$T$30)</formula>
    </cfRule>
  </conditionalFormatting>
  <conditionalFormatting sqref="S21:S30">
    <cfRule type="cellIs" dxfId="115" priority="1" stopIfTrue="1" operator="lessThan">
      <formula>0</formula>
    </cfRule>
    <cfRule type="cellIs" dxfId="114" priority="2" operator="equal">
      <formula>MIN($E$21:$E$30)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A1:AA71"/>
  <sheetViews>
    <sheetView topLeftCell="A24" workbookViewId="0">
      <selection activeCell="J68" sqref="J68"/>
    </sheetView>
  </sheetViews>
  <sheetFormatPr baseColWidth="10" defaultColWidth="8.83203125" defaultRowHeight="16" x14ac:dyDescent="0.2"/>
  <cols>
    <col min="1" max="27" width="6.6640625" customWidth="1"/>
  </cols>
  <sheetData>
    <row r="1" spans="1:27" x14ac:dyDescent="0.2">
      <c r="B1" s="357" t="s">
        <v>48</v>
      </c>
      <c r="C1" s="357"/>
      <c r="D1" s="357"/>
      <c r="E1" s="357"/>
      <c r="F1" s="357"/>
      <c r="G1" s="357"/>
      <c r="H1" s="357"/>
      <c r="I1" s="357"/>
      <c r="J1" s="357"/>
      <c r="L1" s="357" t="s">
        <v>48</v>
      </c>
      <c r="M1" s="357"/>
      <c r="N1" s="357"/>
      <c r="O1" s="357"/>
      <c r="P1" s="357"/>
      <c r="Q1" s="357"/>
      <c r="R1" s="357"/>
      <c r="S1" s="357"/>
      <c r="U1" s="357" t="s">
        <v>48</v>
      </c>
      <c r="V1" s="357"/>
      <c r="W1" s="357"/>
      <c r="X1" s="357"/>
      <c r="Y1" s="357"/>
      <c r="Z1" s="357"/>
      <c r="AA1" s="357"/>
    </row>
    <row r="2" spans="1:27" x14ac:dyDescent="0.2">
      <c r="A2" s="31" t="s">
        <v>57</v>
      </c>
      <c r="B2" s="49" t="s">
        <v>142</v>
      </c>
      <c r="C2" s="49" t="s">
        <v>143</v>
      </c>
      <c r="D2" s="49" t="s">
        <v>144</v>
      </c>
      <c r="E2" s="49" t="s">
        <v>145</v>
      </c>
      <c r="F2" s="49" t="s">
        <v>146</v>
      </c>
      <c r="G2" s="49" t="s">
        <v>147</v>
      </c>
      <c r="H2" s="49" t="s">
        <v>148</v>
      </c>
      <c r="I2" s="49" t="s">
        <v>149</v>
      </c>
      <c r="J2" s="49" t="s">
        <v>150</v>
      </c>
      <c r="K2" s="31" t="s">
        <v>57</v>
      </c>
      <c r="L2" s="49" t="s">
        <v>165</v>
      </c>
      <c r="M2" s="49" t="s">
        <v>166</v>
      </c>
      <c r="N2" s="49" t="s">
        <v>167</v>
      </c>
      <c r="O2" s="49" t="s">
        <v>168</v>
      </c>
      <c r="P2" s="49" t="s">
        <v>169</v>
      </c>
      <c r="Q2" s="49" t="s">
        <v>170</v>
      </c>
      <c r="R2" s="49" t="s">
        <v>171</v>
      </c>
      <c r="S2" s="49" t="s">
        <v>172</v>
      </c>
      <c r="T2" s="31" t="s">
        <v>57</v>
      </c>
      <c r="U2" s="49" t="s">
        <v>176</v>
      </c>
      <c r="V2" s="49" t="s">
        <v>177</v>
      </c>
      <c r="W2" s="49" t="s">
        <v>178</v>
      </c>
      <c r="X2" s="49" t="s">
        <v>179</v>
      </c>
      <c r="Y2" s="49" t="s">
        <v>180</v>
      </c>
      <c r="Z2" s="49" t="s">
        <v>181</v>
      </c>
      <c r="AA2" s="49" t="s">
        <v>182</v>
      </c>
    </row>
    <row r="3" spans="1:27" x14ac:dyDescent="0.2">
      <c r="A3" s="279">
        <v>1</v>
      </c>
      <c r="B3" s="1">
        <f>'1x2'!U7</f>
        <v>-8.627806172452579E-2</v>
      </c>
      <c r="C3" s="1">
        <f>'1x3'!U7</f>
        <v>6.2990515324159002E-2</v>
      </c>
      <c r="D3" s="1">
        <f>'1x4'!U7</f>
        <v>0.22489879193941786</v>
      </c>
      <c r="E3" s="1">
        <f>'1x5'!U7</f>
        <v>0.38539833900542586</v>
      </c>
      <c r="F3" s="1">
        <f>'1x6'!U7</f>
        <v>0.54007226280476051</v>
      </c>
      <c r="G3" s="1">
        <f>'1x7'!U7</f>
        <v>0.68828102600183128</v>
      </c>
      <c r="H3" s="1">
        <f>'1x8'!U7</f>
        <v>0.8308425759549789</v>
      </c>
      <c r="I3" s="1">
        <f>'1x9'!U7</f>
        <v>0.96898654563276132</v>
      </c>
      <c r="J3" s="1">
        <f>'1x10'!U7</f>
        <v>1.1038959403643753</v>
      </c>
      <c r="K3" s="279">
        <v>1</v>
      </c>
      <c r="L3" s="1">
        <f>'2x3'!U7</f>
        <v>-1.6474127006424895</v>
      </c>
      <c r="M3" s="1">
        <f>'2x4'!U7</f>
        <v>-2.0794192697122256</v>
      </c>
      <c r="N3" s="1">
        <f>'2x5'!U7</f>
        <v>-2.5377746976048519</v>
      </c>
      <c r="O3" s="1">
        <f>'2x6'!U7</f>
        <v>-3.0237438709843829</v>
      </c>
      <c r="P3" s="1">
        <f>'2x7'!U7</f>
        <v>-3.5330454322254354</v>
      </c>
      <c r="Q3" s="1">
        <f>'2x8'!U7</f>
        <v>-4.0601850456380451</v>
      </c>
      <c r="R3" s="1">
        <f>'2x9'!U7</f>
        <v>-4.6001678723592141</v>
      </c>
      <c r="S3" s="1">
        <f>'2x10'!U7</f>
        <v>-5.1490282593588841</v>
      </c>
      <c r="T3" s="279">
        <v>1</v>
      </c>
      <c r="U3" s="1">
        <f>'3x4'!U7</f>
        <v>-6.0720066559623138</v>
      </c>
      <c r="V3" s="1">
        <f>'3x5'!U7</f>
        <v>-7.7148859708677096</v>
      </c>
      <c r="W3" s="1">
        <f>'3x6'!U7</f>
        <v>-9.3889749204073958</v>
      </c>
      <c r="X3" s="1">
        <f>'3x7'!U7</f>
        <v>-11.08501341208054</v>
      </c>
      <c r="Y3" s="1">
        <f>'3x8'!U7</f>
        <v>-12.795994942560228</v>
      </c>
      <c r="Z3" s="1">
        <f>'3x9'!U7</f>
        <v>-14.516899546489316</v>
      </c>
      <c r="AA3" s="1">
        <f>'3x10'!U7</f>
        <v>-16.244265743253639</v>
      </c>
    </row>
    <row r="4" spans="1:27" x14ac:dyDescent="0.2">
      <c r="A4">
        <v>2</v>
      </c>
      <c r="B4" s="1">
        <f>'1x2'!U8</f>
        <v>-0.17578976899459353</v>
      </c>
      <c r="C4" s="1">
        <f>'1x3'!U8</f>
        <v>0.12454182284198678</v>
      </c>
      <c r="D4" s="1">
        <f>'1x4'!U8</f>
        <v>0.43704759587136754</v>
      </c>
      <c r="E4" s="1">
        <f>'1x5'!U8</f>
        <v>0.74169821020308779</v>
      </c>
      <c r="F4" s="1">
        <f>'1x6'!U8</f>
        <v>1.033692478955027</v>
      </c>
      <c r="G4" s="1">
        <f>'1x7'!U8</f>
        <v>1.313301067329899</v>
      </c>
      <c r="H4" s="1">
        <f>'1x8'!U8</f>
        <v>1.5825586478386988</v>
      </c>
      <c r="I4" s="1">
        <f>'1x9'!U8</f>
        <v>1.8438710292374054</v>
      </c>
      <c r="J4" s="1">
        <f>'1x10'!U8</f>
        <v>2.099416521705928</v>
      </c>
      <c r="K4">
        <v>2</v>
      </c>
      <c r="L4" s="1">
        <f>'2x3'!U8</f>
        <v>-3.5491679723167415</v>
      </c>
      <c r="M4" s="1">
        <f>'2x4'!U8</f>
        <v>-4.4755665502086046</v>
      </c>
      <c r="N4" s="1">
        <f>'2x5'!U8</f>
        <v>-5.4571213588186129</v>
      </c>
      <c r="O4" s="1">
        <f>'2x6'!U8</f>
        <v>-6.4980775204370609</v>
      </c>
      <c r="P4" s="1">
        <f>'2x7'!U8</f>
        <v>-7.5896464603716298</v>
      </c>
      <c r="Q4" s="1">
        <f>'2x8'!U8</f>
        <v>-8.720046508987183</v>
      </c>
      <c r="R4" s="1">
        <f>'2x9'!U8</f>
        <v>-9.8784540508915395</v>
      </c>
      <c r="S4" s="1">
        <f>'2x10'!U8</f>
        <v>-11.056240372406927</v>
      </c>
      <c r="T4">
        <v>2</v>
      </c>
      <c r="U4" s="1">
        <f>'3x4'!U8</f>
        <v>-12.925649521719228</v>
      </c>
      <c r="V4" s="1">
        <f>'3x5'!U8</f>
        <v>-16.44792800765002</v>
      </c>
      <c r="W4" s="1">
        <f>'3x6'!U8</f>
        <v>-20.033261938443729</v>
      </c>
      <c r="X4" s="1">
        <f>'3x7'!U8</f>
        <v>-23.662562029294218</v>
      </c>
      <c r="Y4" s="1">
        <f>'3x8'!U8</f>
        <v>-27.321597365199128</v>
      </c>
      <c r="Z4" s="1">
        <f>'3x9'!U8</f>
        <v>-31.000270030402341</v>
      </c>
      <c r="AA4" s="1">
        <f>'3x10'!U8</f>
        <v>-34.691669373425604</v>
      </c>
    </row>
    <row r="5" spans="1:27" x14ac:dyDescent="0.2">
      <c r="A5">
        <v>3</v>
      </c>
      <c r="B5" s="1">
        <f>'1x2'!U9</f>
        <v>-0.26851202260338125</v>
      </c>
      <c r="C5" s="1">
        <f>'1x3'!U9</f>
        <v>0.18465708860972363</v>
      </c>
      <c r="D5" s="1">
        <f>'1x4'!U9</f>
        <v>0.63660448067465492</v>
      </c>
      <c r="E5" s="1">
        <f>'1x5'!U9</f>
        <v>1.0695109842149506</v>
      </c>
      <c r="F5" s="1">
        <f>'1x6'!U9</f>
        <v>1.4820965534837072</v>
      </c>
      <c r="G5" s="1">
        <f>'1x7'!U9</f>
        <v>1.8769563657318598</v>
      </c>
      <c r="H5" s="1">
        <f>'1x8'!U9</f>
        <v>2.2576756579831194</v>
      </c>
      <c r="I5" s="1">
        <f>'1x9'!U9</f>
        <v>2.6277657570091826</v>
      </c>
      <c r="J5" s="1">
        <f>'1x10'!U9</f>
        <v>2.9902162042994807</v>
      </c>
      <c r="K5">
        <v>3</v>
      </c>
      <c r="L5" s="1">
        <f>'2x3'!U9</f>
        <v>-5.6219372500261819</v>
      </c>
      <c r="M5" s="1">
        <f>'2x4'!U9</f>
        <v>-7.0992092501570161</v>
      </c>
      <c r="N5" s="1">
        <f>'2x5'!U9</f>
        <v>-8.6597737557111607</v>
      </c>
      <c r="O5" s="1">
        <f>'2x6'!U9</f>
        <v>-10.312879154494988</v>
      </c>
      <c r="P5" s="1">
        <f>'2x7'!U9</f>
        <v>-12.045647889855253</v>
      </c>
      <c r="Q5" s="1">
        <f>'2x8'!U9</f>
        <v>-13.839807318055378</v>
      </c>
      <c r="R5" s="1">
        <f>'2x9'!U9</f>
        <v>-15.678340687118524</v>
      </c>
      <c r="S5" s="1">
        <f>'2x10'!U9</f>
        <v>-17.547610890733466</v>
      </c>
      <c r="T5">
        <v>3</v>
      </c>
      <c r="U5" s="1">
        <f>'3x4'!U9</f>
        <v>-20.078676283167965</v>
      </c>
      <c r="V5" s="1">
        <f>'3x5'!U9</f>
        <v>-25.588751583630273</v>
      </c>
      <c r="W5" s="1">
        <f>'3x6'!U9</f>
        <v>-31.192627875771542</v>
      </c>
      <c r="X5" s="1">
        <f>'3x7'!U9</f>
        <v>-36.860772286989302</v>
      </c>
      <c r="Y5" s="1">
        <f>'3x8'!U9</f>
        <v>-42.571840419978273</v>
      </c>
      <c r="Z5" s="1">
        <f>'3x9'!U9</f>
        <v>-48.310984683013587</v>
      </c>
      <c r="AA5" s="1">
        <f>'3x10'!U9</f>
        <v>-54.068186143271859</v>
      </c>
    </row>
    <row r="6" spans="1:27" x14ac:dyDescent="0.2">
      <c r="A6">
        <v>4</v>
      </c>
      <c r="B6" s="1">
        <f>'1x2'!U10</f>
        <v>-0.36441281264094183</v>
      </c>
      <c r="C6" s="1">
        <f>'1x3'!U10</f>
        <v>0.24334073118981436</v>
      </c>
      <c r="D6" s="1">
        <f>'1x4'!U10</f>
        <v>0.82378684469928753</v>
      </c>
      <c r="E6" s="1">
        <f>'1x5'!U10</f>
        <v>1.3696671248703671</v>
      </c>
      <c r="F6" s="1">
        <f>'1x6'!U10</f>
        <v>1.8869497490444314</v>
      </c>
      <c r="G6" s="1">
        <f>'1x7'!U10</f>
        <v>2.3817894594867255</v>
      </c>
      <c r="H6" s="1">
        <f>'1x8'!U10</f>
        <v>2.8595728003385368</v>
      </c>
      <c r="I6" s="1">
        <f>'1x9'!U10</f>
        <v>3.3248250380058835</v>
      </c>
      <c r="J6" s="1">
        <f>'1x10'!U10</f>
        <v>3.7811683743050519</v>
      </c>
      <c r="K6">
        <v>4</v>
      </c>
      <c r="L6" s="1">
        <f>'2x3'!U10</f>
        <v>-7.796815552422883</v>
      </c>
      <c r="M6" s="1">
        <f>'2x4'!U10</f>
        <v>-9.870178940405701</v>
      </c>
      <c r="N6" s="1">
        <f>'2x5'!U10</f>
        <v>-12.053640328797163</v>
      </c>
      <c r="O6" s="1">
        <f>'2x6'!U10</f>
        <v>-14.362597287512395</v>
      </c>
      <c r="P6" s="1">
        <f>'2x7'!U10</f>
        <v>-16.780572306568917</v>
      </c>
      <c r="Q6" s="1">
        <f>'2x8'!U10</f>
        <v>-19.282899773230316</v>
      </c>
      <c r="R6" s="1">
        <f>'2x9'!U10</f>
        <v>-21.846316537654335</v>
      </c>
      <c r="S6" s="1">
        <f>'2x10'!U10</f>
        <v>-24.452088777025505</v>
      </c>
      <c r="T6">
        <v>4</v>
      </c>
      <c r="U6" s="1">
        <f>'3x4'!U10</f>
        <v>-27.32519146887887</v>
      </c>
      <c r="V6" s="1">
        <f>'3x5'!U10</f>
        <v>-34.863347298847316</v>
      </c>
      <c r="W6" s="1">
        <f>'3x6'!U10</f>
        <v>-42.5255604605806</v>
      </c>
      <c r="X6" s="1">
        <f>'3x7'!U10</f>
        <v>-50.271260477059947</v>
      </c>
      <c r="Y6" s="1">
        <f>'3x8'!U10</f>
        <v>-58.071994367835885</v>
      </c>
      <c r="Z6" s="1">
        <f>'3x9'!U10</f>
        <v>-65.908368221727713</v>
      </c>
      <c r="AA6" s="1">
        <f>'3x10'!U10</f>
        <v>-73.767484805682642</v>
      </c>
    </row>
    <row r="7" spans="1:27" x14ac:dyDescent="0.2">
      <c r="A7">
        <v>5</v>
      </c>
      <c r="B7" s="1">
        <f>'1x2'!U11</f>
        <v>-0.46345153963306096</v>
      </c>
      <c r="C7" s="1">
        <f>'1x3'!U11</f>
        <v>0.30059840783724745</v>
      </c>
      <c r="D7" s="1">
        <f>'1x4'!U11</f>
        <v>0.99886767809836208</v>
      </c>
      <c r="E7" s="1">
        <f>'1x5'!U11</f>
        <v>1.6431924946102683</v>
      </c>
      <c r="F7" s="1">
        <f>'1x6'!U11</f>
        <v>2.2502873438078606</v>
      </c>
      <c r="G7" s="1">
        <f>'1x7'!U11</f>
        <v>2.8308879584925997</v>
      </c>
      <c r="H7" s="1">
        <f>'1x8'!U11</f>
        <v>3.39233836110499</v>
      </c>
      <c r="I7" s="1">
        <f>'1x9'!U11</f>
        <v>3.9400641009662074</v>
      </c>
      <c r="J7" s="1">
        <f>'1x10'!U11</f>
        <v>4.478149114340761</v>
      </c>
      <c r="K7">
        <v>5</v>
      </c>
      <c r="L7" s="1">
        <f>'2x3'!U11</f>
        <v>-10.027306633192346</v>
      </c>
      <c r="M7" s="1">
        <f>'2x4'!U11</f>
        <v>-12.728951708215595</v>
      </c>
      <c r="N7" s="1">
        <f>'2x5'!U11</f>
        <v>-15.566886083475994</v>
      </c>
      <c r="O7" s="1">
        <f>'2x6'!U11</f>
        <v>-18.562686040270439</v>
      </c>
      <c r="P7" s="1">
        <f>'2x7'!U11</f>
        <v>-21.69650217569626</v>
      </c>
      <c r="Q7" s="1">
        <f>'2x8'!U11</f>
        <v>-24.937425129413004</v>
      </c>
      <c r="R7" s="1">
        <f>'2x9'!U11</f>
        <v>-28.256026440182112</v>
      </c>
      <c r="S7" s="1">
        <f>'2x10'!U11</f>
        <v>-31.628520680977239</v>
      </c>
      <c r="T7">
        <v>5</v>
      </c>
      <c r="U7" s="1">
        <f>'3x4'!U11</f>
        <v>-34.597479701261605</v>
      </c>
      <c r="V7" s="1">
        <f>'3x5'!U11</f>
        <v>-44.176722333924829</v>
      </c>
      <c r="W7" s="1">
        <f>'3x6'!U11</f>
        <v>-53.91020756855545</v>
      </c>
      <c r="X7" s="1">
        <f>'3x7'!U11</f>
        <v>-63.745967260782614</v>
      </c>
      <c r="Y7" s="1">
        <f>'3x8'!U11</f>
        <v>-73.648398688594654</v>
      </c>
      <c r="Z7" s="1">
        <f>'3x9'!U11</f>
        <v>-83.593637789493656</v>
      </c>
      <c r="AA7" s="1">
        <f>'3x10'!U11</f>
        <v>-93.566009027443798</v>
      </c>
    </row>
    <row r="8" spans="1:27" x14ac:dyDescent="0.2">
      <c r="A8">
        <v>6</v>
      </c>
      <c r="B8" s="1">
        <f>'1x2'!U12</f>
        <v>-0.56557941651546706</v>
      </c>
      <c r="C8" s="1">
        <f>'1x3'!U12</f>
        <v>0.35643699688463215</v>
      </c>
      <c r="D8" s="1">
        <f>'1x4'!U12</f>
        <v>1.1621709764711534</v>
      </c>
      <c r="E8" s="1">
        <f>'1x5'!U12</f>
        <v>1.8912802225144034</v>
      </c>
      <c r="F8" s="1">
        <f>'1x6'!U12</f>
        <v>2.5744456870216688</v>
      </c>
      <c r="G8" s="1">
        <f>'1x7'!U12</f>
        <v>3.2277684771909545</v>
      </c>
      <c r="H8" s="1">
        <f>'1x8'!U12</f>
        <v>3.8606074000722046</v>
      </c>
      <c r="I8" s="1">
        <f>'1x9'!U12</f>
        <v>4.4791539731294652</v>
      </c>
      <c r="J8" s="1">
        <f>'1x10'!U12</f>
        <v>5.0877928945463289</v>
      </c>
      <c r="K8">
        <v>6</v>
      </c>
      <c r="L8" s="1">
        <f>'2x3'!U12</f>
        <v>-12.286074695461188</v>
      </c>
      <c r="M8" s="1">
        <f>'2x4'!U12</f>
        <v>-15.636788056002619</v>
      </c>
      <c r="N8" s="1">
        <f>'2x5'!U12</f>
        <v>-19.150207103557921</v>
      </c>
      <c r="O8" s="1">
        <f>'2x6'!U12</f>
        <v>-22.853423847985589</v>
      </c>
      <c r="P8" s="1">
        <f>'2x7'!U12</f>
        <v>-26.723163546231305</v>
      </c>
      <c r="Q8" s="1">
        <f>'2x8'!U12</f>
        <v>-30.722360606713703</v>
      </c>
      <c r="R8" s="1">
        <f>'2x9'!U12</f>
        <v>-34.815523716773839</v>
      </c>
      <c r="S8" s="1">
        <f>'2x10'!U12</f>
        <v>-38.973903013940614</v>
      </c>
      <c r="T8">
        <v>6</v>
      </c>
      <c r="U8" s="1">
        <f>'3x4'!U12</f>
        <v>-41.876350967216936</v>
      </c>
      <c r="V8" s="1">
        <f>'3x5'!U12</f>
        <v>-53.500510942770752</v>
      </c>
      <c r="W8" s="1">
        <f>'3x6'!U12</f>
        <v>-65.309126718055111</v>
      </c>
      <c r="X8" s="1">
        <f>'3x7'!U12</f>
        <v>-77.23866799405441</v>
      </c>
      <c r="Y8" s="1">
        <f>'3x8'!U12</f>
        <v>-89.246350654843198</v>
      </c>
      <c r="Z8" s="1">
        <f>'3x9'!U12</f>
        <v>-101.30386224744279</v>
      </c>
      <c r="AA8" s="1">
        <f>'3x10'!U12</f>
        <v>-113.39278413378989</v>
      </c>
    </row>
    <row r="9" spans="1:27" x14ac:dyDescent="0.2">
      <c r="A9">
        <v>7</v>
      </c>
      <c r="B9" s="1">
        <f>'1x2'!U13</f>
        <v>-0.67073994373434864</v>
      </c>
      <c r="C9" s="1">
        <f>'1x3'!U13</f>
        <v>0.41086457643310137</v>
      </c>
      <c r="D9" s="1">
        <f>'1x4'!U13</f>
        <v>1.3140664536944318</v>
      </c>
      <c r="E9" s="1">
        <f>'1x5'!U13</f>
        <v>2.1152595915179742</v>
      </c>
      <c r="F9" s="1">
        <f>'1x6'!U13</f>
        <v>2.8619880112060905</v>
      </c>
      <c r="G9" s="1">
        <f>'1x7'!U13</f>
        <v>3.5762538090908631</v>
      </c>
      <c r="H9" s="1">
        <f>'1x8'!U13</f>
        <v>4.2693916599822614</v>
      </c>
      <c r="I9" s="1">
        <f>'1x9'!U13</f>
        <v>4.9482077552658694</v>
      </c>
      <c r="J9" s="1">
        <f>'1x10'!U13</f>
        <v>5.617238843171247</v>
      </c>
      <c r="K9">
        <v>7</v>
      </c>
      <c r="L9" s="1">
        <f>'2x3'!U13</f>
        <v>-14.558510749333479</v>
      </c>
      <c r="M9" s="1">
        <f>'2x4'!U13</f>
        <v>-18.570729178249458</v>
      </c>
      <c r="N9" s="1">
        <f>'2x5'!U13</f>
        <v>-22.772743102467238</v>
      </c>
      <c r="O9" s="1">
        <f>'2x6'!U13</f>
        <v>-27.196301034727913</v>
      </c>
      <c r="P9" s="1">
        <f>'2x7'!U13</f>
        <v>-31.814489449942641</v>
      </c>
      <c r="Q9" s="1">
        <f>'2x8'!U13</f>
        <v>-36.584101289520987</v>
      </c>
      <c r="R9" s="1">
        <f>'2x9'!U13</f>
        <v>-41.463660134380532</v>
      </c>
      <c r="S9" s="1">
        <f>'2x10'!U13</f>
        <v>-46.419533756087525</v>
      </c>
      <c r="T9">
        <v>7</v>
      </c>
      <c r="U9" s="1">
        <f>'3x4'!U13</f>
        <v>-49.156823387318752</v>
      </c>
      <c r="V9" s="1">
        <f>'3x5'!U13</f>
        <v>-62.826961396537506</v>
      </c>
      <c r="W9" s="1">
        <f>'3x6'!U13</f>
        <v>-76.711794336737341</v>
      </c>
      <c r="X9" s="1">
        <f>'3x7'!U13</f>
        <v>-90.736166473256162</v>
      </c>
      <c r="Y9" s="1">
        <f>'3x8'!U13</f>
        <v>-104.8500965777197</v>
      </c>
      <c r="Z9" s="1">
        <f>'3x9'!U13</f>
        <v>-119.02082878116505</v>
      </c>
      <c r="AA9" s="1">
        <f>'3x10'!U13</f>
        <v>-133.22721228044361</v>
      </c>
    </row>
    <row r="10" spans="1:27" x14ac:dyDescent="0.2">
      <c r="A10">
        <v>8</v>
      </c>
      <c r="B10" s="1">
        <f>'1x2'!U14</f>
        <v>-0.77886944855652818</v>
      </c>
      <c r="C10" s="1">
        <f>'1x3'!U14</f>
        <v>0.46389039947780564</v>
      </c>
      <c r="D10" s="1">
        <f>'1x4'!U14</f>
        <v>1.4549637179403483</v>
      </c>
      <c r="E10" s="1">
        <f>'1x5'!U14</f>
        <v>2.3165634474610979</v>
      </c>
      <c r="F10" s="1">
        <f>'1x6'!U14</f>
        <v>3.1156292795200926</v>
      </c>
      <c r="G10" s="1">
        <f>'1x7'!U14</f>
        <v>3.8803510334714062</v>
      </c>
      <c r="H10" s="1">
        <f>'1x8'!U14</f>
        <v>4.6239128031323418</v>
      </c>
      <c r="I10" s="1">
        <f>'1x9'!U14</f>
        <v>5.3535725467763555</v>
      </c>
      <c r="J10" s="1">
        <f>'1x10'!U14</f>
        <v>6.0738847201231394</v>
      </c>
      <c r="K10">
        <v>8</v>
      </c>
      <c r="L10" s="1">
        <f>'2x3'!U14</f>
        <v>-16.83731140127847</v>
      </c>
      <c r="M10" s="1">
        <f>'2x4'!U14</f>
        <v>-21.518053860979421</v>
      </c>
      <c r="N10" s="1">
        <f>'2x5'!U14</f>
        <v>-26.416433041609711</v>
      </c>
      <c r="O10" s="1">
        <f>'2x6'!U14</f>
        <v>-31.568094895408155</v>
      </c>
      <c r="P10" s="1">
        <f>'2x7'!U14</f>
        <v>-36.942234143139387</v>
      </c>
      <c r="Q10" s="1">
        <f>'2x8'!U14</f>
        <v>-42.489472069940689</v>
      </c>
      <c r="R10" s="1">
        <f>'2x9'!U14</f>
        <v>-48.162393302361593</v>
      </c>
      <c r="S10" s="1">
        <f>'2x10'!U14</f>
        <v>-53.922544447607812</v>
      </c>
      <c r="T10">
        <v>8</v>
      </c>
      <c r="U10" s="1">
        <f>'3x4'!U14</f>
        <v>-56.437672505828345</v>
      </c>
      <c r="V10" s="1">
        <f>'3x5'!U14</f>
        <v>-72.154069791090336</v>
      </c>
      <c r="W10" s="1">
        <f>'3x6'!U14</f>
        <v>-88.115413804170799</v>
      </c>
      <c r="X10" s="1">
        <f>'3x7'!U14</f>
        <v>-104.23490161661488</v>
      </c>
      <c r="Y10" s="1">
        <f>'3x8'!U14</f>
        <v>-120.4553485196751</v>
      </c>
      <c r="Z10" s="1">
        <f>'3x9'!U14</f>
        <v>-136.73955606551408</v>
      </c>
      <c r="AA10" s="1">
        <f>'3x10'!U14</f>
        <v>-153.0636444124012</v>
      </c>
    </row>
    <row r="11" spans="1:27" x14ac:dyDescent="0.2">
      <c r="A11">
        <v>9</v>
      </c>
      <c r="B11" s="1">
        <f>'1x2'!U15</f>
        <v>-0.88989767873158421</v>
      </c>
      <c r="C11" s="1">
        <f>'1x3'!U15</f>
        <v>0.51552486561713273</v>
      </c>
      <c r="D11" s="1">
        <f>'1x4'!U15</f>
        <v>1.5853060830346397</v>
      </c>
      <c r="E11" s="1">
        <f>'1x5'!U15</f>
        <v>2.4966955690488568</v>
      </c>
      <c r="F11" s="1">
        <f>'1x6'!U15</f>
        <v>3.3381639050608172</v>
      </c>
      <c r="G11" s="1">
        <f>'1x7'!U15</f>
        <v>4.1441371626195096</v>
      </c>
      <c r="H11" s="1">
        <f>'1x8'!U15</f>
        <v>4.9294482658212999</v>
      </c>
      <c r="I11" s="1">
        <f>'1x9'!U15</f>
        <v>5.7016387677477063</v>
      </c>
      <c r="J11" s="1">
        <f>'1x10'!U15</f>
        <v>6.465162577901495</v>
      </c>
      <c r="K11">
        <v>9</v>
      </c>
      <c r="L11" s="1">
        <f>'2x3'!U15</f>
        <v>-19.118994425311875</v>
      </c>
      <c r="M11" s="1">
        <f>'2x4'!U15</f>
        <v>-24.472049310191963</v>
      </c>
      <c r="N11" s="1">
        <f>'2x5'!U15</f>
        <v>-30.071216172279719</v>
      </c>
      <c r="O11" s="1">
        <f>'2x6'!U15</f>
        <v>-35.955479477182294</v>
      </c>
      <c r="P11" s="1">
        <f>'2x7'!U15</f>
        <v>-42.089919244338702</v>
      </c>
      <c r="Q11" s="1">
        <f>'2x8'!U15</f>
        <v>-48.418938659731104</v>
      </c>
      <c r="R11" s="1">
        <f>'2x9'!U15</f>
        <v>-54.889205782127995</v>
      </c>
      <c r="S11" s="1">
        <f>'2x10'!U15</f>
        <v>-61.457486234122591</v>
      </c>
      <c r="T11">
        <v>9</v>
      </c>
      <c r="U11" s="1">
        <f>'3x4'!U15</f>
        <v>-63.718608158523793</v>
      </c>
      <c r="V11" s="1">
        <f>'3x5'!U15</f>
        <v>-81.48133694206129</v>
      </c>
      <c r="W11" s="1">
        <f>'3x6'!U15</f>
        <v>-99.519269193887325</v>
      </c>
      <c r="X11" s="1">
        <f>'3x7'!U15</f>
        <v>-117.73394787632061</v>
      </c>
      <c r="Y11" s="1">
        <f>'3x8'!U15</f>
        <v>-136.06098251575781</v>
      </c>
      <c r="Z11" s="1">
        <f>'3x9'!U15</f>
        <v>-154.45873212771795</v>
      </c>
      <c r="AA11" s="1">
        <f>'3x10'!U15</f>
        <v>-172.90058867271816</v>
      </c>
    </row>
    <row r="12" spans="1:27" x14ac:dyDescent="0.2">
      <c r="A12">
        <v>10</v>
      </c>
      <c r="B12" s="1">
        <f>'1x2'!U16</f>
        <v>-1.0037484399918979</v>
      </c>
      <c r="C12" s="1">
        <f>'1x3'!U16</f>
        <v>0.5657794895136643</v>
      </c>
      <c r="D12" s="1">
        <f>'1x4'!U16</f>
        <v>1.7055641876334793</v>
      </c>
      <c r="E12" s="1">
        <f>'1x5'!U16</f>
        <v>2.6571992827283069</v>
      </c>
      <c r="F12" s="1">
        <f>'1x6'!U16</f>
        <v>3.5323994741174101</v>
      </c>
      <c r="G12" s="1">
        <f>'1x7'!U16</f>
        <v>4.3716574029996309</v>
      </c>
      <c r="H12" s="1">
        <f>'1x8'!U16</f>
        <v>5.1911965873049226</v>
      </c>
      <c r="I12" s="1">
        <f>'1x9'!U16</f>
        <v>5.9986753404373196</v>
      </c>
      <c r="J12" s="1">
        <f>'1x10'!U16</f>
        <v>6.7983460408871466</v>
      </c>
      <c r="K12">
        <v>10</v>
      </c>
      <c r="L12" s="1">
        <f>'2x3'!U16</f>
        <v>-21.401955491491627</v>
      </c>
      <c r="M12" s="1">
        <f>'2x4'!U16</f>
        <v>-27.429298306349953</v>
      </c>
      <c r="N12" s="1">
        <f>'2x5'!U16</f>
        <v>-33.731690402296024</v>
      </c>
      <c r="O12" s="1">
        <f>'2x6'!U16</f>
        <v>-40.351086751709794</v>
      </c>
      <c r="P12" s="1">
        <f>'2x7'!U16</f>
        <v>-47.248283884361015</v>
      </c>
      <c r="Q12" s="1">
        <f>'2x8'!U16</f>
        <v>-54.361421837597412</v>
      </c>
      <c r="R12" s="1">
        <f>'2x9'!U16</f>
        <v>-61.631260394635873</v>
      </c>
      <c r="S12" s="1">
        <f>'2x10'!U16</f>
        <v>-69.009808443796402</v>
      </c>
      <c r="T12">
        <v>10</v>
      </c>
      <c r="U12" s="1">
        <f>'3x4'!U16</f>
        <v>-70.999563336737424</v>
      </c>
      <c r="V12" s="1">
        <f>'3x5'!U16</f>
        <v>-90.808641714259835</v>
      </c>
      <c r="W12" s="1">
        <f>'3x6'!U16</f>
        <v>-110.92318200718115</v>
      </c>
      <c r="X12" s="1">
        <f>'3x7'!U16</f>
        <v>-131.23307099471612</v>
      </c>
      <c r="Y12" s="1">
        <f>'3x8'!U16</f>
        <v>-151.6667116832125</v>
      </c>
      <c r="Z12" s="1">
        <f>'3x9'!U16</f>
        <v>-172.17802050682764</v>
      </c>
      <c r="AA12" s="1">
        <f>'3x10'!U16</f>
        <v>-192.7376614437585</v>
      </c>
    </row>
    <row r="13" spans="1:27" x14ac:dyDescent="0.2">
      <c r="B13" s="357" t="s">
        <v>49</v>
      </c>
      <c r="C13" s="357"/>
      <c r="D13" s="357"/>
      <c r="E13" s="357"/>
      <c r="F13" s="357"/>
      <c r="G13" s="357"/>
      <c r="H13" s="357"/>
      <c r="I13" s="357"/>
      <c r="J13" s="357"/>
      <c r="L13" s="357" t="s">
        <v>49</v>
      </c>
      <c r="M13" s="357"/>
      <c r="N13" s="357"/>
      <c r="O13" s="357"/>
      <c r="P13" s="357"/>
      <c r="Q13" s="357"/>
      <c r="R13" s="357"/>
      <c r="S13" s="357"/>
      <c r="U13" s="357" t="s">
        <v>49</v>
      </c>
      <c r="V13" s="357"/>
      <c r="W13" s="357"/>
      <c r="X13" s="357"/>
      <c r="Y13" s="357"/>
      <c r="Z13" s="357"/>
      <c r="AA13" s="357"/>
    </row>
    <row r="14" spans="1:27" x14ac:dyDescent="0.2">
      <c r="A14" s="31" t="s">
        <v>57</v>
      </c>
      <c r="B14" s="49" t="s">
        <v>142</v>
      </c>
      <c r="C14" s="49" t="s">
        <v>143</v>
      </c>
      <c r="D14" s="49" t="s">
        <v>144</v>
      </c>
      <c r="E14" s="49" t="s">
        <v>145</v>
      </c>
      <c r="F14" s="49" t="s">
        <v>146</v>
      </c>
      <c r="G14" s="49" t="s">
        <v>147</v>
      </c>
      <c r="H14" s="49" t="s">
        <v>148</v>
      </c>
      <c r="I14" s="49" t="s">
        <v>149</v>
      </c>
      <c r="J14" s="49" t="s">
        <v>150</v>
      </c>
      <c r="K14" s="31" t="s">
        <v>57</v>
      </c>
      <c r="L14" s="49" t="s">
        <v>165</v>
      </c>
      <c r="M14" s="49" t="s">
        <v>166</v>
      </c>
      <c r="N14" s="49" t="s">
        <v>167</v>
      </c>
      <c r="O14" s="49" t="s">
        <v>168</v>
      </c>
      <c r="P14" s="49" t="s">
        <v>169</v>
      </c>
      <c r="Q14" s="49" t="s">
        <v>170</v>
      </c>
      <c r="R14" s="49" t="s">
        <v>171</v>
      </c>
      <c r="S14" s="49" t="s">
        <v>172</v>
      </c>
      <c r="T14" s="31" t="s">
        <v>57</v>
      </c>
      <c r="U14" s="49" t="s">
        <v>176</v>
      </c>
      <c r="V14" s="49" t="s">
        <v>177</v>
      </c>
      <c r="W14" s="49" t="s">
        <v>178</v>
      </c>
      <c r="X14" s="49" t="s">
        <v>179</v>
      </c>
      <c r="Y14" s="49" t="s">
        <v>180</v>
      </c>
      <c r="Z14" s="49" t="s">
        <v>181</v>
      </c>
      <c r="AA14" s="49" t="s">
        <v>182</v>
      </c>
    </row>
    <row r="15" spans="1:27" x14ac:dyDescent="0.2">
      <c r="A15" s="279">
        <v>1</v>
      </c>
      <c r="B15" s="1">
        <f>'1x2'!R7</f>
        <v>-5.9870695311820099E-2</v>
      </c>
      <c r="C15" s="1">
        <f>'1x3'!R7</f>
        <v>3.31834502689482E-2</v>
      </c>
      <c r="D15" s="1">
        <f>'1x4'!R7</f>
        <v>7.8977528484643122E-2</v>
      </c>
      <c r="E15" s="1">
        <f>'1x5'!R7</f>
        <v>0.10303753652823489</v>
      </c>
      <c r="F15" s="1">
        <f>'1x6'!R7</f>
        <v>0.11611363640827854</v>
      </c>
      <c r="G15" s="1">
        <f>'1x7'!R7</f>
        <v>0.12335109197166821</v>
      </c>
      <c r="H15" s="1">
        <f>'1x8'!R7</f>
        <v>0.12739743053184643</v>
      </c>
      <c r="I15" s="1">
        <f>'1x9'!R7</f>
        <v>0.12967239978549744</v>
      </c>
      <c r="J15" s="1">
        <f>'1x10'!R7</f>
        <v>0.13095549036954318</v>
      </c>
      <c r="K15" s="279">
        <v>1</v>
      </c>
      <c r="L15" s="1">
        <f>'2x3'!R7</f>
        <v>-0.44260913717878708</v>
      </c>
      <c r="M15" s="1">
        <f>'2x4'!R7</f>
        <v>-0.40492364250548801</v>
      </c>
      <c r="N15" s="1">
        <f>'2x5'!R7</f>
        <v>-0.38444238200532121</v>
      </c>
      <c r="O15" s="1">
        <f>'2x6'!R7</f>
        <v>-0.37310626388814522</v>
      </c>
      <c r="P15" s="1">
        <f>'2x7'!R7</f>
        <v>-0.36676843266299863</v>
      </c>
      <c r="Q15" s="1">
        <f>'2x8'!R7</f>
        <v>-0.36320511956954249</v>
      </c>
      <c r="R15" s="1">
        <f>'2x9'!R7</f>
        <v>-0.36119539857182709</v>
      </c>
      <c r="S15" s="1">
        <f>'2x10'!R7</f>
        <v>-0.36005989409831463</v>
      </c>
      <c r="T15" s="279">
        <v>1</v>
      </c>
      <c r="U15" s="1">
        <f>'3x4'!R7</f>
        <v>-0.66791358134810352</v>
      </c>
      <c r="V15" s="1">
        <f>'3x5'!R7</f>
        <v>-0.65425633882709922</v>
      </c>
      <c r="W15" s="1">
        <f>'3x6'!R7</f>
        <v>-0.64662080634549279</v>
      </c>
      <c r="X15" s="1">
        <f>'3x7'!R7</f>
        <v>-0.6423278878532388</v>
      </c>
      <c r="Y15" s="1">
        <f>'3x8'!R7</f>
        <v>-0.63990666686897824</v>
      </c>
      <c r="Z15" s="1">
        <f>'3x9'!R7</f>
        <v>-0.6385386624235283</v>
      </c>
      <c r="AA15" s="1">
        <f>'3x10'!R7</f>
        <v>-0.63776495599554961</v>
      </c>
    </row>
    <row r="16" spans="1:27" x14ac:dyDescent="0.2">
      <c r="A16">
        <v>2</v>
      </c>
      <c r="B16" s="1">
        <f>'1x2'!R8</f>
        <v>0.25200979648017313</v>
      </c>
      <c r="C16" s="1">
        <f>'1x3'!R8</f>
        <v>0.37707248319754771</v>
      </c>
      <c r="D16" s="1">
        <f>'1x4'!R8</f>
        <v>0.4356517692674659</v>
      </c>
      <c r="E16" s="1">
        <f>'1x5'!R8</f>
        <v>0.46553033349676015</v>
      </c>
      <c r="F16" s="1">
        <f>'1x6'!R8</f>
        <v>0.48149349747633829</v>
      </c>
      <c r="G16" s="1">
        <f>'1x7'!R8</f>
        <v>0.4902431948799833</v>
      </c>
      <c r="H16" s="1">
        <f>'1x8'!R8</f>
        <v>0.49510798734956196</v>
      </c>
      <c r="I16" s="1">
        <f>'1x9'!R8</f>
        <v>0.49783453811186751</v>
      </c>
      <c r="J16" s="1">
        <f>'1x10'!R8</f>
        <v>0.49936958731766634</v>
      </c>
      <c r="K16">
        <v>2</v>
      </c>
      <c r="L16" s="1">
        <f>'2x3'!R8</f>
        <v>-0.30236820169269096</v>
      </c>
      <c r="M16" s="1">
        <f>'2x4'!R8</f>
        <v>-0.24768231726447082</v>
      </c>
      <c r="N16" s="1">
        <f>'2x5'!R8</f>
        <v>-0.21779222194320713</v>
      </c>
      <c r="O16" s="1">
        <f>'2x6'!R8</f>
        <v>-0.20120784686182752</v>
      </c>
      <c r="P16" s="1">
        <f>'2x7'!R8</f>
        <v>-0.19192507618625698</v>
      </c>
      <c r="Q16" s="1">
        <f>'2x8'!R8</f>
        <v>-0.18670298674378982</v>
      </c>
      <c r="R16" s="1">
        <f>'2x9'!R8</f>
        <v>-0.18375680296718711</v>
      </c>
      <c r="S16" s="1">
        <f>'2x10'!R8</f>
        <v>-0.18209191289361454</v>
      </c>
      <c r="T16">
        <v>2</v>
      </c>
      <c r="U16" s="1">
        <f>'3x4'!R8</f>
        <v>-0.61453748351045656</v>
      </c>
      <c r="V16" s="1">
        <f>'3x5'!R8</f>
        <v>-0.59657120016309428</v>
      </c>
      <c r="W16" s="1">
        <f>'3x6'!R8</f>
        <v>-0.58646349206954529</v>
      </c>
      <c r="X16" s="1">
        <f>'3x7'!R8</f>
        <v>-0.58076109454882996</v>
      </c>
      <c r="Y16" s="1">
        <f>'3x8'!R8</f>
        <v>-0.57753877323757741</v>
      </c>
      <c r="Z16" s="1">
        <f>'3x9'!R8</f>
        <v>-0.57571619185807854</v>
      </c>
      <c r="AA16" s="1">
        <f>'3x10'!R8</f>
        <v>-0.57468476737372853</v>
      </c>
    </row>
    <row r="17" spans="1:27" x14ac:dyDescent="0.2">
      <c r="A17">
        <v>3</v>
      </c>
      <c r="B17" s="1">
        <f>'1x2'!R9</f>
        <v>0.40683609963227901</v>
      </c>
      <c r="C17" s="1">
        <f>'1x3'!R9</f>
        <v>0.54863874573144988</v>
      </c>
      <c r="D17" s="1">
        <f>'1x4'!R9</f>
        <v>0.61177794258556428</v>
      </c>
      <c r="E17" s="1">
        <f>'1x5'!R9</f>
        <v>0.64296867156690674</v>
      </c>
      <c r="F17" s="1">
        <f>'1x6'!R9</f>
        <v>0.659322772326286</v>
      </c>
      <c r="G17" s="1">
        <f>'1x7'!R9</f>
        <v>0.66819046911775726</v>
      </c>
      <c r="H17" s="1">
        <f>'1x8'!R9</f>
        <v>0.67309059870382115</v>
      </c>
      <c r="I17" s="1">
        <f>'1x9'!R9</f>
        <v>0.67582735968899377</v>
      </c>
      <c r="J17" s="1">
        <f>'1x10'!R9</f>
        <v>0.67736510074298173</v>
      </c>
      <c r="K17">
        <v>3</v>
      </c>
      <c r="L17" s="1">
        <f>'2x3'!R9</f>
        <v>-0.25522083644763949</v>
      </c>
      <c r="M17" s="1">
        <f>'2x4'!R9</f>
        <v>-0.19121165470397394</v>
      </c>
      <c r="N17" s="1">
        <f>'2x5'!R9</f>
        <v>-0.15592584980353952</v>
      </c>
      <c r="O17" s="1">
        <f>'2x6'!R9</f>
        <v>-0.13626417703343796</v>
      </c>
      <c r="P17" s="1">
        <f>'2x7'!R9</f>
        <v>-0.1252344445779926</v>
      </c>
      <c r="Q17" s="1">
        <f>'2x8'!R9</f>
        <v>-0.11902214003448297</v>
      </c>
      <c r="R17" s="1">
        <f>'2x9'!R9</f>
        <v>-0.11551498451342462</v>
      </c>
      <c r="S17" s="1">
        <f>'2x10'!R9</f>
        <v>-0.11353235996636574</v>
      </c>
      <c r="T17">
        <v>3</v>
      </c>
      <c r="U17" s="1">
        <f>'3x4'!R9</f>
        <v>-0.60431537256727097</v>
      </c>
      <c r="V17" s="1">
        <f>'3x5'!R9</f>
        <v>-0.58501946687742912</v>
      </c>
      <c r="W17" s="1">
        <f>'3x6'!R9</f>
        <v>-0.57412163521846438</v>
      </c>
      <c r="X17" s="1">
        <f>'3x7'!R9</f>
        <v>-0.56796000724446449</v>
      </c>
      <c r="Y17" s="1">
        <f>'3x8'!R9</f>
        <v>-0.56447386967221425</v>
      </c>
      <c r="Z17" s="1">
        <f>'3x9'!R9</f>
        <v>-0.56250068897512195</v>
      </c>
      <c r="AA17" s="1">
        <f>'3x10'!R9</f>
        <v>-0.56138359533867888</v>
      </c>
    </row>
    <row r="18" spans="1:27" x14ac:dyDescent="0.2">
      <c r="A18">
        <v>4</v>
      </c>
      <c r="B18" s="1">
        <f>'1x2'!R10</f>
        <v>0.49884961234752812</v>
      </c>
      <c r="C18" s="1">
        <f>'1x3'!R10</f>
        <v>0.65127683118826418</v>
      </c>
      <c r="D18" s="1">
        <f>'1x4'!R10</f>
        <v>0.71571542635949426</v>
      </c>
      <c r="E18" s="1">
        <f>'1x5'!R10</f>
        <v>0.74647403699201287</v>
      </c>
      <c r="F18" s="1">
        <f>'1x6'!R10</f>
        <v>0.76227502293369487</v>
      </c>
      <c r="G18" s="1">
        <f>'1x7'!R10</f>
        <v>0.77074207748014534</v>
      </c>
      <c r="H18" s="1">
        <f>'1x8'!R10</f>
        <v>0.77538929165403103</v>
      </c>
      <c r="I18" s="1">
        <f>'1x9'!R10</f>
        <v>0.77797483091515596</v>
      </c>
      <c r="J18" s="1">
        <f>'1x10'!R10</f>
        <v>0.7794244332354302</v>
      </c>
      <c r="K18">
        <v>4</v>
      </c>
      <c r="L18" s="1">
        <f>'2x3'!R10</f>
        <v>-0.2379058393938997</v>
      </c>
      <c r="M18" s="1">
        <f>'2x4'!R10</f>
        <v>-0.16880480371486417</v>
      </c>
      <c r="N18" s="1">
        <f>'2x5'!R10</f>
        <v>-0.13039268682309429</v>
      </c>
      <c r="O18" s="1">
        <f>'2x6'!R10</f>
        <v>-0.10889271609228013</v>
      </c>
      <c r="P18" s="1">
        <f>'2x7'!R10</f>
        <v>-9.6802158039805464E-2</v>
      </c>
      <c r="Q18" s="1">
        <f>'2x8'!R10</f>
        <v>-8.9983125306844214E-2</v>
      </c>
      <c r="R18" s="1">
        <f>'2x9'!R10</f>
        <v>-8.6130526371206995E-2</v>
      </c>
      <c r="S18" s="1">
        <f>'2x10'!R10</f>
        <v>-8.3951693567486829E-2</v>
      </c>
      <c r="T18">
        <v>4</v>
      </c>
      <c r="U18" s="1">
        <f>'3x4'!R10</f>
        <v>-0.60229555262956602</v>
      </c>
      <c r="V18" s="1">
        <f>'3x5'!R10</f>
        <v>-0.58262621374485712</v>
      </c>
      <c r="W18" s="1">
        <f>'3x6'!R10</f>
        <v>-0.57149795066750364</v>
      </c>
      <c r="X18" s="1">
        <f>'3x7'!R10</f>
        <v>-0.56519958475681498</v>
      </c>
      <c r="Y18" s="1">
        <f>'3x8'!R10</f>
        <v>-0.56163398066866754</v>
      </c>
      <c r="Z18" s="1">
        <f>'3x9'!R10</f>
        <v>-0.55961514101671961</v>
      </c>
      <c r="AA18" s="1">
        <f>'3x10'!R10</f>
        <v>-0.55847197884058875</v>
      </c>
    </row>
    <row r="19" spans="1:27" x14ac:dyDescent="0.2">
      <c r="A19">
        <v>5</v>
      </c>
      <c r="B19" s="1">
        <f>'1x2'!R11</f>
        <v>0.55946612087107428</v>
      </c>
      <c r="C19" s="1">
        <f>'1x3'!R11</f>
        <v>0.71945182152191178</v>
      </c>
      <c r="D19" s="1">
        <f>'1x4'!R11</f>
        <v>0.78359052060575052</v>
      </c>
      <c r="E19" s="1">
        <f>'1x5'!R11</f>
        <v>0.81310433868090515</v>
      </c>
      <c r="F19" s="1">
        <f>'1x6'!R11</f>
        <v>0.82793462063521073</v>
      </c>
      <c r="G19" s="1">
        <f>'1x7'!R11</f>
        <v>0.83578030278220439</v>
      </c>
      <c r="H19" s="1">
        <f>'1x8'!R11</f>
        <v>0.8400549848257528</v>
      </c>
      <c r="I19" s="1">
        <f>'1x9'!R11</f>
        <v>0.84242334412302178</v>
      </c>
      <c r="J19" s="1">
        <f>'1x10'!R11</f>
        <v>0.84374803571396295</v>
      </c>
      <c r="K19">
        <v>5</v>
      </c>
      <c r="L19" s="1">
        <f>'2x3'!R11</f>
        <v>-0.23134298920432594</v>
      </c>
      <c r="M19" s="1">
        <f>'2x4'!R11</f>
        <v>-0.15956617728827388</v>
      </c>
      <c r="N19" s="1">
        <f>'2x5'!R11</f>
        <v>-0.11939874883104296</v>
      </c>
      <c r="O19" s="1">
        <f>'2x6'!R11</f>
        <v>-9.6829926929758392E-2</v>
      </c>
      <c r="P19" s="1">
        <f>'2x7'!R11</f>
        <v>-8.4110743351620609E-2</v>
      </c>
      <c r="Q19" s="1">
        <f>'2x8'!R11</f>
        <v>-7.6928380855905198E-2</v>
      </c>
      <c r="R19" s="1">
        <f>'2x9'!R11</f>
        <v>-7.286770217246491E-2</v>
      </c>
      <c r="S19" s="1">
        <f>'2x10'!R11</f>
        <v>-7.0570292312267968E-2</v>
      </c>
      <c r="T19">
        <v>5</v>
      </c>
      <c r="U19" s="1">
        <f>'3x4'!R11</f>
        <v>-0.6018940075983662</v>
      </c>
      <c r="V19" s="1">
        <f>'3x5'!R11</f>
        <v>-0.58212693074642385</v>
      </c>
      <c r="W19" s="1">
        <f>'3x6'!R11</f>
        <v>-0.57093602456584358</v>
      </c>
      <c r="X19" s="1">
        <f>'3x7'!R11</f>
        <v>-0.56459969833857326</v>
      </c>
      <c r="Y19" s="1">
        <f>'3x8'!R11</f>
        <v>-0.56101177325689144</v>
      </c>
      <c r="Z19" s="1">
        <f>'3x9'!R11</f>
        <v>-0.55898002394339941</v>
      </c>
      <c r="AA19" s="1">
        <f>'3x10'!R11</f>
        <v>-0.55782946370577113</v>
      </c>
    </row>
    <row r="20" spans="1:27" x14ac:dyDescent="0.2">
      <c r="A20">
        <v>6</v>
      </c>
      <c r="B20" s="1">
        <f>'1x2'!R12</f>
        <v>0.60215115690558019</v>
      </c>
      <c r="C20" s="1">
        <f>'1x3'!R12</f>
        <v>0.76793464993110094</v>
      </c>
      <c r="D20" s="1">
        <f>'1x4'!R12</f>
        <v>0.83089104291473048</v>
      </c>
      <c r="E20" s="1">
        <f>'1x5'!R12</f>
        <v>0.8587543145362293</v>
      </c>
      <c r="F20" s="1">
        <f>'1x6'!R12</f>
        <v>0.87242764721005994</v>
      </c>
      <c r="G20" s="1">
        <f>'1x7'!R12</f>
        <v>0.87956237610261601</v>
      </c>
      <c r="H20" s="1">
        <f>'1x8'!R12</f>
        <v>0.88341916895838768</v>
      </c>
      <c r="I20" s="1">
        <f>'1x9'!R12</f>
        <v>0.88554642766336433</v>
      </c>
      <c r="J20" s="1">
        <f>'1x10'!R12</f>
        <v>0.88673323506615132</v>
      </c>
      <c r="K20">
        <v>6</v>
      </c>
      <c r="L20" s="1">
        <f>'2x3'!R12</f>
        <v>-0.22882585491287882</v>
      </c>
      <c r="M20" s="1">
        <f>'2x4'!R12</f>
        <v>-0.15569690454958407</v>
      </c>
      <c r="N20" s="1">
        <f>'2x5'!R12</f>
        <v>-0.1145789533906465</v>
      </c>
      <c r="O20" s="1">
        <f>'2x6'!R12</f>
        <v>-9.1409472380651779E-2</v>
      </c>
      <c r="P20" s="1">
        <f>'2x7'!R12</f>
        <v>-7.8329770219515982E-2</v>
      </c>
      <c r="Q20" s="1">
        <f>'2x8'!R12</f>
        <v>-7.0936671407408447E-2</v>
      </c>
      <c r="R20" s="1">
        <f>'2x9'!R12</f>
        <v>-6.6754538051101042E-2</v>
      </c>
      <c r="S20" s="1">
        <f>'2x10'!R12</f>
        <v>-6.4387668893287953E-2</v>
      </c>
      <c r="T20">
        <v>6</v>
      </c>
      <c r="U20" s="1">
        <f>'3x4'!R12</f>
        <v>-0.60181408284475357</v>
      </c>
      <c r="V20" s="1">
        <f>'3x5'!R12</f>
        <v>-0.58202261916477749</v>
      </c>
      <c r="W20" s="1">
        <f>'3x6'!R12</f>
        <v>-0.57081548269249494</v>
      </c>
      <c r="X20" s="1">
        <f>'3x7'!R12</f>
        <v>-0.56446911387457732</v>
      </c>
      <c r="Y20" s="1">
        <f>'3x8'!R12</f>
        <v>-0.56087521434006971</v>
      </c>
      <c r="Z20" s="1">
        <f>'3x9'!R12</f>
        <v>-0.55883998686527703</v>
      </c>
      <c r="AA20" s="1">
        <f>'3x10'!R12</f>
        <v>-0.5576874260266016</v>
      </c>
    </row>
    <row r="21" spans="1:27" x14ac:dyDescent="0.2">
      <c r="A21">
        <v>7</v>
      </c>
      <c r="B21" s="1">
        <f>'1x2'!R13</f>
        <v>0.633638824278979</v>
      </c>
      <c r="C21" s="1">
        <f>'1x3'!R13</f>
        <v>0.80411094102492275</v>
      </c>
      <c r="D21" s="1">
        <f>'1x4'!R13</f>
        <v>0.86536491579434749</v>
      </c>
      <c r="E21" s="1">
        <f>'1x5'!R13</f>
        <v>0.89138043380660714</v>
      </c>
      <c r="F21" s="1">
        <f>'1x6'!R13</f>
        <v>0.90382933832419865</v>
      </c>
      <c r="G21" s="1">
        <f>'1x7'!R13</f>
        <v>0.91023063104096835</v>
      </c>
      <c r="H21" s="1">
        <f>'1x8'!R13</f>
        <v>0.91366202911263228</v>
      </c>
      <c r="I21" s="1">
        <f>'1x9'!R13</f>
        <v>0.91554563558040114</v>
      </c>
      <c r="J21" s="1">
        <f>'1x10'!R13</f>
        <v>0.91659366166966838</v>
      </c>
      <c r="K21">
        <v>7</v>
      </c>
      <c r="L21" s="1">
        <f>'2x3'!R13</f>
        <v>-0.22785604646266505</v>
      </c>
      <c r="M21" s="1">
        <f>'2x4'!R13</f>
        <v>-0.15406579043104529</v>
      </c>
      <c r="N21" s="1">
        <f>'2x5'!R13</f>
        <v>-0.11244925636725428</v>
      </c>
      <c r="O21" s="1">
        <f>'2x6'!R13</f>
        <v>-8.895252901672146E-2</v>
      </c>
      <c r="P21" s="1">
        <f>'2x7'!R13</f>
        <v>-7.5672260332288632E-2</v>
      </c>
      <c r="Q21" s="1">
        <f>'2x8'!R13</f>
        <v>-6.8160547724287313E-2</v>
      </c>
      <c r="R21" s="1">
        <f>'2x9'!R13</f>
        <v>-6.3909604172967649E-2</v>
      </c>
      <c r="S21" s="1">
        <f>'2x10'!R13</f>
        <v>-6.1503237427905255E-2</v>
      </c>
      <c r="T21">
        <v>7</v>
      </c>
      <c r="U21" s="1">
        <f>'3x4'!R13</f>
        <v>-0.60179817054716578</v>
      </c>
      <c r="V21" s="1">
        <f>'3x5'!R13</f>
        <v>-0.58200081952432825</v>
      </c>
      <c r="W21" s="1">
        <f>'3x6'!R13</f>
        <v>-0.57078961576559317</v>
      </c>
      <c r="X21" s="1">
        <f>'3x7'!R13</f>
        <v>-0.56444067760779348</v>
      </c>
      <c r="Y21" s="1">
        <f>'3x8'!R13</f>
        <v>-0.56084523171347189</v>
      </c>
      <c r="Z21" s="1">
        <f>'3x9'!R13</f>
        <v>-0.55880909809774404</v>
      </c>
      <c r="AA21" s="1">
        <f>'3x10'!R13</f>
        <v>-0.55765601413431942</v>
      </c>
    </row>
    <row r="22" spans="1:27" x14ac:dyDescent="0.2">
      <c r="A22">
        <v>8</v>
      </c>
      <c r="B22" s="1">
        <f>'1x2'!R14</f>
        <v>0.65767139793221085</v>
      </c>
      <c r="C22" s="1">
        <f>'1x3'!R14</f>
        <v>0.83208395712732652</v>
      </c>
      <c r="D22" s="1">
        <f>'1x4'!R14</f>
        <v>0.89131965389293821</v>
      </c>
      <c r="E22" s="1">
        <f>'1x5'!R14</f>
        <v>0.91540911005003678</v>
      </c>
      <c r="F22" s="1">
        <f>'1x6'!R14</f>
        <v>0.9266331852483819</v>
      </c>
      <c r="G22" s="1">
        <f>'1x7'!R14</f>
        <v>0.93231592559494059</v>
      </c>
      <c r="H22" s="1">
        <f>'1x8'!R14</f>
        <v>0.93533526544698786</v>
      </c>
      <c r="I22" s="1">
        <f>'1x9'!R14</f>
        <v>0.93698434552747945</v>
      </c>
      <c r="J22" s="1">
        <f>'1x10'!R14</f>
        <v>0.93789926163375426</v>
      </c>
      <c r="K22">
        <v>8</v>
      </c>
      <c r="L22" s="1">
        <f>'2x3'!R14</f>
        <v>-0.22748174473477389</v>
      </c>
      <c r="M22" s="1">
        <f>'2x4'!R14</f>
        <v>-0.15337629499935651</v>
      </c>
      <c r="N22" s="1">
        <f>'2x5'!R14</f>
        <v>-0.11150495153493206</v>
      </c>
      <c r="O22" s="1">
        <f>'2x6'!R14</f>
        <v>-8.7834482096141586E-2</v>
      </c>
      <c r="P22" s="1">
        <f>'2x7'!R14</f>
        <v>-7.444545604663233E-2</v>
      </c>
      <c r="Q22" s="1">
        <f>'2x8'!R14</f>
        <v>-6.6868661301749566E-2</v>
      </c>
      <c r="R22" s="1">
        <f>'2x9'!R14</f>
        <v>-6.2579710987710091E-2</v>
      </c>
      <c r="S22" s="1">
        <f>'2x10'!R14</f>
        <v>-6.015144629055752E-2</v>
      </c>
      <c r="T22">
        <v>8</v>
      </c>
      <c r="U22" s="1">
        <f>'3x4'!R14</f>
        <v>-0.60179500240042672</v>
      </c>
      <c r="V22" s="1">
        <f>'3x5'!R14</f>
        <v>-0.5819962634215281</v>
      </c>
      <c r="W22" s="1">
        <f>'3x6'!R14</f>
        <v>-0.57078406460839359</v>
      </c>
      <c r="X22" s="1">
        <f>'3x7'!R14</f>
        <v>-0.56443448479176128</v>
      </c>
      <c r="Y22" s="1">
        <f>'3x8'!R14</f>
        <v>-0.56083864823452134</v>
      </c>
      <c r="Z22" s="1">
        <f>'3x9'!R14</f>
        <v>-0.55880228420592504</v>
      </c>
      <c r="AA22" s="1">
        <f>'3x10'!R14</f>
        <v>-0.55764906673448755</v>
      </c>
    </row>
    <row r="23" spans="1:27" x14ac:dyDescent="0.2">
      <c r="A23">
        <v>9</v>
      </c>
      <c r="B23" s="1">
        <f>'1x2'!R15</f>
        <v>0.6764951559710588</v>
      </c>
      <c r="C23" s="1">
        <f>'1x3'!R15</f>
        <v>0.85431577643896883</v>
      </c>
      <c r="D23" s="1">
        <f>'1x4'!R15</f>
        <v>0.91134213327697422</v>
      </c>
      <c r="E23" s="1">
        <f>'1x5'!R15</f>
        <v>0.93349998422911273</v>
      </c>
      <c r="F23" s="1">
        <f>'1x6'!R15</f>
        <v>0.94353869903650012</v>
      </c>
      <c r="G23" s="1">
        <f>'1x7'!R15</f>
        <v>0.9485392811883574</v>
      </c>
      <c r="H23" s="1">
        <f>'1x8'!R15</f>
        <v>0.95117160848033522</v>
      </c>
      <c r="I23" s="1">
        <f>'1x9'!R15</f>
        <v>0.95260174355487326</v>
      </c>
      <c r="J23" s="1">
        <f>'1x10'!R15</f>
        <v>0.95339281625194494</v>
      </c>
      <c r="K23">
        <v>9</v>
      </c>
      <c r="L23" s="1">
        <f>'2x3'!R15</f>
        <v>-0.22733718430276328</v>
      </c>
      <c r="M23" s="1">
        <f>'2x4'!R15</f>
        <v>-0.15308449725275608</v>
      </c>
      <c r="N23" s="1">
        <f>'2x5'!R15</f>
        <v>-0.1110856047212605</v>
      </c>
      <c r="O23" s="1">
        <f>'2x6'!R15</f>
        <v>-8.7324799085647276E-2</v>
      </c>
      <c r="P23" s="1">
        <f>'2x7'!R15</f>
        <v>-7.3878018740024975E-2</v>
      </c>
      <c r="Q23" s="1">
        <f>'2x8'!R15</f>
        <v>-6.6266251792196806E-2</v>
      </c>
      <c r="R23" s="1">
        <f>'2x9'!R15</f>
        <v>-6.1956742009028842E-2</v>
      </c>
      <c r="S23" s="1">
        <f>'2x10'!R15</f>
        <v>-5.9516587223472472E-2</v>
      </c>
      <c r="T23">
        <v>9</v>
      </c>
      <c r="U23" s="1">
        <f>'3x4'!R15</f>
        <v>-0.60179437161474225</v>
      </c>
      <c r="V23" s="1">
        <f>'3x5'!R15</f>
        <v>-0.58199531118810377</v>
      </c>
      <c r="W23" s="1">
        <f>'3x6'!R15</f>
        <v>-0.57078287328673194</v>
      </c>
      <c r="X23" s="1">
        <f>'3x7'!R15</f>
        <v>-0.56443313610437085</v>
      </c>
      <c r="Y23" s="1">
        <f>'3x8'!R15</f>
        <v>-0.56083720263110148</v>
      </c>
      <c r="Z23" s="1">
        <f>'3x9'!R15</f>
        <v>-0.55880078107062003</v>
      </c>
      <c r="AA23" s="1">
        <f>'3x10'!R15</f>
        <v>-0.55764753014160218</v>
      </c>
    </row>
    <row r="24" spans="1:27" x14ac:dyDescent="0.2">
      <c r="A24">
        <v>10</v>
      </c>
      <c r="B24" s="1">
        <f>'1x2'!R16</f>
        <v>0.6915402977951044</v>
      </c>
      <c r="C24" s="1">
        <f>'1x3'!R16</f>
        <v>0.87237328279965753</v>
      </c>
      <c r="D24" s="1">
        <f>'1x4'!R16</f>
        <v>0.92708029246853807</v>
      </c>
      <c r="E24" s="1">
        <f>'1x5'!R16</f>
        <v>0.94734747754207804</v>
      </c>
      <c r="F24" s="1">
        <f>'1x6'!R16</f>
        <v>0.95626426530283437</v>
      </c>
      <c r="G24" s="1">
        <f>'1x7'!R16</f>
        <v>0.96063122052405137</v>
      </c>
      <c r="H24" s="1">
        <f>'1x8'!R16</f>
        <v>0.96290786896185721</v>
      </c>
      <c r="I24" s="1">
        <f>'1x9'!R16</f>
        <v>0.96413799184583415</v>
      </c>
      <c r="J24" s="1">
        <f>'1x10'!R16</f>
        <v>0.96481631464323203</v>
      </c>
      <c r="K24">
        <v>10</v>
      </c>
      <c r="L24" s="1">
        <f>'2x3'!R16</f>
        <v>-0.22728133860872424</v>
      </c>
      <c r="M24" s="1">
        <f>'2x4'!R16</f>
        <v>-0.15296094647477049</v>
      </c>
      <c r="N24" s="1">
        <f>'2x5'!R16</f>
        <v>-0.11089925427141817</v>
      </c>
      <c r="O24" s="1">
        <f>'2x6'!R16</f>
        <v>-8.7092261305346252E-2</v>
      </c>
      <c r="P24" s="1">
        <f>'2x7'!R16</f>
        <v>-7.3615324935019932E-2</v>
      </c>
      <c r="Q24" s="1">
        <f>'2x8'!R16</f>
        <v>-6.5985080910928473E-2</v>
      </c>
      <c r="R24" s="1">
        <f>'2x9'!R16</f>
        <v>-6.1664636453521715E-2</v>
      </c>
      <c r="S24" s="1">
        <f>'2x10'!R16</f>
        <v>-5.9218134106802156E-2</v>
      </c>
      <c r="T24">
        <v>10</v>
      </c>
      <c r="U24" s="1">
        <f>'3x4'!R16</f>
        <v>-0.60179424602354692</v>
      </c>
      <c r="V24" s="1">
        <f>'3x5'!R16</f>
        <v>-0.58199511216911026</v>
      </c>
      <c r="W24" s="1">
        <f>'3x6'!R16</f>
        <v>-0.57078261761894311</v>
      </c>
      <c r="X24" s="1">
        <f>'3x7'!R16</f>
        <v>-0.5644328423826569</v>
      </c>
      <c r="Y24" s="1">
        <f>'3x8'!R16</f>
        <v>-0.56083688520354436</v>
      </c>
      <c r="Z24" s="1">
        <f>'3x9'!R16</f>
        <v>-0.55880044947962859</v>
      </c>
      <c r="AA24" s="1">
        <f>'3x10'!R16</f>
        <v>-0.55764719028384668</v>
      </c>
    </row>
    <row r="25" spans="1:27" x14ac:dyDescent="0.2">
      <c r="B25" s="357" t="s">
        <v>154</v>
      </c>
      <c r="C25" s="357"/>
      <c r="D25" s="357"/>
      <c r="E25" s="357"/>
      <c r="F25" s="357"/>
      <c r="G25" s="357"/>
      <c r="H25" s="357"/>
      <c r="I25" s="357"/>
      <c r="J25" s="357"/>
      <c r="L25" s="357" t="s">
        <v>154</v>
      </c>
      <c r="M25" s="357"/>
      <c r="N25" s="357"/>
      <c r="O25" s="357"/>
      <c r="P25" s="357"/>
      <c r="Q25" s="357"/>
      <c r="R25" s="357"/>
      <c r="S25" s="357"/>
      <c r="U25" s="357" t="s">
        <v>175</v>
      </c>
      <c r="V25" s="357"/>
      <c r="W25" s="357"/>
      <c r="X25" s="357"/>
      <c r="Y25" s="357"/>
      <c r="Z25" s="357"/>
      <c r="AA25" s="357"/>
    </row>
    <row r="26" spans="1:27" x14ac:dyDescent="0.2">
      <c r="A26" s="31" t="s">
        <v>57</v>
      </c>
      <c r="B26" s="49" t="s">
        <v>142</v>
      </c>
      <c r="C26" s="49" t="s">
        <v>143</v>
      </c>
      <c r="D26" s="49" t="s">
        <v>144</v>
      </c>
      <c r="E26" s="49" t="s">
        <v>145</v>
      </c>
      <c r="F26" s="49" t="s">
        <v>146</v>
      </c>
      <c r="G26" s="49" t="s">
        <v>147</v>
      </c>
      <c r="H26" s="49" t="s">
        <v>148</v>
      </c>
      <c r="I26" s="49" t="s">
        <v>149</v>
      </c>
      <c r="J26" s="49" t="s">
        <v>150</v>
      </c>
      <c r="K26" s="31" t="s">
        <v>57</v>
      </c>
      <c r="L26" s="49" t="s">
        <v>165</v>
      </c>
      <c r="M26" s="49" t="s">
        <v>166</v>
      </c>
      <c r="N26" s="49" t="s">
        <v>167</v>
      </c>
      <c r="O26" s="49" t="s">
        <v>168</v>
      </c>
      <c r="P26" s="49" t="s">
        <v>169</v>
      </c>
      <c r="Q26" s="49" t="s">
        <v>170</v>
      </c>
      <c r="R26" s="49" t="s">
        <v>171</v>
      </c>
      <c r="S26" s="49" t="s">
        <v>172</v>
      </c>
      <c r="T26" s="31" t="s">
        <v>57</v>
      </c>
      <c r="U26" s="49" t="s">
        <v>176</v>
      </c>
      <c r="V26" s="49" t="s">
        <v>177</v>
      </c>
      <c r="W26" s="49" t="s">
        <v>178</v>
      </c>
      <c r="X26" s="49" t="s">
        <v>179</v>
      </c>
      <c r="Y26" s="49" t="s">
        <v>180</v>
      </c>
      <c r="Z26" s="49" t="s">
        <v>181</v>
      </c>
      <c r="AA26" s="49" t="s">
        <v>182</v>
      </c>
    </row>
    <row r="27" spans="1:27" x14ac:dyDescent="0.2">
      <c r="A27" s="279">
        <v>1</v>
      </c>
      <c r="B27" s="1">
        <f>'1x2'!E21</f>
        <v>-33.405324417622822</v>
      </c>
      <c r="C27" s="1">
        <f>'1x3'!E21</f>
        <v>90.406512152453445</v>
      </c>
      <c r="D27" s="1">
        <f>'1x4'!E21</f>
        <v>50.647317999800215</v>
      </c>
      <c r="E27" s="1">
        <f>'1x5'!E21</f>
        <v>48.526004876192609</v>
      </c>
      <c r="F27" s="1">
        <f>'1x6'!E21</f>
        <v>51.673517302505381</v>
      </c>
      <c r="G27" s="1">
        <f>'1x7'!E21</f>
        <v>56.748585586966584</v>
      </c>
      <c r="H27" s="1">
        <f>'1x8'!E21</f>
        <v>62.795615002613289</v>
      </c>
      <c r="I27" s="1">
        <f>'1x9'!E21</f>
        <v>69.40567163781725</v>
      </c>
      <c r="J27" s="1">
        <f>'1x10'!E21</f>
        <v>76.361823179623926</v>
      </c>
      <c r="K27" s="279">
        <v>1</v>
      </c>
      <c r="L27" s="1">
        <f>'2x4'!D33</f>
        <v>4</v>
      </c>
      <c r="M27" s="1">
        <f>'2x4'!E21</f>
        <v>-9.878405655075543</v>
      </c>
      <c r="N27" s="1">
        <f>'2x5'!E21</f>
        <v>-13.005850119643659</v>
      </c>
      <c r="O27" s="1">
        <f>'2x6'!E21</f>
        <v>-16.08120951246951</v>
      </c>
      <c r="P27" s="1">
        <f>'2x7'!E21</f>
        <v>-19.085612000943051</v>
      </c>
      <c r="Q27" s="1">
        <f>'2x8'!E21</f>
        <v>-22.026121243779023</v>
      </c>
      <c r="R27" s="1">
        <f>'2x9'!E21</f>
        <v>-24.917260949575098</v>
      </c>
      <c r="S27" s="1">
        <f>'2x10'!E21</f>
        <v>-27.773157088330123</v>
      </c>
      <c r="T27" s="279">
        <v>1</v>
      </c>
      <c r="U27" s="1">
        <f>'3x4'!E21</f>
        <v>-5.9887987184307274</v>
      </c>
      <c r="V27" s="1">
        <f>'3x5'!E21</f>
        <v>-7.6422645120467889</v>
      </c>
      <c r="W27" s="1">
        <f>'3x6'!E21</f>
        <v>-9.2790085644014511</v>
      </c>
      <c r="X27" s="1">
        <f>'3x7'!E21</f>
        <v>-10.8978609404538</v>
      </c>
      <c r="Y27" s="1">
        <f>'3x8'!E21</f>
        <v>-12.501823178594904</v>
      </c>
      <c r="Z27" s="1">
        <f>'3x9'!E21</f>
        <v>-14.094682952855411</v>
      </c>
      <c r="AA27" s="1">
        <f>'3x10'!E21</f>
        <v>-15.679757732047261</v>
      </c>
    </row>
    <row r="28" spans="1:27" x14ac:dyDescent="0.2">
      <c r="A28">
        <v>2</v>
      </c>
      <c r="B28" s="1">
        <f>'1x2'!E22</f>
        <v>23.808598252139973</v>
      </c>
      <c r="C28" s="1">
        <f>'1x3'!E22</f>
        <v>31.82412012205414</v>
      </c>
      <c r="D28" s="1">
        <f>'1x4'!E22</f>
        <v>45.90822627354261</v>
      </c>
      <c r="E28" s="1">
        <f>'1x5'!E22</f>
        <v>64.442632072242361</v>
      </c>
      <c r="F28" s="1">
        <f>'1x6'!E22</f>
        <v>87.228592328111304</v>
      </c>
      <c r="G28" s="1">
        <f>'1x7'!E22</f>
        <v>114.22902058581229</v>
      </c>
      <c r="H28" s="1">
        <f>'1x8'!E22</f>
        <v>145.42282055564115</v>
      </c>
      <c r="I28" s="1">
        <f>'1x9'!E22</f>
        <v>180.78295720771439</v>
      </c>
      <c r="J28" s="1">
        <f>'1x10'!E22</f>
        <v>220.27773175146362</v>
      </c>
      <c r="K28">
        <v>2</v>
      </c>
      <c r="L28" s="1">
        <f>'2x4'!D34</f>
        <v>24</v>
      </c>
      <c r="M28" s="1">
        <f>'2x4'!E22</f>
        <v>-80.748598530933279</v>
      </c>
      <c r="N28" s="1">
        <f>'2x5'!E22</f>
        <v>-137.74596600526436</v>
      </c>
      <c r="O28" s="1">
        <f>'2x6'!E22</f>
        <v>-208.73937401080605</v>
      </c>
      <c r="P28" s="1">
        <f>'2x7'!E22</f>
        <v>-291.78052765577041</v>
      </c>
      <c r="Q28" s="1">
        <f>'2x8'!E22</f>
        <v>-385.6392511749408</v>
      </c>
      <c r="R28" s="1">
        <f>'2x9'!E22</f>
        <v>-489.77778534855673</v>
      </c>
      <c r="S28" s="1">
        <f>'2x10'!E22</f>
        <v>-604.09052907399814</v>
      </c>
      <c r="T28">
        <v>2</v>
      </c>
      <c r="U28" s="1">
        <f>'3x4'!E22</f>
        <v>-32.544800824439363</v>
      </c>
      <c r="V28" s="1">
        <f>'3x5'!E22</f>
        <v>-50.287375575284919</v>
      </c>
      <c r="W28" s="1">
        <f>'3x6'!E22</f>
        <v>-71.615711068029213</v>
      </c>
      <c r="X28" s="1">
        <f>'3x7'!E22</f>
        <v>-96.425191917347973</v>
      </c>
      <c r="Y28" s="1">
        <f>'3x8'!E22</f>
        <v>-124.66695456026456</v>
      </c>
      <c r="Z28" s="1">
        <f>'3x9'!E22</f>
        <v>-156.32702583808197</v>
      </c>
      <c r="AA28" s="1">
        <f>'3x10'!E22</f>
        <v>-191.40928426325399</v>
      </c>
    </row>
    <row r="29" spans="1:27" x14ac:dyDescent="0.2">
      <c r="A29">
        <v>3</v>
      </c>
      <c r="B29" s="1">
        <f>'1x2'!E23</f>
        <v>34.411892191115719</v>
      </c>
      <c r="C29" s="1">
        <f>'1x3'!E23</f>
        <v>71.085026902365172</v>
      </c>
      <c r="D29" s="1">
        <f>'1x4'!E23</f>
        <v>137.30472145659553</v>
      </c>
      <c r="E29" s="1">
        <f>'1x5'!E23</f>
        <v>241.06928821627795</v>
      </c>
      <c r="F29" s="1">
        <f>'1x6'!E23</f>
        <v>391.31061572422198</v>
      </c>
      <c r="G29" s="1">
        <f>'1x7'!E23</f>
        <v>597.13512604694608</v>
      </c>
      <c r="H29" s="1">
        <f>'1x8'!E23</f>
        <v>867.63951409307447</v>
      </c>
      <c r="I29" s="1">
        <f>'1x9'!E23</f>
        <v>1211.8479494184614</v>
      </c>
      <c r="J29" s="1">
        <f>'1x10'!E23</f>
        <v>1638.7026712514032</v>
      </c>
      <c r="K29">
        <v>3</v>
      </c>
      <c r="L29" s="1">
        <f>'2x4'!D35</f>
        <v>124</v>
      </c>
      <c r="M29" s="1">
        <f>'2x4'!E23</f>
        <v>-439.30376592392008</v>
      </c>
      <c r="N29" s="1">
        <f>'2x5'!E23</f>
        <v>-994.06224301675411</v>
      </c>
      <c r="O29" s="1">
        <f>'2x6'!E23</f>
        <v>-1893.3809722909727</v>
      </c>
      <c r="P29" s="1">
        <f>'2x7'!E23</f>
        <v>-3186.024430774823</v>
      </c>
      <c r="Q29" s="1">
        <f>'2x8'!E23</f>
        <v>-4906.6501394682045</v>
      </c>
      <c r="R29" s="1">
        <f>'2x9'!E23</f>
        <v>-7089.9892637289804</v>
      </c>
      <c r="S29" s="1">
        <f>'2x10'!E23</f>
        <v>-9776.9481787293116</v>
      </c>
      <c r="T29">
        <v>3</v>
      </c>
      <c r="U29" s="1">
        <f>'3x4'!E23</f>
        <v>-139.00027007942666</v>
      </c>
      <c r="V29" s="1">
        <f>'3x5'!E23</f>
        <v>-264.94844834364284</v>
      </c>
      <c r="W29" s="1">
        <f>'3x6'!E23</f>
        <v>-449.38212422847647</v>
      </c>
      <c r="X29" s="1">
        <f>'3x7'!E23</f>
        <v>-702.51425260698011</v>
      </c>
      <c r="Y29" s="1">
        <f>'3x8'!E23</f>
        <v>-1034.5917346698873</v>
      </c>
      <c r="Z29" s="1">
        <f>'3x9'!E23</f>
        <v>-1455.9982166283576</v>
      </c>
      <c r="AA29" s="1">
        <f>'3x10'!E23</f>
        <v>-1977.2576349160054</v>
      </c>
    </row>
    <row r="30" spans="1:27" x14ac:dyDescent="0.2">
      <c r="A30">
        <v>4</v>
      </c>
      <c r="B30" s="1">
        <f>'1x2'!E24</f>
        <v>60.13836486476054</v>
      </c>
      <c r="C30" s="1">
        <f>'1x3'!E24</f>
        <v>184.25344531458032</v>
      </c>
      <c r="D30" s="1">
        <f>'1x4'!E24</f>
        <v>475.04914310624702</v>
      </c>
      <c r="E30" s="1">
        <f>'1x5'!E24</f>
        <v>1044.9124301001589</v>
      </c>
      <c r="F30" s="1">
        <f>'1x6'!E24</f>
        <v>2038.6342897859477</v>
      </c>
      <c r="G30" s="1">
        <f>'1x7'!E24</f>
        <v>3632.8625123910265</v>
      </c>
      <c r="H30" s="1">
        <f>'1x8'!E24</f>
        <v>6035.6778851263234</v>
      </c>
      <c r="I30" s="1">
        <f>'1x9'!E24</f>
        <v>9486.16806962595</v>
      </c>
      <c r="J30" s="1">
        <f>'1x10'!E24</f>
        <v>14254.107936906505</v>
      </c>
      <c r="K30">
        <v>4</v>
      </c>
      <c r="L30" s="1">
        <f>'2x4'!D36</f>
        <v>624</v>
      </c>
      <c r="M30" s="1">
        <f>'2x4'!E24</f>
        <v>-2014.1606904404769</v>
      </c>
      <c r="N30" s="1">
        <f>'2x5'!E24</f>
        <v>-5981.9305745132597</v>
      </c>
      <c r="O30" s="1">
        <f>'2x6'!E24</f>
        <v>-14270.926979937547</v>
      </c>
      <c r="P30" s="1">
        <f>'2x7'!E24</f>
        <v>-28924.974987113696</v>
      </c>
      <c r="Q30" s="1">
        <f>'2x8'!E24</f>
        <v>-52009.751651113569</v>
      </c>
      <c r="R30" s="1">
        <f>'2x9'!E24</f>
        <v>-85683.906867044265</v>
      </c>
      <c r="S30" s="1">
        <f>'2x10'!E24</f>
        <v>-132338.00925134317</v>
      </c>
      <c r="T30">
        <v>4</v>
      </c>
      <c r="U30" s="1">
        <f>'3x4'!E24</f>
        <v>-564.50690780563104</v>
      </c>
      <c r="V30" s="1">
        <f>'3x5'!E24</f>
        <v>-1338.7657156489984</v>
      </c>
      <c r="W30" s="1">
        <f>'3x6'!E24</f>
        <v>-2719.1698556135575</v>
      </c>
      <c r="X30" s="1">
        <f>'3x7'!E24</f>
        <v>-4954.0022241961469</v>
      </c>
      <c r="Y30" s="1">
        <f>'3x8'!E24</f>
        <v>-8332.8291397684079</v>
      </c>
      <c r="Z30" s="1">
        <f>'3x9'!E24</f>
        <v>-13187.63460651167</v>
      </c>
      <c r="AA30" s="1">
        <f>'3x10'!E24</f>
        <v>-19893.5674858116</v>
      </c>
    </row>
    <row r="31" spans="1:27" x14ac:dyDescent="0.2">
      <c r="A31">
        <v>5</v>
      </c>
      <c r="B31" s="1">
        <f>'1x2'!E25</f>
        <v>110.81993651995872</v>
      </c>
      <c r="C31" s="1">
        <f>'1x3'!E25</f>
        <v>504.55081096621336</v>
      </c>
      <c r="D31" s="1">
        <f>'1x4'!E25</f>
        <v>1740.7050801808666</v>
      </c>
      <c r="E31" s="1">
        <f>'1x5'!E25</f>
        <v>4802.5816789208884</v>
      </c>
      <c r="F31" s="1">
        <f>'1x6'!E25</f>
        <v>11269.00574932089</v>
      </c>
      <c r="G31" s="1">
        <f>'1x7'!E25</f>
        <v>23459.514342143306</v>
      </c>
      <c r="H31" s="1">
        <f>'1x8'!E25</f>
        <v>44578.034386365311</v>
      </c>
      <c r="I31" s="1">
        <f>'1x9'!E25</f>
        <v>78854.652430309623</v>
      </c>
      <c r="J31" s="1">
        <f>'1x10'!E25</f>
        <v>131686.23249709958</v>
      </c>
      <c r="K31">
        <v>5</v>
      </c>
      <c r="L31" s="1">
        <f>'2x4'!D37</f>
        <v>3124</v>
      </c>
      <c r="M31" s="1">
        <f>'2x4'!E25</f>
        <v>-8548.1774595363258</v>
      </c>
      <c r="N31" s="1">
        <f>'2x5'!E25</f>
        <v>-32705.535344644446</v>
      </c>
      <c r="O31" s="1">
        <f>'2x6'!E25</f>
        <v>-96354.508320223104</v>
      </c>
      <c r="P31" s="1">
        <f>'2x7'!E25</f>
        <v>-233109.34155026963</v>
      </c>
      <c r="Q31" s="1">
        <f>'2x8'!E25</f>
        <v>-486790.43525098974</v>
      </c>
      <c r="R31" s="1">
        <f>'2x9'!E25</f>
        <v>-911638.46285113192</v>
      </c>
      <c r="S31" s="1">
        <f>'2x10'!E25</f>
        <v>-1574458.5484830788</v>
      </c>
      <c r="T31">
        <v>5</v>
      </c>
      <c r="U31" s="1">
        <f>'3x4'!E25</f>
        <v>-2266.1797306182425</v>
      </c>
      <c r="V31" s="1">
        <f>'3x5'!E25</f>
        <v>-6708.158983458934</v>
      </c>
      <c r="W31" s="1">
        <f>'3x6'!E25</f>
        <v>-16341.58574438319</v>
      </c>
      <c r="X31" s="1">
        <f>'3x7'!E25</f>
        <v>-34727.259078771734</v>
      </c>
      <c r="Y31" s="1">
        <f>'3x8'!E25</f>
        <v>-66750.827317936302</v>
      </c>
      <c r="Z31" s="1">
        <f>'3x9'!E25</f>
        <v>-118839.66716979924</v>
      </c>
      <c r="AA31" s="1">
        <f>'3x10'!E25</f>
        <v>-199182.73814702142</v>
      </c>
    </row>
    <row r="32" spans="1:27" x14ac:dyDescent="0.2">
      <c r="A32">
        <v>6</v>
      </c>
      <c r="B32" s="1">
        <f>'1x2'!E26</f>
        <v>209.2497848007246</v>
      </c>
      <c r="C32" s="1">
        <f>'1x3'!E26</f>
        <v>1421.9959993965297</v>
      </c>
      <c r="D32" s="1">
        <f>'1x4'!E26</f>
        <v>6571.2587066127853</v>
      </c>
      <c r="E32" s="1">
        <f>'1x5'!E26</f>
        <v>22742.24381690261</v>
      </c>
      <c r="F32" s="1">
        <f>'1x6'!E26</f>
        <v>64172.656814622809</v>
      </c>
      <c r="G32" s="1">
        <f>'1x7'!E26</f>
        <v>156050.33108417856</v>
      </c>
      <c r="H32" s="1">
        <f>'1x8'!E26</f>
        <v>339127.80085272511</v>
      </c>
      <c r="I32" s="1">
        <f>'1x9'!E26</f>
        <v>675142.46720814169</v>
      </c>
      <c r="J32" s="1">
        <f>'1x10'!E26</f>
        <v>1253037.5044723682</v>
      </c>
      <c r="K32">
        <v>6</v>
      </c>
      <c r="L32" s="1">
        <f>'2x4'!D38</f>
        <v>15624</v>
      </c>
      <c r="M32" s="1">
        <f>'2x4'!E26</f>
        <v>-35068.134564365595</v>
      </c>
      <c r="N32" s="1">
        <f>'2x5'!E26</f>
        <v>-170450.15181290969</v>
      </c>
      <c r="O32" s="1">
        <f>'2x6'!E26</f>
        <v>-612474.81843960739</v>
      </c>
      <c r="P32" s="1">
        <f>'2x7'!E26</f>
        <v>-1752283.9606875607</v>
      </c>
      <c r="Q32" s="1">
        <f>'2x8'!E26</f>
        <v>-4223372.6795462715</v>
      </c>
      <c r="R32" s="1">
        <f>'2x9'!E26</f>
        <v>-8956245.0352412984</v>
      </c>
      <c r="S32" s="1">
        <f>'2x10'!E26</f>
        <v>-17256565.101642109</v>
      </c>
      <c r="T32">
        <v>6</v>
      </c>
      <c r="U32" s="1">
        <f>'3x4'!E26</f>
        <v>-9072.5693459860158</v>
      </c>
      <c r="V32" s="1">
        <f>'3x5'!E26</f>
        <v>-33555.396915718193</v>
      </c>
      <c r="W32" s="1">
        <f>'3x6'!E26</f>
        <v>-98080.7313353137</v>
      </c>
      <c r="X32" s="1">
        <f>'3x7'!E26</f>
        <v>-243159.45129018647</v>
      </c>
      <c r="Y32" s="1">
        <f>'3x8'!E26</f>
        <v>-534150.89905961056</v>
      </c>
      <c r="Z32" s="1">
        <f>'3x9'!E26</f>
        <v>-1069841.1245652903</v>
      </c>
      <c r="AA32" s="1">
        <f>'3x10'!E26</f>
        <v>-1992352.612136893</v>
      </c>
    </row>
    <row r="33" spans="1:27" x14ac:dyDescent="0.2">
      <c r="A33">
        <v>7</v>
      </c>
      <c r="B33" s="1">
        <f>'1x2'!E27</f>
        <v>400.85927545400642</v>
      </c>
      <c r="C33" s="1">
        <f>'1x3'!E27</f>
        <v>4077.7955288365738</v>
      </c>
      <c r="D33" s="1">
        <f>'1x4'!E27</f>
        <v>25242.530175779844</v>
      </c>
      <c r="E33" s="1">
        <f>'1x5'!E27</f>
        <v>109554.79422289756</v>
      </c>
      <c r="F33" s="1">
        <f>'1x6'!E27</f>
        <v>371665.29759128776</v>
      </c>
      <c r="G33" s="1">
        <f>'1x7'!E27</f>
        <v>1055555.5561794268</v>
      </c>
      <c r="H33" s="1">
        <f>'1x8'!E27</f>
        <v>2623228.1999589805</v>
      </c>
      <c r="I33" s="1">
        <f>'1x9'!E27</f>
        <v>5877193.6546766125</v>
      </c>
      <c r="J33" s="1">
        <f>'1x10'!E27</f>
        <v>12122176.34121535</v>
      </c>
      <c r="K33">
        <v>7</v>
      </c>
      <c r="L33" s="1">
        <f>'2x4'!D39</f>
        <v>78124</v>
      </c>
      <c r="M33" s="1">
        <f>'2x4'!E27</f>
        <v>-141783.58439524344</v>
      </c>
      <c r="N33" s="1">
        <f>'2x5'!E27</f>
        <v>-868436.1564923391</v>
      </c>
      <c r="O33" s="1">
        <f>'2x6'!E27</f>
        <v>-3776418.767552441</v>
      </c>
      <c r="P33" s="1">
        <f>'2x7'!E27</f>
        <v>-12696845.525440665</v>
      </c>
      <c r="Q33" s="1">
        <f>'2x8'!E27</f>
        <v>-35163215.085872613</v>
      </c>
      <c r="R33" s="1">
        <f>'2x9'!E27</f>
        <v>-84194528.657024235</v>
      </c>
      <c r="S33" s="1">
        <f>'2x10'!E27</f>
        <v>-180658945.19820294</v>
      </c>
      <c r="T33">
        <v>7</v>
      </c>
      <c r="U33" s="1">
        <f>'3x4'!E27</f>
        <v>-36297.883691037212</v>
      </c>
      <c r="V33" s="1">
        <f>'3x5'!E27</f>
        <v>-167791.85994929328</v>
      </c>
      <c r="W33" s="1">
        <f>'3x6'!E27</f>
        <v>-588521.56858080172</v>
      </c>
      <c r="X33" s="1">
        <f>'3x7'!E27</f>
        <v>-1702214.3125333351</v>
      </c>
      <c r="Y33" s="1">
        <f>'3x8'!E27</f>
        <v>-4273449.9011029545</v>
      </c>
      <c r="Z33" s="1">
        <f>'3x9'!E27</f>
        <v>-9629118.4562260136</v>
      </c>
      <c r="AA33" s="1">
        <f>'3x10'!E27</f>
        <v>-19924666.314678587</v>
      </c>
    </row>
    <row r="34" spans="1:27" x14ac:dyDescent="0.2">
      <c r="A34">
        <v>8</v>
      </c>
      <c r="B34" s="1">
        <f>'1x2'!E28</f>
        <v>775.4632504978847</v>
      </c>
      <c r="C34" s="1">
        <f>'1x3'!E28</f>
        <v>11825.729742430633</v>
      </c>
      <c r="D34" s="1">
        <f>'1x4'!E28</f>
        <v>98034.414049278595</v>
      </c>
      <c r="E34" s="1">
        <f>'1x5'!E28</f>
        <v>533400.85284197179</v>
      </c>
      <c r="F34" s="1">
        <f>'1x6'!E28</f>
        <v>2175119.5964989532</v>
      </c>
      <c r="G34" s="1">
        <f>'1x7'!E28</f>
        <v>7213863.6865053866</v>
      </c>
      <c r="H34" s="1">
        <f>'1x8'!E28</f>
        <v>20499558.509468738</v>
      </c>
      <c r="I34" s="1">
        <f>'1x9'!E28</f>
        <v>51684492.095476255</v>
      </c>
      <c r="J34" s="1">
        <f>'1x10'!E28</f>
        <v>118468064.26358871</v>
      </c>
      <c r="K34">
        <v>8</v>
      </c>
      <c r="L34" s="1">
        <f>'2x4'!D40</f>
        <v>390624</v>
      </c>
      <c r="M34" s="1">
        <f>'2x4'!E28</f>
        <v>-569709.94116376725</v>
      </c>
      <c r="N34" s="1">
        <f>'2x5'!E28</f>
        <v>-4378998.3608668046</v>
      </c>
      <c r="O34" s="1">
        <f>'2x6'!E28</f>
        <v>-22947001.58639108</v>
      </c>
      <c r="P34" s="1">
        <f>'2x7'!E28</f>
        <v>-90342652.959061891</v>
      </c>
      <c r="Q34" s="1">
        <f>'2x8'!E28</f>
        <v>-286740599.05994153</v>
      </c>
      <c r="R34" s="1">
        <f>'2x9'!E28</f>
        <v>-773854005.32627249</v>
      </c>
      <c r="S34" s="1">
        <f>'2x10'!E28</f>
        <v>-1847189333.7906663</v>
      </c>
      <c r="T34">
        <v>8</v>
      </c>
      <c r="U34" s="1">
        <f>'3x4'!E28</f>
        <v>-145198.94590593237</v>
      </c>
      <c r="V34" s="1">
        <f>'3x5'!E28</f>
        <v>-838974.45858058485</v>
      </c>
      <c r="W34" s="1">
        <f>'3x6'!E28</f>
        <v>-3531174.2653201618</v>
      </c>
      <c r="X34" s="1">
        <f>'3x7'!E28</f>
        <v>-11915643.323035618</v>
      </c>
      <c r="Y34" s="1">
        <f>'3x8'!E28</f>
        <v>-34188014.788849182</v>
      </c>
      <c r="Z34" s="1">
        <f>'3x9'!E28</f>
        <v>-86663138.946930096</v>
      </c>
      <c r="AA34" s="1">
        <f>'3x10'!E28</f>
        <v>-199249163.36837184</v>
      </c>
    </row>
    <row r="35" spans="1:27" x14ac:dyDescent="0.2">
      <c r="A35">
        <v>9</v>
      </c>
      <c r="B35" s="1">
        <f>'1x2'!E29</f>
        <v>1510.7277428069599</v>
      </c>
      <c r="C35" s="1">
        <f>'1x3'!E29</f>
        <v>34557.479580981475</v>
      </c>
      <c r="D35" s="1">
        <f>'1x4'!E29</f>
        <v>383526.65506991657</v>
      </c>
      <c r="E35" s="1">
        <f>'1x5'!E29</f>
        <v>2615324.093461148</v>
      </c>
      <c r="F35" s="1">
        <f>'1x6'!E29</f>
        <v>12816892.42036291</v>
      </c>
      <c r="G35" s="1">
        <f>'1x7'!E29</f>
        <v>49633376.217185028</v>
      </c>
      <c r="H35" s="1">
        <f>'1x8'!E29</f>
        <v>161266049.81941202</v>
      </c>
      <c r="I35" s="1">
        <f>'1x9'!E29</f>
        <v>457534380.91927403</v>
      </c>
      <c r="J35" s="1">
        <f>'1x10'!E29</f>
        <v>1165428447.8124032</v>
      </c>
      <c r="K35">
        <v>9</v>
      </c>
      <c r="L35" s="1">
        <f>'2x4'!D41</f>
        <v>1953124</v>
      </c>
      <c r="M35" s="1">
        <f>'2x4'!E29</f>
        <v>-2283209.6409011614</v>
      </c>
      <c r="N35" s="1">
        <f>'2x5'!E29</f>
        <v>-21977690.143795412</v>
      </c>
      <c r="O35" s="1">
        <f>'2x6'!E29</f>
        <v>-138485677.91308719</v>
      </c>
      <c r="P35" s="1">
        <f>'2x7'!E29</f>
        <v>-637255949.77946866</v>
      </c>
      <c r="Q35" s="1">
        <f>'2x8'!E29</f>
        <v>-2314778395.5099549</v>
      </c>
      <c r="R35" s="1">
        <f>'2x9'!E29</f>
        <v>-7034715429.9444065</v>
      </c>
      <c r="S35" s="1">
        <f>'2x10'!E29</f>
        <v>-18668931836.229244</v>
      </c>
      <c r="T35">
        <v>9</v>
      </c>
      <c r="U35" s="1">
        <f>'3x4'!E29</f>
        <v>-580803.03918787546</v>
      </c>
      <c r="V35" s="1">
        <f>'3x5'!E29</f>
        <v>-4194887.7474906771</v>
      </c>
      <c r="W35" s="1">
        <f>'3x6'!E29</f>
        <v>-21187100.3247937</v>
      </c>
      <c r="X35" s="1">
        <f>'3x7'!E29</f>
        <v>-83409714.96629931</v>
      </c>
      <c r="Y35" s="1">
        <f>'3x8'!E29</f>
        <v>-273504837.55425107</v>
      </c>
      <c r="Z35" s="1">
        <f>'3x9'!E29</f>
        <v>-779970364.68873239</v>
      </c>
      <c r="AA35" s="1">
        <f>'3x10'!E29</f>
        <v>-1992497141.9094388</v>
      </c>
    </row>
    <row r="36" spans="1:27" x14ac:dyDescent="0.2">
      <c r="A36">
        <v>10</v>
      </c>
      <c r="B36" s="1">
        <f>'1x2'!E30</f>
        <v>2958.6128335881976</v>
      </c>
      <c r="C36" s="1">
        <f>'1x3'!E30</f>
        <v>101529.93190684493</v>
      </c>
      <c r="D36" s="1">
        <f>'1x4'!E30</f>
        <v>1508067.8678620998</v>
      </c>
      <c r="E36" s="1">
        <f>'1x5'!E30</f>
        <v>12885483.193211759</v>
      </c>
      <c r="F36" s="1">
        <f>'1x6'!E30</f>
        <v>75877989.623528942</v>
      </c>
      <c r="G36" s="1">
        <f>'1x7'!E30</f>
        <v>343060322.17047739</v>
      </c>
      <c r="H36" s="1">
        <f>'1x8'!E30</f>
        <v>1274403867.2391505</v>
      </c>
      <c r="I36" s="1">
        <f>'1x9'!E30</f>
        <v>4068538407.5469871</v>
      </c>
      <c r="J36" s="1">
        <f>'1x10'!E30</f>
        <v>11516296875.751574</v>
      </c>
      <c r="K36">
        <v>10</v>
      </c>
      <c r="L36" s="1">
        <f>'2x4'!D42</f>
        <v>9765624</v>
      </c>
      <c r="M36" s="1">
        <f>'2x4'!E30</f>
        <v>-9140241.5598324239</v>
      </c>
      <c r="N36" s="1">
        <f>'2x5'!E30</f>
        <v>-110073147.74294287</v>
      </c>
      <c r="O36" s="1">
        <f>'2x6'!E30</f>
        <v>-833132690.69459629</v>
      </c>
      <c r="P36" s="1">
        <f>'2x7'!E30</f>
        <v>-4476709928.1419582</v>
      </c>
      <c r="Q36" s="1">
        <f>'2x8'!E30</f>
        <v>-18597135823.118492</v>
      </c>
      <c r="R36" s="1">
        <f>'2x9'!E30</f>
        <v>-63612350215.61496</v>
      </c>
      <c r="S36" s="1">
        <f>'2x10'!E30</f>
        <v>-187630212899.99933</v>
      </c>
      <c r="T36">
        <v>10</v>
      </c>
      <c r="U36" s="1">
        <f>'3x4'!E30</f>
        <v>-2323219.2883833181</v>
      </c>
      <c r="V36" s="1">
        <f>'3x5'!E30</f>
        <v>-20974454.501007915</v>
      </c>
      <c r="W36" s="1">
        <f>'3x6'!E30</f>
        <v>-127122669.40203314</v>
      </c>
      <c r="X36" s="1">
        <f>'3x7'!E30</f>
        <v>-583868321.00138271</v>
      </c>
      <c r="Y36" s="1">
        <f>'3x8'!E30</f>
        <v>-2188039953.104434</v>
      </c>
      <c r="Z36" s="1">
        <f>'3x9'!E30</f>
        <v>-7019737463.7992344</v>
      </c>
      <c r="AA36" s="1">
        <f>'3x10'!E30</f>
        <v>-19924983580.289104</v>
      </c>
    </row>
    <row r="37" spans="1:27" x14ac:dyDescent="0.2">
      <c r="B37" s="357" t="s">
        <v>155</v>
      </c>
      <c r="C37" s="357"/>
      <c r="D37" s="357"/>
      <c r="E37" s="357"/>
      <c r="F37" s="357"/>
      <c r="G37" s="357"/>
      <c r="H37" s="357"/>
      <c r="I37" s="357"/>
      <c r="J37" s="357"/>
      <c r="L37" s="357" t="s">
        <v>173</v>
      </c>
      <c r="M37" s="357"/>
      <c r="N37" s="357"/>
      <c r="O37" s="357"/>
      <c r="P37" s="357"/>
      <c r="Q37" s="357"/>
      <c r="R37" s="357"/>
      <c r="S37" s="357"/>
      <c r="U37" s="357" t="s">
        <v>173</v>
      </c>
      <c r="V37" s="357"/>
      <c r="W37" s="357"/>
      <c r="X37" s="357"/>
      <c r="Y37" s="357"/>
      <c r="Z37" s="357"/>
      <c r="AA37" s="357"/>
    </row>
    <row r="38" spans="1:27" x14ac:dyDescent="0.2">
      <c r="A38" s="31" t="s">
        <v>57</v>
      </c>
      <c r="B38" s="49" t="s">
        <v>142</v>
      </c>
      <c r="C38" s="49" t="s">
        <v>143</v>
      </c>
      <c r="D38" s="49" t="s">
        <v>144</v>
      </c>
      <c r="E38" s="49" t="s">
        <v>145</v>
      </c>
      <c r="F38" s="49" t="s">
        <v>146</v>
      </c>
      <c r="G38" s="49" t="s">
        <v>147</v>
      </c>
      <c r="H38" s="49" t="s">
        <v>148</v>
      </c>
      <c r="I38" s="49" t="s">
        <v>149</v>
      </c>
      <c r="J38" s="49" t="s">
        <v>150</v>
      </c>
      <c r="K38" s="31" t="s">
        <v>57</v>
      </c>
      <c r="L38" s="49" t="s">
        <v>165</v>
      </c>
      <c r="M38" s="49" t="s">
        <v>166</v>
      </c>
      <c r="N38" s="49" t="s">
        <v>167</v>
      </c>
      <c r="O38" s="49" t="s">
        <v>168</v>
      </c>
      <c r="P38" s="49" t="s">
        <v>169</v>
      </c>
      <c r="Q38" s="49" t="s">
        <v>170</v>
      </c>
      <c r="R38" s="49" t="s">
        <v>171</v>
      </c>
      <c r="S38" s="49" t="s">
        <v>172</v>
      </c>
      <c r="T38" s="31" t="s">
        <v>57</v>
      </c>
      <c r="U38" s="49" t="s">
        <v>176</v>
      </c>
      <c r="V38" s="49" t="s">
        <v>177</v>
      </c>
      <c r="W38" s="49" t="s">
        <v>178</v>
      </c>
      <c r="X38" s="49" t="s">
        <v>179</v>
      </c>
      <c r="Y38" s="49" t="s">
        <v>180</v>
      </c>
      <c r="Z38" s="49" t="s">
        <v>181</v>
      </c>
      <c r="AA38" s="49" t="s">
        <v>182</v>
      </c>
    </row>
    <row r="39" spans="1:27" x14ac:dyDescent="0.2">
      <c r="A39" s="279">
        <v>1</v>
      </c>
      <c r="B39" s="1">
        <f>'1x2'!E33</f>
        <v>-33.405324417622822</v>
      </c>
      <c r="C39" s="1">
        <f>'1x3'!E33</f>
        <v>90.406512152453445</v>
      </c>
      <c r="D39" s="1">
        <f>'1x4'!E33</f>
        <v>50.647317999800215</v>
      </c>
      <c r="E39" s="1">
        <f>'1x5'!E33</f>
        <v>48.526004876192609</v>
      </c>
      <c r="F39" s="1">
        <f>'1x6'!E33</f>
        <v>51.673517302505381</v>
      </c>
      <c r="G39" s="1">
        <f>'1x7'!E33</f>
        <v>56.748585586966584</v>
      </c>
      <c r="H39" s="1">
        <f>'1x8'!E33</f>
        <v>62.795615002613289</v>
      </c>
      <c r="I39" s="1">
        <f>'1x9'!E33</f>
        <v>69.40567163781725</v>
      </c>
      <c r="J39" s="1">
        <f>'1x10'!E33</f>
        <v>76.361823179623926</v>
      </c>
      <c r="K39" s="279">
        <v>1</v>
      </c>
      <c r="L39" s="1">
        <f>'2x3'!E21</f>
        <v>-6.7779893093083237</v>
      </c>
      <c r="M39" s="1">
        <f>'2x4'!E21</f>
        <v>-9.878405655075543</v>
      </c>
      <c r="N39" s="1">
        <f>'2x5'!E21</f>
        <v>-13.005850119643659</v>
      </c>
      <c r="O39" s="1">
        <f>'2x6'!E21</f>
        <v>-16.08120951246951</v>
      </c>
      <c r="P39" s="1">
        <f>'2x7'!E21</f>
        <v>-19.085612000943051</v>
      </c>
      <c r="Q39" s="1">
        <f>'2x8'!E21</f>
        <v>-22.026121243779023</v>
      </c>
      <c r="R39" s="1">
        <f>'2x9'!E21</f>
        <v>-24.917260949575098</v>
      </c>
      <c r="S39" s="1">
        <f>'2x10'!E21</f>
        <v>-27.773157088330123</v>
      </c>
      <c r="T39" s="279">
        <v>1</v>
      </c>
      <c r="U39" s="1">
        <f>'3x4'!E21</f>
        <v>-5.9887987184307274</v>
      </c>
      <c r="V39" s="1">
        <f>'3x5'!E33</f>
        <v>-7.6422645120467889</v>
      </c>
      <c r="W39" s="1">
        <f>'3x6'!E33</f>
        <v>-9.2790085644014511</v>
      </c>
      <c r="X39" s="1">
        <f>'3x7'!E33</f>
        <v>-10.8978609404538</v>
      </c>
      <c r="Y39" s="1">
        <f>'3x8'!E33</f>
        <v>-12.501823178594904</v>
      </c>
      <c r="Z39" s="1">
        <f>'3x9'!E33</f>
        <v>-14.094682952855411</v>
      </c>
      <c r="AA39" s="1">
        <f>'3x10'!E33</f>
        <v>-15.679757732047261</v>
      </c>
    </row>
    <row r="40" spans="1:27" x14ac:dyDescent="0.2">
      <c r="A40">
        <v>2</v>
      </c>
      <c r="B40" s="1">
        <f>'1x2'!E34</f>
        <v>31.744797669519961</v>
      </c>
      <c r="C40" s="1">
        <f>'1x3'!E34</f>
        <v>39.780150152567678</v>
      </c>
      <c r="D40" s="1">
        <f>'1x4'!E34</f>
        <v>55.08987152825113</v>
      </c>
      <c r="E40" s="1">
        <f>'1x5'!E34</f>
        <v>75.183070750949426</v>
      </c>
      <c r="F40" s="1">
        <f>'1x6'!E34</f>
        <v>99.689819803555764</v>
      </c>
      <c r="G40" s="1">
        <f>'1x7'!E34</f>
        <v>128.50764815903884</v>
      </c>
      <c r="H40" s="1">
        <f>'1x8'!E34</f>
        <v>161.58091172849018</v>
      </c>
      <c r="I40" s="1">
        <f>'1x9'!E34</f>
        <v>198.86125292848581</v>
      </c>
      <c r="J40" s="1">
        <f>'1x10'!E34</f>
        <v>240.30298009250578</v>
      </c>
      <c r="K40">
        <v>2</v>
      </c>
      <c r="L40" s="1">
        <f>'2x3'!E22</f>
        <v>-39.686712864721422</v>
      </c>
      <c r="M40" s="1">
        <f>'2x4'!E22</f>
        <v>-80.748598530933279</v>
      </c>
      <c r="N40" s="1">
        <f>'2x5'!E22</f>
        <v>-137.74596600526436</v>
      </c>
      <c r="O40" s="1">
        <f>'2x6'!E22</f>
        <v>-208.73937401080605</v>
      </c>
      <c r="P40" s="1">
        <f>'2x7'!E22</f>
        <v>-291.78052765577041</v>
      </c>
      <c r="Q40" s="1">
        <f>'2x8'!E22</f>
        <v>-385.6392511749408</v>
      </c>
      <c r="R40" s="1">
        <f>'2x9'!E22</f>
        <v>-489.77778534855673</v>
      </c>
      <c r="S40" s="1">
        <f>'2x10'!E22</f>
        <v>-604.09052907399814</v>
      </c>
      <c r="T40">
        <v>2</v>
      </c>
      <c r="U40" s="1">
        <f>'3x4'!E22</f>
        <v>-32.544800824439363</v>
      </c>
      <c r="V40" s="1">
        <f>'3x5'!E34</f>
        <v>-58.668604837832412</v>
      </c>
      <c r="W40" s="1">
        <f>'3x6'!E34</f>
        <v>-81.846526934890534</v>
      </c>
      <c r="X40" s="1">
        <f>'3x7'!E34</f>
        <v>-108.47834090701647</v>
      </c>
      <c r="Y40" s="1">
        <f>'3x8'!E34</f>
        <v>-138.51883840029396</v>
      </c>
      <c r="Z40" s="1">
        <f>'3x9'!E34</f>
        <v>-171.95972842189016</v>
      </c>
      <c r="AA40" s="1">
        <f>'3x10'!E34</f>
        <v>-208.81012828718619</v>
      </c>
    </row>
    <row r="41" spans="1:27" x14ac:dyDescent="0.2">
      <c r="A41">
        <v>3</v>
      </c>
      <c r="B41" s="1">
        <f>'1x2'!E35</f>
        <v>63.907799783500629</v>
      </c>
      <c r="C41" s="1">
        <f>'1x3'!E35</f>
        <v>114.8296588422822</v>
      </c>
      <c r="D41" s="1">
        <f>'1x4'!E35</f>
        <v>202.68792215021244</v>
      </c>
      <c r="E41" s="1">
        <f>'1x5'!E35</f>
        <v>334.38643204193392</v>
      </c>
      <c r="F41" s="1">
        <f>'1x6'!E35</f>
        <v>518.71407200652686</v>
      </c>
      <c r="G41" s="1">
        <f>'1x7'!E35</f>
        <v>764.75200353380808</v>
      </c>
      <c r="H41" s="1">
        <f>'1x8'!E35</f>
        <v>1081.5780244173943</v>
      </c>
      <c r="I41" s="1">
        <f>'1x9'!E35</f>
        <v>1478.1881580818595</v>
      </c>
      <c r="J41" s="1">
        <f>'1x10'!E35</f>
        <v>1963.4905880760057</v>
      </c>
      <c r="K41">
        <v>3</v>
      </c>
      <c r="L41" s="1">
        <f>'2x3'!E23</f>
        <v>-152.80884015126699</v>
      </c>
      <c r="M41" s="1">
        <f>'2x4'!E23</f>
        <v>-439.30376592392008</v>
      </c>
      <c r="N41" s="1">
        <f>'2x5'!E23</f>
        <v>-994.06224301675411</v>
      </c>
      <c r="O41" s="1">
        <f>'2x6'!E23</f>
        <v>-1893.3809722909727</v>
      </c>
      <c r="P41" s="1">
        <f>'2x7'!E23</f>
        <v>-3186.024430774823</v>
      </c>
      <c r="Q41" s="1">
        <f>'2x8'!E23</f>
        <v>-4906.6501394682045</v>
      </c>
      <c r="R41" s="1">
        <f>'2x9'!E23</f>
        <v>-7089.9892637289804</v>
      </c>
      <c r="S41" s="1">
        <f>'2x10'!E23</f>
        <v>-9776.9481787293116</v>
      </c>
      <c r="T41">
        <v>3</v>
      </c>
      <c r="U41" s="1">
        <f>'3x4'!E23</f>
        <v>-139.00027007942666</v>
      </c>
      <c r="V41" s="1">
        <f>'3x5'!E35</f>
        <v>-367.50913802505295</v>
      </c>
      <c r="W41" s="1">
        <f>'3x6'!E35</f>
        <v>-595.69258327960836</v>
      </c>
      <c r="X41" s="1">
        <f>'3x7'!E35</f>
        <v>-899.71123579490438</v>
      </c>
      <c r="Y41" s="1">
        <f>'3x8'!E35</f>
        <v>-1289.6965459583525</v>
      </c>
      <c r="Z41" s="1">
        <f>'3x9'!E35</f>
        <v>-1775.9978246785461</v>
      </c>
      <c r="AA41" s="1">
        <f>'3x10'!E35</f>
        <v>-2369.1465355299883</v>
      </c>
    </row>
    <row r="42" spans="1:27" x14ac:dyDescent="0.2">
      <c r="A42">
        <v>4</v>
      </c>
      <c r="B42" s="1">
        <f>'1x2'!E36</f>
        <v>160.36897297269476</v>
      </c>
      <c r="C42" s="1">
        <f>'1x3'!E36</f>
        <v>391.53857129348319</v>
      </c>
      <c r="D42" s="1">
        <f>'1x4'!E36</f>
        <v>871.85489793617103</v>
      </c>
      <c r="E42" s="1">
        <f>'1x5'!E36</f>
        <v>1734.8225602303919</v>
      </c>
      <c r="F42" s="1">
        <f>'1x6'!E36</f>
        <v>3148.469945615363</v>
      </c>
      <c r="G42" s="1">
        <f>'1x7'!E36</f>
        <v>5313.0614243718765</v>
      </c>
      <c r="H42" s="1">
        <f>'1x8'!E36</f>
        <v>8460.266437271086</v>
      </c>
      <c r="I42" s="1">
        <f>'1x9'!E36</f>
        <v>12852.600884578575</v>
      </c>
      <c r="J42" s="1">
        <f>'1x10'!E36</f>
        <v>18783.090926760688</v>
      </c>
      <c r="K42">
        <v>4</v>
      </c>
      <c r="L42" s="1">
        <f>'2x3'!E24</f>
        <v>-504.401238345884</v>
      </c>
      <c r="M42" s="1">
        <f>'2x4'!E24</f>
        <v>-2014.1606904404769</v>
      </c>
      <c r="N42" s="1">
        <f>'2x5'!E24</f>
        <v>-5981.9305745132597</v>
      </c>
      <c r="O42" s="1">
        <f>'2x6'!E24</f>
        <v>-14270.926979937547</v>
      </c>
      <c r="P42" s="1">
        <f>'2x7'!E24</f>
        <v>-28924.974987113696</v>
      </c>
      <c r="Q42" s="1">
        <f>'2x8'!E24</f>
        <v>-52009.751651113569</v>
      </c>
      <c r="R42" s="1">
        <f>'2x9'!E24</f>
        <v>-85683.906867044265</v>
      </c>
      <c r="S42" s="1">
        <f>'2x10'!E24</f>
        <v>-132338.00925134317</v>
      </c>
      <c r="T42">
        <v>4</v>
      </c>
      <c r="U42" s="1">
        <f>'3x4'!E24</f>
        <v>-564.50690780563104</v>
      </c>
      <c r="V42" s="1">
        <f>'3x5'!E36</f>
        <v>-2222.6943612377604</v>
      </c>
      <c r="W42" s="1">
        <f>'3x6'!E36</f>
        <v>-4199.4901244997027</v>
      </c>
      <c r="X42" s="1">
        <f>'3x7'!E36</f>
        <v>-7245.2282528868645</v>
      </c>
      <c r="Y42" s="1">
        <f>'3x8'!E36</f>
        <v>-11680.204948051445</v>
      </c>
      <c r="Z42" s="1">
        <f>'3x9'!E36</f>
        <v>-17867.636643700567</v>
      </c>
      <c r="AA42" s="1">
        <f>'3x10'!E36</f>
        <v>-26214.385957901155</v>
      </c>
    </row>
    <row r="43" spans="1:27" x14ac:dyDescent="0.2">
      <c r="A43">
        <v>5</v>
      </c>
      <c r="B43" s="1">
        <f>'1x2'!E37</f>
        <v>432.55523609403241</v>
      </c>
      <c r="C43" s="1">
        <f>'1x3'!E37</f>
        <v>1421.9159218138741</v>
      </c>
      <c r="D43" s="1">
        <f>'1x4'!E37</f>
        <v>3986.7761513819851</v>
      </c>
      <c r="E43" s="1">
        <f>'1x5'!E37</f>
        <v>9562.1184516286576</v>
      </c>
      <c r="F43" s="1">
        <f>'1x6'!E37</f>
        <v>20298.704246847468</v>
      </c>
      <c r="G43" s="1">
        <f>'1x7'!E37</f>
        <v>39205.2790558989</v>
      </c>
      <c r="H43" s="1">
        <f>'1x8'!E37</f>
        <v>70290.637001871903</v>
      </c>
      <c r="I43" s="1">
        <f>'1x9'!E37</f>
        <v>118703.97549832953</v>
      </c>
      <c r="J43" s="1">
        <f>'1x10'!E37</f>
        <v>190874.51843810536</v>
      </c>
      <c r="K43">
        <v>5</v>
      </c>
      <c r="L43" s="1">
        <f>'2x3'!E25</f>
        <v>-1569.0987708272085</v>
      </c>
      <c r="M43" s="1">
        <f>'2x4'!E25</f>
        <v>-8548.1774595363258</v>
      </c>
      <c r="N43" s="1">
        <f>'2x5'!E25</f>
        <v>-32705.535344644446</v>
      </c>
      <c r="O43" s="1">
        <f>'2x6'!E25</f>
        <v>-96354.508320223104</v>
      </c>
      <c r="P43" s="1">
        <f>'2x7'!E25</f>
        <v>-233109.34155026963</v>
      </c>
      <c r="Q43" s="1">
        <f>'2x8'!E25</f>
        <v>-486790.43525098974</v>
      </c>
      <c r="R43" s="1">
        <f>'2x9'!E25</f>
        <v>-911638.46285113192</v>
      </c>
      <c r="S43" s="1">
        <f>'2x10'!E25</f>
        <v>-1574458.5484830788</v>
      </c>
      <c r="T43">
        <v>5</v>
      </c>
      <c r="U43" s="1">
        <f>'3x4'!E25</f>
        <v>-2266.1797306182425</v>
      </c>
      <c r="V43" s="1">
        <f>'3x5'!E37</f>
        <v>-13356.193622635907</v>
      </c>
      <c r="W43" s="1">
        <f>'3x6'!E37</f>
        <v>-29435.872456602774</v>
      </c>
      <c r="X43" s="1">
        <f>'3x7'!E37</f>
        <v>-58035.808549707421</v>
      </c>
      <c r="Y43" s="1">
        <f>'3x8'!E37</f>
        <v>-105252.69310696174</v>
      </c>
      <c r="Z43" s="1">
        <f>'3x9'!E37</f>
        <v>-178895.4805478444</v>
      </c>
      <c r="AA43" s="1">
        <f>'3x10'!E37</f>
        <v>-288708.3068902691</v>
      </c>
    </row>
    <row r="44" spans="1:27" x14ac:dyDescent="0.2">
      <c r="A44">
        <v>6</v>
      </c>
      <c r="B44" s="1">
        <f>'1x2'!E38</f>
        <v>1208.9987566264087</v>
      </c>
      <c r="C44" s="1">
        <f>'1x3'!E38</f>
        <v>5332.4849977369859</v>
      </c>
      <c r="D44" s="1">
        <f>'1x4'!E38</f>
        <v>18803.90952969197</v>
      </c>
      <c r="E44" s="1">
        <f>'1x5'!E38</f>
        <v>54328.693562600682</v>
      </c>
      <c r="F44" s="1">
        <f>'1x6'!E38</f>
        <v>134851.29726943781</v>
      </c>
      <c r="G44" s="1">
        <f>'1x7'!E38</f>
        <v>298037.98698344565</v>
      </c>
      <c r="H44" s="1">
        <f>'1x8'!E38</f>
        <v>601571.73250678333</v>
      </c>
      <c r="I44" s="1">
        <f>'1x9'!E38</f>
        <v>1129245.1403577274</v>
      </c>
      <c r="J44" s="1">
        <f>'1x10'!E38</f>
        <v>1997850.0071307686</v>
      </c>
      <c r="K44">
        <v>6</v>
      </c>
      <c r="L44" s="1">
        <f>'2x3'!E26</f>
        <v>-4772.1880047853801</v>
      </c>
      <c r="M44" s="1">
        <f>'2x4'!E26</f>
        <v>-35068.134564365595</v>
      </c>
      <c r="N44" s="1">
        <f>'2x5'!E26</f>
        <v>-170450.15181290969</v>
      </c>
      <c r="O44" s="1">
        <f>'2x6'!E26</f>
        <v>-612474.81843960739</v>
      </c>
      <c r="P44" s="1">
        <f>'2x7'!E26</f>
        <v>-1752283.9606875607</v>
      </c>
      <c r="Q44" s="1">
        <f>'2x8'!E26</f>
        <v>-4223372.6795462715</v>
      </c>
      <c r="R44" s="1">
        <f>'2x9'!E26</f>
        <v>-8956245.0352412984</v>
      </c>
      <c r="S44" s="1">
        <f>'2x10'!E26</f>
        <v>-17256565.101642109</v>
      </c>
      <c r="T44">
        <v>6</v>
      </c>
      <c r="U44" s="1">
        <f>'3x4'!E26</f>
        <v>-9072.5693459860158</v>
      </c>
      <c r="V44" s="1">
        <f>'3x5'!E38</f>
        <v>-80160.114854215688</v>
      </c>
      <c r="W44" s="1">
        <f>'3x6'!E38</f>
        <v>-206105.13128526747</v>
      </c>
      <c r="X44" s="1">
        <f>'3x7'!E38</f>
        <v>-464406.27760945493</v>
      </c>
      <c r="Y44" s="1">
        <f>'3x8'!E38</f>
        <v>-947519.13868273993</v>
      </c>
      <c r="Z44" s="1">
        <f>'3x9'!E38</f>
        <v>-1789419.1960194786</v>
      </c>
      <c r="AA44" s="1">
        <f>'3x10'!E38</f>
        <v>-3176618.1508196616</v>
      </c>
    </row>
    <row r="45" spans="1:27" x14ac:dyDescent="0.2">
      <c r="A45">
        <v>7</v>
      </c>
      <c r="B45" s="1">
        <f>'1x2'!E39</f>
        <v>3449.9148667025906</v>
      </c>
      <c r="C45" s="1">
        <f>'1x3'!E39</f>
        <v>20374.054330262152</v>
      </c>
      <c r="D45" s="1">
        <f>'1x4'!E39</f>
        <v>90278.677323412587</v>
      </c>
      <c r="E45" s="1">
        <f>'1x5'!E39</f>
        <v>314046.60612141545</v>
      </c>
      <c r="F45" s="1">
        <f>'1x6'!E39</f>
        <v>911169.80283793353</v>
      </c>
      <c r="G45" s="1">
        <f>'1x7'!E39</f>
        <v>2303977.6167515172</v>
      </c>
      <c r="H45" s="1">
        <f>'1x8'!E39</f>
        <v>5234942.2955064895</v>
      </c>
      <c r="I45" s="1">
        <f>'1x9'!E39</f>
        <v>10922447.348744772</v>
      </c>
      <c r="J45" s="1">
        <f>'1x10'!E39</f>
        <v>21260424.12785415</v>
      </c>
      <c r="K45">
        <v>7</v>
      </c>
      <c r="L45" s="1">
        <f>'2x3'!E27</f>
        <v>-14390.664855748188</v>
      </c>
      <c r="M45" s="1">
        <f>'2x4'!E27</f>
        <v>-141783.58439524344</v>
      </c>
      <c r="N45" s="1">
        <f>'2x5'!E27</f>
        <v>-868436.1564923391</v>
      </c>
      <c r="O45" s="1">
        <f>'2x6'!E27</f>
        <v>-3776418.767552441</v>
      </c>
      <c r="P45" s="1">
        <f>'2x7'!E27</f>
        <v>-12696845.525440665</v>
      </c>
      <c r="Q45" s="1">
        <f>'2x8'!E27</f>
        <v>-35163215.085872613</v>
      </c>
      <c r="R45" s="1">
        <f>'2x9'!E27</f>
        <v>-84194528.657024235</v>
      </c>
      <c r="S45" s="1">
        <f>'2x10'!E27</f>
        <v>-180658945.19820294</v>
      </c>
      <c r="T45">
        <v>7</v>
      </c>
      <c r="U45" s="1">
        <f>'3x4'!E27</f>
        <v>-36297.883691037212</v>
      </c>
      <c r="V45" s="1">
        <f>'3x5'!E39</f>
        <v>-480987.29522201029</v>
      </c>
      <c r="W45" s="1">
        <f>'3x6'!E39</f>
        <v>-1442811.8123617107</v>
      </c>
      <c r="X45" s="1">
        <f>'3x7'!E39</f>
        <v>-3715449.7951638126</v>
      </c>
      <c r="Y45" s="1">
        <f>'3x8'!E39</f>
        <v>-8528142.3992627487</v>
      </c>
      <c r="Z45" s="1">
        <f>'3x9'!E39</f>
        <v>-17895197.186375894</v>
      </c>
      <c r="AA45" s="1">
        <f>'3x10'!E39</f>
        <v>-34944785.864545949</v>
      </c>
    </row>
    <row r="46" spans="1:27" x14ac:dyDescent="0.2">
      <c r="A46">
        <v>8</v>
      </c>
      <c r="B46" s="1">
        <f>'1x2'!E40</f>
        <v>9974.5861240512222</v>
      </c>
      <c r="C46" s="1">
        <f>'1x3'!E40</f>
        <v>78760.081165669864</v>
      </c>
      <c r="D46" s="1">
        <f>'1x4'!E40</f>
        <v>438253.54719140998</v>
      </c>
      <c r="E46" s="1">
        <f>'1x5'!E40</f>
        <v>1834824.4315682978</v>
      </c>
      <c r="F46" s="1">
        <f>'1x6'!E40</f>
        <v>6221231.973744561</v>
      </c>
      <c r="G46" s="1">
        <f>'1x7'!E40</f>
        <v>17995203.706612565</v>
      </c>
      <c r="H46" s="1">
        <f>'1x8'!E40</f>
        <v>46022770.219647795</v>
      </c>
      <c r="I46" s="1">
        <f>'1x9'!E40</f>
        <v>106725367.90751244</v>
      </c>
      <c r="J46" s="1">
        <f>'1x10'!E40</f>
        <v>228552136.42731947</v>
      </c>
      <c r="K46">
        <v>8</v>
      </c>
      <c r="L46" s="1">
        <f>'2x3'!E28</f>
        <v>-43256.218258184534</v>
      </c>
      <c r="M46" s="1">
        <f>'2x4'!E28</f>
        <v>-569709.94116376725</v>
      </c>
      <c r="N46" s="1">
        <f>'2x5'!E28</f>
        <v>-4378998.3608668046</v>
      </c>
      <c r="O46" s="1">
        <f>'2x6'!E28</f>
        <v>-22947001.58639108</v>
      </c>
      <c r="P46" s="1">
        <f>'2x7'!E28</f>
        <v>-90342652.959061891</v>
      </c>
      <c r="Q46" s="1">
        <f>'2x8'!E28</f>
        <v>-286740599.05994153</v>
      </c>
      <c r="R46" s="1">
        <f>'2x9'!E28</f>
        <v>-773854005.32627249</v>
      </c>
      <c r="S46" s="1">
        <f>'2x10'!E28</f>
        <v>-1847189333.7906663</v>
      </c>
      <c r="T46">
        <v>8</v>
      </c>
      <c r="U46" s="1">
        <f>'3x4'!E28</f>
        <v>-145198.94590593237</v>
      </c>
      <c r="V46" s="1">
        <f>'3x5'!E40</f>
        <v>-2885954.954634286</v>
      </c>
      <c r="W46" s="1">
        <f>'3x6'!E40</f>
        <v>-10099791.422795139</v>
      </c>
      <c r="X46" s="1">
        <f>'3x7'!E40</f>
        <v>-29723936.882045176</v>
      </c>
      <c r="Y46" s="1">
        <f>'3x8'!E40</f>
        <v>-76754196.836305588</v>
      </c>
      <c r="Z46" s="1">
        <f>'3x9'!E40</f>
        <v>-178954170.06410956</v>
      </c>
      <c r="AA46" s="1">
        <f>'3x10'!E40</f>
        <v>-384397451.34920543</v>
      </c>
    </row>
    <row r="47" spans="1:27" x14ac:dyDescent="0.2">
      <c r="A47">
        <v>9</v>
      </c>
      <c r="B47" s="1">
        <f>'1x2'!E41</f>
        <v>29094.073810104292</v>
      </c>
      <c r="C47" s="1">
        <f>'1x3'!E41</f>
        <v>306845.55667775049</v>
      </c>
      <c r="D47" s="1">
        <f>'1x4'!E41</f>
        <v>2143129.2691110643</v>
      </c>
      <c r="E47" s="1">
        <f>'1x5'!E41</f>
        <v>10795602.753354294</v>
      </c>
      <c r="F47" s="1">
        <f>'1x6'!E41</f>
        <v>42768363.43989633</v>
      </c>
      <c r="G47" s="1">
        <f>'1x7'!E41</f>
        <v>141499387.17545587</v>
      </c>
      <c r="H47" s="1">
        <f>'1x8'!E41</f>
        <v>407308717.52887231</v>
      </c>
      <c r="I47" s="1">
        <f>'1x9'!E41</f>
        <v>1049756633.1006788</v>
      </c>
      <c r="J47" s="1">
        <f>'1x10'!E41</f>
        <v>2473217387.2148051</v>
      </c>
      <c r="K47">
        <v>9</v>
      </c>
      <c r="L47" s="1">
        <f>'2x3'!E29</f>
        <v>-129864.36904524091</v>
      </c>
      <c r="M47" s="1">
        <f>'2x4'!E29</f>
        <v>-2283209.6409011614</v>
      </c>
      <c r="N47" s="1">
        <f>'2x5'!E29</f>
        <v>-21977690.143795412</v>
      </c>
      <c r="O47" s="1">
        <f>'2x6'!E29</f>
        <v>-138485677.91308719</v>
      </c>
      <c r="P47" s="1">
        <f>'2x7'!E29</f>
        <v>-637255949.77946866</v>
      </c>
      <c r="Q47" s="1">
        <f>'2x8'!E29</f>
        <v>-2314778395.5099549</v>
      </c>
      <c r="R47" s="1">
        <f>'2x9'!E29</f>
        <v>-7034715429.9444065</v>
      </c>
      <c r="S47" s="1">
        <f>'2x10'!E29</f>
        <v>-18668931836.229244</v>
      </c>
      <c r="T47">
        <v>9</v>
      </c>
      <c r="U47" s="1">
        <f>'3x4'!E29</f>
        <v>-580803.03918787546</v>
      </c>
      <c r="V47" s="1">
        <f>'3x5'!E41</f>
        <v>-17315766.650124848</v>
      </c>
      <c r="W47" s="1">
        <f>'3x6'!E41</f>
        <v>-70698698.031411365</v>
      </c>
      <c r="X47" s="1">
        <f>'3x7'!E41</f>
        <v>-237792075.65018195</v>
      </c>
      <c r="Y47" s="1">
        <f>'3x8'!E41</f>
        <v>-690789566.35270011</v>
      </c>
      <c r="Z47" s="1">
        <f>'3x9'!E41</f>
        <v>-1789546530.4899461</v>
      </c>
      <c r="AA47" s="1">
        <f>'3x10'!E41</f>
        <v>-4228383634.0156507</v>
      </c>
    </row>
    <row r="48" spans="1:27" x14ac:dyDescent="0.2">
      <c r="A48">
        <v>10</v>
      </c>
      <c r="B48" s="1">
        <f>'1x2'!E42</f>
        <v>85386.20263817982</v>
      </c>
      <c r="C48" s="1">
        <f>'1x3'!E42</f>
        <v>1201979.7266542464</v>
      </c>
      <c r="D48" s="1">
        <f>'1x4'!E42</f>
        <v>10533741.337545918</v>
      </c>
      <c r="E48" s="1">
        <f>'1x5'!E42</f>
        <v>63826817.966393217</v>
      </c>
      <c r="F48" s="1">
        <f>'1x6'!E42</f>
        <v>295394545.47174191</v>
      </c>
      <c r="G48" s="1">
        <f>'1x7'!E42</f>
        <v>1117746123.6521583</v>
      </c>
      <c r="H48" s="1">
        <f>'1x8'!E42</f>
        <v>3621098666.2298412</v>
      </c>
      <c r="I48" s="1">
        <f>'1x9'!E42</f>
        <v>10371959287.544601</v>
      </c>
      <c r="J48" s="1">
        <f>'1x10'!E42</f>
        <v>26883277372.430309</v>
      </c>
      <c r="K48">
        <v>10</v>
      </c>
      <c r="L48" s="1">
        <f>'2x3'!E30</f>
        <v>-389702.0342373157</v>
      </c>
      <c r="M48" s="1">
        <f>'2x4'!E30</f>
        <v>-9140241.5598324239</v>
      </c>
      <c r="N48" s="1">
        <f>'2x5'!E30</f>
        <v>-110073147.74294287</v>
      </c>
      <c r="O48" s="1">
        <f>'2x6'!E30</f>
        <v>-833132690.69459629</v>
      </c>
      <c r="P48" s="1">
        <f>'2x7'!E30</f>
        <v>-4476709928.1419582</v>
      </c>
      <c r="Q48" s="1">
        <f>'2x8'!E30</f>
        <v>-18597135823.118492</v>
      </c>
      <c r="R48" s="1">
        <f>'2x9'!E30</f>
        <v>-63612350215.61496</v>
      </c>
      <c r="S48" s="1">
        <f>'2x10'!E30</f>
        <v>-187630212899.99933</v>
      </c>
      <c r="T48">
        <v>10</v>
      </c>
      <c r="U48" s="1">
        <f>'3x4'!E30</f>
        <v>-2323219.2883833181</v>
      </c>
      <c r="V48" s="1">
        <f>'3x5'!E42</f>
        <v>-103894644.01967409</v>
      </c>
      <c r="W48" s="1">
        <f>'3x6'!E42</f>
        <v>-494891118.4057495</v>
      </c>
      <c r="X48" s="1">
        <f>'3x7'!E42</f>
        <v>-1902337607.5484591</v>
      </c>
      <c r="Y48" s="1">
        <f>'3x8'!E42</f>
        <v>-6217109630.2529078</v>
      </c>
      <c r="Z48" s="1">
        <f>'3x9'!E42</f>
        <v>-17895475940.136223</v>
      </c>
      <c r="AA48" s="1">
        <f>'3x10'!E42</f>
        <v>-46512248338.950035</v>
      </c>
    </row>
    <row r="49" spans="1:27" x14ac:dyDescent="0.2">
      <c r="B49" s="357" t="s">
        <v>157</v>
      </c>
      <c r="C49" s="357"/>
      <c r="D49" s="357"/>
      <c r="E49" s="357"/>
      <c r="F49" s="357"/>
      <c r="G49" s="357"/>
      <c r="H49" s="357"/>
      <c r="I49" s="357"/>
      <c r="J49" s="357"/>
      <c r="L49" s="357" t="s">
        <v>174</v>
      </c>
      <c r="M49" s="357"/>
      <c r="N49" s="357"/>
      <c r="O49" s="357"/>
      <c r="P49" s="357"/>
      <c r="Q49" s="357"/>
      <c r="R49" s="357"/>
      <c r="S49" s="357"/>
      <c r="U49" s="357" t="s">
        <v>157</v>
      </c>
      <c r="V49" s="357"/>
      <c r="W49" s="357"/>
      <c r="X49" s="357"/>
      <c r="Y49" s="357"/>
      <c r="Z49" s="357"/>
      <c r="AA49" s="357"/>
    </row>
    <row r="50" spans="1:27" x14ac:dyDescent="0.2">
      <c r="A50" s="31" t="s">
        <v>57</v>
      </c>
      <c r="B50" s="49" t="s">
        <v>142</v>
      </c>
      <c r="C50" s="49" t="s">
        <v>143</v>
      </c>
      <c r="D50" s="49" t="s">
        <v>144</v>
      </c>
      <c r="E50" s="49" t="s">
        <v>145</v>
      </c>
      <c r="F50" s="49" t="s">
        <v>146</v>
      </c>
      <c r="G50" s="49" t="s">
        <v>147</v>
      </c>
      <c r="H50" s="49" t="s">
        <v>148</v>
      </c>
      <c r="I50" s="49" t="s">
        <v>149</v>
      </c>
      <c r="J50" s="49" t="s">
        <v>150</v>
      </c>
      <c r="K50" s="31" t="s">
        <v>57</v>
      </c>
      <c r="L50" s="49" t="s">
        <v>165</v>
      </c>
      <c r="M50" s="49" t="s">
        <v>166</v>
      </c>
      <c r="N50" s="49" t="s">
        <v>167</v>
      </c>
      <c r="O50" s="49" t="s">
        <v>168</v>
      </c>
      <c r="P50" s="49" t="s">
        <v>169</v>
      </c>
      <c r="Q50" s="49" t="s">
        <v>170</v>
      </c>
      <c r="R50" s="49" t="s">
        <v>171</v>
      </c>
      <c r="S50" s="49" t="s">
        <v>172</v>
      </c>
      <c r="T50" s="31" t="s">
        <v>57</v>
      </c>
      <c r="U50" s="49" t="s">
        <v>176</v>
      </c>
      <c r="V50" s="49" t="s">
        <v>177</v>
      </c>
      <c r="W50" s="49" t="s">
        <v>178</v>
      </c>
      <c r="X50" s="49" t="s">
        <v>179</v>
      </c>
      <c r="Y50" s="49" t="s">
        <v>180</v>
      </c>
      <c r="Z50" s="49" t="s">
        <v>181</v>
      </c>
      <c r="AA50" s="49" t="s">
        <v>182</v>
      </c>
    </row>
    <row r="51" spans="1:27" x14ac:dyDescent="0.2">
      <c r="A51" s="279">
        <v>1</v>
      </c>
      <c r="B51" s="1">
        <f>'1x2'!E45</f>
        <v>-33.405324417622822</v>
      </c>
      <c r="C51" s="1">
        <f>'1x3'!E45</f>
        <v>90.406512152453445</v>
      </c>
      <c r="D51" s="1">
        <f>'1x4'!E45</f>
        <v>50.647317999800215</v>
      </c>
      <c r="E51" s="1">
        <f>'1x5'!E45</f>
        <v>48.526004876192609</v>
      </c>
      <c r="F51" s="1">
        <f>'1x6'!E45</f>
        <v>51.673517302505381</v>
      </c>
      <c r="G51" s="1">
        <f>'1x7'!E45</f>
        <v>56.748585586966584</v>
      </c>
      <c r="H51" s="1">
        <f>'1x8'!E45</f>
        <v>62.795615002613289</v>
      </c>
      <c r="I51" s="1">
        <f>'1x9'!E45</f>
        <v>69.40567163781725</v>
      </c>
      <c r="J51" s="1">
        <f>'1x10'!E45</f>
        <v>76.361823179623926</v>
      </c>
      <c r="K51" s="279">
        <v>1</v>
      </c>
      <c r="L51" s="1">
        <f>'2x3'!E45</f>
        <v>-6.7779893093083237</v>
      </c>
      <c r="M51" s="1">
        <f>'2x4'!E45</f>
        <v>-9.878405655075543</v>
      </c>
      <c r="N51" s="1">
        <f>'2x5'!E45</f>
        <v>-13.005850119643659</v>
      </c>
      <c r="O51" s="1">
        <f>'2x6'!E45</f>
        <v>-16.08120951246951</v>
      </c>
      <c r="P51" s="1">
        <f>'2x7'!E45</f>
        <v>-19.085612000943051</v>
      </c>
      <c r="Q51" s="1">
        <f>'2x8'!E45</f>
        <v>-22.026121243779023</v>
      </c>
      <c r="R51" s="1">
        <f>'2x9'!E45</f>
        <v>-24.917260949575098</v>
      </c>
      <c r="S51" s="1">
        <f>'2x10'!E45</f>
        <v>-27.773157088330123</v>
      </c>
      <c r="T51" s="279">
        <v>1</v>
      </c>
      <c r="U51" s="1">
        <f>'3x4'!E45</f>
        <v>-5.9887987184307274</v>
      </c>
      <c r="V51" s="1">
        <f>'3x5'!E45</f>
        <v>-7.6422645120467889</v>
      </c>
      <c r="W51" s="1">
        <f>'3x6'!E45</f>
        <v>-9.2790085644014511</v>
      </c>
      <c r="X51" s="1">
        <f>'3x7'!E45</f>
        <v>-10.8978609404538</v>
      </c>
      <c r="Y51" s="1">
        <f>'3x8'!E45</f>
        <v>-12.501823178594904</v>
      </c>
      <c r="Z51" s="1">
        <f>'3x9'!E45</f>
        <v>-14.094682952855411</v>
      </c>
      <c r="AA51" s="1">
        <f>'3x10'!E21</f>
        <v>-15.679757732047261</v>
      </c>
    </row>
    <row r="52" spans="1:27" x14ac:dyDescent="0.2">
      <c r="A52">
        <v>2</v>
      </c>
      <c r="B52" s="1">
        <f>'1x2'!E46</f>
        <v>39.68099708689995</v>
      </c>
      <c r="C52" s="1">
        <f>'1x3'!E46</f>
        <v>55.692210213594748</v>
      </c>
      <c r="D52" s="1">
        <f>'1x4'!E46</f>
        <v>82.634807292376692</v>
      </c>
      <c r="E52" s="1">
        <f>'1x5'!E46</f>
        <v>118.14482546577767</v>
      </c>
      <c r="F52" s="1">
        <f>'1x6'!E46</f>
        <v>161.99595718077813</v>
      </c>
      <c r="G52" s="1">
        <f>'1x7'!E46</f>
        <v>214.17941359839804</v>
      </c>
      <c r="H52" s="1">
        <f>'1x8'!E46</f>
        <v>274.68754993843328</v>
      </c>
      <c r="I52" s="1">
        <f>'1x9'!E46</f>
        <v>343.48761869465733</v>
      </c>
      <c r="J52" s="1">
        <f>'1x10'!E46</f>
        <v>420.53021516188511</v>
      </c>
      <c r="K52">
        <v>2</v>
      </c>
      <c r="L52" s="1">
        <f>'2x3'!E46</f>
        <v>-69.45174751326249</v>
      </c>
      <c r="M52" s="1">
        <f>'2x4'!E46</f>
        <v>-145.3474773556799</v>
      </c>
      <c r="N52" s="1">
        <f>'2x5'!E46</f>
        <v>-252.53427100965132</v>
      </c>
      <c r="O52" s="1">
        <f>'2x6'!E46</f>
        <v>-387.65883744863976</v>
      </c>
      <c r="P52" s="1">
        <f>'2x7'!E46</f>
        <v>-547.08848935456956</v>
      </c>
      <c r="Q52" s="1">
        <f>'2x8'!E46</f>
        <v>-728.42969666377701</v>
      </c>
      <c r="R52" s="1">
        <f>'2x9'!E46</f>
        <v>-930.57779216225777</v>
      </c>
      <c r="S52" s="1">
        <f>'2x10'!E46</f>
        <v>-1153.2637373230875</v>
      </c>
      <c r="T52">
        <v>2</v>
      </c>
      <c r="U52" s="1">
        <f>'3x4'!E46</f>
        <v>-58.58064148399086</v>
      </c>
      <c r="V52" s="1">
        <f>'3x5'!E46</f>
        <v>-92.19352188802236</v>
      </c>
      <c r="W52" s="1">
        <f>'3x6'!E46</f>
        <v>-133.00060626919711</v>
      </c>
      <c r="X52" s="1">
        <f>'3x7'!E46</f>
        <v>-180.79723484502745</v>
      </c>
      <c r="Y52" s="1">
        <f>'3x8'!E46</f>
        <v>-235.48202528049973</v>
      </c>
      <c r="Z52" s="1">
        <f>'3x9'!E46</f>
        <v>-297.02134909235576</v>
      </c>
      <c r="AA52" s="1">
        <f>'3x10'!E22</f>
        <v>-191.40928426325399</v>
      </c>
    </row>
    <row r="53" spans="1:27" x14ac:dyDescent="0.2">
      <c r="A53">
        <v>3</v>
      </c>
      <c r="B53" s="1">
        <f>'1x2'!E47</f>
        <v>103.23567657334716</v>
      </c>
      <c r="C53" s="1">
        <f>'1x3'!E47</f>
        <v>235.12739667705404</v>
      </c>
      <c r="D53" s="1">
        <f>'1x4'!E47</f>
        <v>477.2973650634035</v>
      </c>
      <c r="E53" s="1">
        <f>'1x5'!E47</f>
        <v>863.18358038731787</v>
      </c>
      <c r="F53" s="1">
        <f>'1x6'!E47</f>
        <v>1428.7387597372756</v>
      </c>
      <c r="G53" s="1">
        <f>'1x7'!E47</f>
        <v>2210.4475718579934</v>
      </c>
      <c r="H53" s="1">
        <f>'1x8'!E47</f>
        <v>3244.734073252183</v>
      </c>
      <c r="I53" s="1">
        <f>'1x9'!E47</f>
        <v>4567.7345785772777</v>
      </c>
      <c r="J53" s="1">
        <f>'1x10'!E47</f>
        <v>6215.2596810526193</v>
      </c>
      <c r="K53">
        <v>3</v>
      </c>
      <c r="L53" s="1">
        <f>'2x3'!E47</f>
        <v>-505.44462511572931</v>
      </c>
      <c r="M53" s="1">
        <f>'2x4'!E47</f>
        <v>-1527.1035672593412</v>
      </c>
      <c r="N53" s="1">
        <f>'2x5'!E47</f>
        <v>-3559.3841604793452</v>
      </c>
      <c r="O53" s="1">
        <f>'2x6'!E47</f>
        <v>-6913.0421546437838</v>
      </c>
      <c r="P53" s="1">
        <f>'2x7'!E47</f>
        <v>-11793.879910412064</v>
      </c>
      <c r="Q53" s="1">
        <f>'2x8'!E47</f>
        <v>-18349.527233901641</v>
      </c>
      <c r="R53" s="1">
        <f>'2x9'!E47</f>
        <v>-26723.805686363081</v>
      </c>
      <c r="S53" s="1">
        <f>'2x10'!E47</f>
        <v>-37081.938587793149</v>
      </c>
      <c r="T53">
        <v>3</v>
      </c>
      <c r="U53" s="1">
        <f>'3x4'!E47</f>
        <v>-483.19141503800688</v>
      </c>
      <c r="V53" s="1">
        <f>'3x5'!E47</f>
        <v>-948.68637955304371</v>
      </c>
      <c r="W53" s="1">
        <f>'3x6'!E47</f>
        <v>-1640.7672907876931</v>
      </c>
      <c r="X53" s="1">
        <f>'3x7'!E47</f>
        <v>-2600.535215790751</v>
      </c>
      <c r="Y53" s="1">
        <f>'3x8'!E47</f>
        <v>-3869.0896378750576</v>
      </c>
      <c r="Z53" s="1">
        <f>'3x9'!E47</f>
        <v>-5487.9932780607323</v>
      </c>
      <c r="AA53" s="1">
        <f>'3x10'!E23</f>
        <v>-1977.2576349160054</v>
      </c>
    </row>
    <row r="54" spans="1:27" x14ac:dyDescent="0.2">
      <c r="A54">
        <v>4</v>
      </c>
      <c r="B54" s="1">
        <f>'1x2'!E48</f>
        <v>340.78406756697638</v>
      </c>
      <c r="C54" s="1">
        <f>'1x3'!E48</f>
        <v>1193.0410584119077</v>
      </c>
      <c r="D54" s="1">
        <f>'1x4'!E48</f>
        <v>3269.4558672606413</v>
      </c>
      <c r="E54" s="1">
        <f>'1x5'!E48</f>
        <v>7441.6519861620282</v>
      </c>
      <c r="F54" s="1">
        <f>'1x6'!E48</f>
        <v>14837.164618712399</v>
      </c>
      <c r="G54" s="1">
        <f>'1x7'!E48</f>
        <v>26837.771810288708</v>
      </c>
      <c r="H54" s="1">
        <f>'1x8'!E48</f>
        <v>45076.712273704114</v>
      </c>
      <c r="I54" s="1">
        <f>'1x9'!E48</f>
        <v>71435.472963341759</v>
      </c>
      <c r="J54" s="1">
        <f>'1x10'!E48</f>
        <v>108041.26276929764</v>
      </c>
      <c r="K54">
        <v>4</v>
      </c>
      <c r="L54" s="1">
        <f>'2x3'!E48</f>
        <v>-3265.9980182895988</v>
      </c>
      <c r="M54" s="1">
        <f>'2x4'!E48</f>
        <v>-13862.164751855047</v>
      </c>
      <c r="N54" s="1">
        <f>'2x5'!E48</f>
        <v>-42602.082489001485</v>
      </c>
      <c r="O54" s="1">
        <f>'2x6'!E48</f>
        <v>-103863.69635977712</v>
      </c>
      <c r="P54" s="1">
        <f>'2x7'!E48</f>
        <v>-213683.25271730244</v>
      </c>
      <c r="Q54" s="1">
        <f>'2x8'!E48</f>
        <v>-388428.3845533593</v>
      </c>
      <c r="R54" s="1">
        <f>'2x9'!E48</f>
        <v>-645241.61573658336</v>
      </c>
      <c r="S54" s="1">
        <f>'2x10'!E48</f>
        <v>-1003076.8459996048</v>
      </c>
      <c r="T54">
        <v>4</v>
      </c>
      <c r="U54" s="1">
        <f>'3x4'!E48</f>
        <v>-3885.1357772505194</v>
      </c>
      <c r="V54" s="1">
        <f>'3x5'!E48</f>
        <v>-9534.4148082438296</v>
      </c>
      <c r="W54" s="1">
        <f>'3x6'!E48</f>
        <v>-19790.097211704851</v>
      </c>
      <c r="X54" s="1">
        <f>'3x7'!E48</f>
        <v>-36597.691431249033</v>
      </c>
      <c r="Y54" s="1">
        <f>'3x8'!E48</f>
        <v>-62232.701729313121</v>
      </c>
      <c r="Z54" s="1">
        <f>'3x9'!E48</f>
        <v>-99309.321579523865</v>
      </c>
      <c r="AA54" s="1">
        <f>'3x10'!E24</f>
        <v>-19893.5674858116</v>
      </c>
    </row>
    <row r="55" spans="1:27" x14ac:dyDescent="0.2">
      <c r="A55">
        <v>5</v>
      </c>
      <c r="B55" s="1">
        <f>'1x2'!E49</f>
        <v>1219.0193017195459</v>
      </c>
      <c r="C55" s="1">
        <f>'1x3'!E49</f>
        <v>6484.1033971277839</v>
      </c>
      <c r="D55" s="1">
        <f>'1x4'!E49</f>
        <v>23895.133373391898</v>
      </c>
      <c r="E55" s="1">
        <f>'1x5'!E49</f>
        <v>68324.564704852746</v>
      </c>
      <c r="F55" s="1">
        <f>'1x6'!E49</f>
        <v>163933.23411922049</v>
      </c>
      <c r="G55" s="1">
        <f>'1x7'!E49</f>
        <v>346498.95317701204</v>
      </c>
      <c r="H55" s="1">
        <f>'1x8'!E49</f>
        <v>665718.32808777341</v>
      </c>
      <c r="I55" s="1">
        <f>'1x9'!E49</f>
        <v>1187477.7770331046</v>
      </c>
      <c r="J55" s="1">
        <f>'1x10'!E49</f>
        <v>1996105.3877593384</v>
      </c>
      <c r="K55">
        <v>5</v>
      </c>
      <c r="L55" s="1">
        <f>'2x3'!E49</f>
        <v>-20164.864368895116</v>
      </c>
      <c r="M55" s="1">
        <f>'2x4'!E49</f>
        <v>-117343.16330818048</v>
      </c>
      <c r="N55" s="1">
        <f>'2x5'!E49</f>
        <v>-465289.63279685588</v>
      </c>
      <c r="O55" s="1">
        <f>'2x6'!E49</f>
        <v>-1401694.747724609</v>
      </c>
      <c r="P55" s="1">
        <f>'2x7'!E49</f>
        <v>-3443044.1161285988</v>
      </c>
      <c r="Q55" s="1">
        <f>'2x8'!E49</f>
        <v>-7269618.7515959069</v>
      </c>
      <c r="R55" s="1">
        <f>'2x9'!E49</f>
        <v>-13728427.961572438</v>
      </c>
      <c r="S55" s="1">
        <f>'2x10'!E49</f>
        <v>-23865708.144547623</v>
      </c>
      <c r="T55">
        <v>5</v>
      </c>
      <c r="U55" s="1">
        <f>'3x4'!E49</f>
        <v>-31108.467211214058</v>
      </c>
      <c r="V55" s="1">
        <f>'3x5'!E49</f>
        <v>-95434.512759554695</v>
      </c>
      <c r="W55" s="1">
        <f>'3x6'!E49</f>
        <v>-237725.40908276022</v>
      </c>
      <c r="X55" s="1">
        <f>'3x7'!E49</f>
        <v>-512924.46817131928</v>
      </c>
      <c r="Y55" s="1">
        <f>'3x8'!E49</f>
        <v>-996841.82517845288</v>
      </c>
      <c r="Z55" s="1">
        <f>'3x9'!E49</f>
        <v>-1789614.9364029747</v>
      </c>
      <c r="AA55" s="1">
        <f>'3x10'!E25</f>
        <v>-199182.73814702142</v>
      </c>
    </row>
    <row r="56" spans="1:27" x14ac:dyDescent="0.2">
      <c r="A56">
        <v>6</v>
      </c>
      <c r="B56" s="1">
        <f>'1x2'!E50</f>
        <v>4533.7453373490325</v>
      </c>
      <c r="C56" s="1">
        <f>'1x3'!E50</f>
        <v>36452.320522991809</v>
      </c>
      <c r="D56" s="1">
        <f>'1x4'!E50</f>
        <v>180283.56579043384</v>
      </c>
      <c r="E56" s="1">
        <f>'1x5'!E50</f>
        <v>646931.2475012457</v>
      </c>
      <c r="F56" s="1">
        <f>'1x6'!E50</f>
        <v>1866880.3140392033</v>
      </c>
      <c r="G56" s="1">
        <f>'1x7'!E50</f>
        <v>4609525.2709251726</v>
      </c>
      <c r="H56" s="1">
        <f>'1x8'!E50</f>
        <v>10128655.019508045</v>
      </c>
      <c r="I56" s="1">
        <f>'1x9'!E50</f>
        <v>20333740.205482554</v>
      </c>
      <c r="J56" s="1">
        <f>'1x10'!E50</f>
        <v>37986858.581529446</v>
      </c>
      <c r="K56">
        <v>6</v>
      </c>
      <c r="L56" s="1">
        <f>'2x3'!E50</f>
        <v>-122333.20404574829</v>
      </c>
      <c r="M56" s="1">
        <f>'2x4'!E50</f>
        <v>-962100.05223511148</v>
      </c>
      <c r="N56" s="1">
        <f>'2x5'!E50</f>
        <v>-4848665.3400113182</v>
      </c>
      <c r="O56" s="1">
        <f>'2x6'!E50</f>
        <v>-17817825.194500774</v>
      </c>
      <c r="P56" s="1">
        <f>'2x7'!E50</f>
        <v>-51760205.457488358</v>
      </c>
      <c r="Q56" s="1">
        <f>'2x8'!E50</f>
        <v>-126138537.69103563</v>
      </c>
      <c r="R56" s="1">
        <f>'2x9'!E50</f>
        <v>-269741526.57930052</v>
      </c>
      <c r="S56" s="1">
        <f>'2x10'!E50</f>
        <v>-523146909.63305533</v>
      </c>
      <c r="T56">
        <v>6</v>
      </c>
      <c r="U56" s="1">
        <f>'3x4'!E50</f>
        <v>-248907.43548558999</v>
      </c>
      <c r="V56" s="1">
        <f>'3x5'!E50</f>
        <v>-954524.75850034924</v>
      </c>
      <c r="W56" s="1">
        <f>'3x6'!E50</f>
        <v>-2853317.839799047</v>
      </c>
      <c r="X56" s="1">
        <f>'3x7'!E50</f>
        <v>-7182616.1969614215</v>
      </c>
      <c r="Y56" s="1">
        <f>'3x8'!E50</f>
        <v>-15953366.758287065</v>
      </c>
      <c r="Z56" s="1">
        <f>'3x9'!E50</f>
        <v>-32221157.081125136</v>
      </c>
      <c r="AA56" s="1">
        <f>'3x10'!E26</f>
        <v>-1992352.612136893</v>
      </c>
    </row>
    <row r="57" spans="1:27" x14ac:dyDescent="0.2">
      <c r="A57">
        <v>7</v>
      </c>
      <c r="B57" s="1">
        <f>'1x2'!E51</f>
        <v>17236.948844522274</v>
      </c>
      <c r="C57" s="1">
        <f>'1x3'!E51</f>
        <v>208877.89411982914</v>
      </c>
      <c r="D57" s="1">
        <f>'1x4'!E51</f>
        <v>1384816.9461549919</v>
      </c>
      <c r="E57" s="1">
        <f>'1x5'!E51</f>
        <v>6232529.6689262157</v>
      </c>
      <c r="F57" s="1">
        <f>'1x6'!E51</f>
        <v>21624239.412539903</v>
      </c>
      <c r="G57" s="1">
        <f>'1x7'!E51</f>
        <v>62359049.52471903</v>
      </c>
      <c r="H57" s="1">
        <f>'1x8'!E51</f>
        <v>156694238.61145395</v>
      </c>
      <c r="I57" s="1">
        <f>'1x9'!E51</f>
        <v>354014561.81321812</v>
      </c>
      <c r="J57" s="1">
        <f>'1x10'!E51</f>
        <v>734986764.77078819</v>
      </c>
      <c r="K57">
        <v>7</v>
      </c>
      <c r="L57" s="1">
        <f>'2x3'!E51</f>
        <v>-737136.46228616079</v>
      </c>
      <c r="M57" s="1">
        <f>'2x4'!E51</f>
        <v>-7778313.3857762627</v>
      </c>
      <c r="N57" s="1">
        <f>'2x5'!E51</f>
        <v>-49404995.457291454</v>
      </c>
      <c r="O57" s="1">
        <f>'2x6'!E51</f>
        <v>-219719688.87276906</v>
      </c>
      <c r="P57" s="1">
        <f>'2x7'!E51</f>
        <v>-750091470.12066424</v>
      </c>
      <c r="Q57" s="1">
        <f>'2x8'!E51</f>
        <v>-2100417041.5283577</v>
      </c>
      <c r="R57" s="1">
        <f>'2x9'!E51</f>
        <v>-5071483248.7899227</v>
      </c>
      <c r="S57" s="1">
        <f>'2x10'!E51</f>
        <v>-10953638185.139437</v>
      </c>
      <c r="T57">
        <v>7</v>
      </c>
      <c r="U57" s="1">
        <f>'3x4'!E51</f>
        <v>-1991318.7820269021</v>
      </c>
      <c r="V57" s="1">
        <f>'3x5'!E51</f>
        <v>-9545613.7064215448</v>
      </c>
      <c r="W57" s="1">
        <f>'3x6'!E51</f>
        <v>-34241376.262224108</v>
      </c>
      <c r="X57" s="1">
        <f>'3x7'!E51</f>
        <v>-100561705.15662402</v>
      </c>
      <c r="Y57" s="1">
        <f>'3x8'!E51</f>
        <v>-255267528.19598067</v>
      </c>
      <c r="Z57" s="1">
        <f>'3x9'!E51</f>
        <v>-580012902.62333417</v>
      </c>
      <c r="AA57" s="1">
        <f>'3x10'!E27</f>
        <v>-19924666.314678587</v>
      </c>
    </row>
    <row r="58" spans="1:27" x14ac:dyDescent="0.2">
      <c r="A58">
        <v>8</v>
      </c>
      <c r="B58" s="1">
        <f>'1x2'!E52</f>
        <v>66431.351792652116</v>
      </c>
      <c r="C58" s="1">
        <f>'1x3'!E52</f>
        <v>1211138.60130077</v>
      </c>
      <c r="D58" s="1">
        <f>'1x4'!E52</f>
        <v>10755939.194348283</v>
      </c>
      <c r="E58" s="1">
        <f>'1x5'!E52</f>
        <v>60689318.458894625</v>
      </c>
      <c r="F58" s="1">
        <f>'1x6'!E52</f>
        <v>253104975.87795034</v>
      </c>
      <c r="G58" s="1">
        <f>'1x7'!E52</f>
        <v>852345887.466102</v>
      </c>
      <c r="H58" s="1">
        <f>'1x8'!E52</f>
        <v>2449014068.6669397</v>
      </c>
      <c r="I58" s="1">
        <f>'1x9'!E52</f>
        <v>6226461309.4636812</v>
      </c>
      <c r="J58" s="1">
        <f>'1x10'!E52</f>
        <v>14365811725.376341</v>
      </c>
      <c r="K58">
        <v>8</v>
      </c>
      <c r="L58" s="1">
        <f>'2x3'!E52</f>
        <v>-4430109.3310805252</v>
      </c>
      <c r="M58" s="1">
        <f>'2x4'!E52</f>
        <v>-62506269.303481497</v>
      </c>
      <c r="N58" s="1">
        <f>'2x5'!E52</f>
        <v>-498233972.88859999</v>
      </c>
      <c r="O58" s="1">
        <f>'2x6'!E52</f>
        <v>-2670198131.7915998</v>
      </c>
      <c r="P58" s="1">
        <f>'2x7'!E52</f>
        <v>-10674333763.261936</v>
      </c>
      <c r="Q58" s="1">
        <f>'2x8'!E52</f>
        <v>-34255945601.531982</v>
      </c>
      <c r="R58" s="1">
        <f>'2x9'!E52</f>
        <v>-93226649387.143173</v>
      </c>
      <c r="S58" s="1">
        <f>'2x10'!E52</f>
        <v>-223996014076.14163</v>
      </c>
      <c r="T58">
        <v>8</v>
      </c>
      <c r="U58" s="1">
        <f>'3x4'!E52</f>
        <v>-15930640.769297957</v>
      </c>
      <c r="V58" s="1">
        <f>'3x5'!E52</f>
        <v>-95456892.924692601</v>
      </c>
      <c r="W58" s="1">
        <f>'3x6'!E52</f>
        <v>-410900521.83028495</v>
      </c>
      <c r="X58" s="1">
        <f>'3x7'!E52</f>
        <v>-1407879331.2800066</v>
      </c>
      <c r="Y58" s="1">
        <f>'3x8'!E52</f>
        <v>-4084328409.2685027</v>
      </c>
      <c r="Z58" s="1">
        <f>'3x9'!E52</f>
        <v>-10440359568.841827</v>
      </c>
      <c r="AA58" s="1">
        <f>'3x10'!E28</f>
        <v>-199249163.36837184</v>
      </c>
    </row>
    <row r="59" spans="1:27" x14ac:dyDescent="0.2">
      <c r="A59">
        <v>9</v>
      </c>
      <c r="B59" s="1">
        <f>'1x2'!E53</f>
        <v>258334.44401999016</v>
      </c>
      <c r="C59" s="1">
        <f>'1x3'!E53</f>
        <v>7077730.7018770268</v>
      </c>
      <c r="D59" s="1">
        <f>'1x4'!E53</f>
        <v>84157026.433332562</v>
      </c>
      <c r="E59" s="1">
        <f>'1x5'!E53</f>
        <v>595131831.15774715</v>
      </c>
      <c r="F59" s="1">
        <f>'1x6'!E53</f>
        <v>2982840713.2362103</v>
      </c>
      <c r="G59" s="1">
        <f>'1x7'!E53</f>
        <v>11728748885.40415</v>
      </c>
      <c r="H59" s="1">
        <f>'1x8'!E53</f>
        <v>38531835123.375343</v>
      </c>
      <c r="I59" s="1">
        <f>'1x9'!E53</f>
        <v>110238872298.4222</v>
      </c>
      <c r="J59" s="1">
        <f>'1x10'!E53</f>
        <v>282647068046.2821</v>
      </c>
      <c r="K59">
        <v>9</v>
      </c>
      <c r="L59" s="1">
        <f>'2x3'!E53</f>
        <v>-26597571.437971327</v>
      </c>
      <c r="M59" s="1">
        <f>'2x4'!E53</f>
        <v>-501003337.2181924</v>
      </c>
      <c r="N59" s="1">
        <f>'2x5'!E53</f>
        <v>-5001148046.0858765</v>
      </c>
      <c r="O59" s="1">
        <f>'2x6'!E53</f>
        <v>-32229397324.34586</v>
      </c>
      <c r="P59" s="1">
        <f>'2x7'!E53</f>
        <v>-150588486626.16745</v>
      </c>
      <c r="Q59" s="1">
        <f>'2x8'!E53</f>
        <v>-553077722079.88037</v>
      </c>
      <c r="R59" s="1">
        <f>'2x9'!E53</f>
        <v>-1694952616193.0293</v>
      </c>
      <c r="S59" s="1">
        <f>'2x10'!E53</f>
        <v>-4527707262484.3564</v>
      </c>
      <c r="T59">
        <v>9</v>
      </c>
      <c r="U59" s="1">
        <f>'3x4'!E53</f>
        <v>-127445266.38593967</v>
      </c>
      <c r="V59" s="1">
        <f>'3x5'!E53</f>
        <v>-954570499.65895975</v>
      </c>
      <c r="W59" s="1">
        <f>'3x6'!E53</f>
        <v>-4930816563.9128723</v>
      </c>
      <c r="X59" s="1">
        <f>'3x7'!E53</f>
        <v>-19710357747.21563</v>
      </c>
      <c r="Y59" s="1">
        <f>'3x8'!E53</f>
        <v>-65349423005.569237</v>
      </c>
      <c r="Z59" s="1">
        <f>'3x9'!E53</f>
        <v>-187926977764.42191</v>
      </c>
      <c r="AA59" s="1">
        <f>'3x10'!E29</f>
        <v>-1992497141.9094388</v>
      </c>
    </row>
    <row r="60" spans="1:27" x14ac:dyDescent="0.2">
      <c r="A60">
        <v>10</v>
      </c>
      <c r="B60" s="1">
        <f>'1x2'!E54</f>
        <v>1010859.3848093009</v>
      </c>
      <c r="C60" s="1">
        <f>'1x3'!E54</f>
        <v>41587363.706932455</v>
      </c>
      <c r="D60" s="1">
        <f>'1x4'!E54</f>
        <v>661826986.27564919</v>
      </c>
      <c r="E60" s="1">
        <f>'1x5'!E54</f>
        <v>5864327173.186821</v>
      </c>
      <c r="F60" s="1">
        <f>'1x6'!E54</f>
        <v>35317755753.745087</v>
      </c>
      <c r="G60" s="1">
        <f>'1x7'!E54</f>
        <v>162135586682.29898</v>
      </c>
      <c r="H60" s="1">
        <f>'1x8'!E54</f>
        <v>608995128591.29907</v>
      </c>
      <c r="I60" s="1">
        <f>'1x9'!E54</f>
        <v>1960556861422.0225</v>
      </c>
      <c r="J60" s="1">
        <f>'1x10'!E54</f>
        <v>5586010106185.7656</v>
      </c>
      <c r="K60">
        <v>10</v>
      </c>
      <c r="L60" s="1">
        <f>'2x3'!E54</f>
        <v>-159624653.84127843</v>
      </c>
      <c r="M60" s="1">
        <f>'2x4'!E54</f>
        <v>-4011264117.6759601</v>
      </c>
      <c r="N60" s="1">
        <f>'2x5'!E54</f>
        <v>-50095517697.559685</v>
      </c>
      <c r="O60" s="1">
        <f>'2x6'!E54</f>
        <v>-387785404257.5744</v>
      </c>
      <c r="P60" s="1">
        <f>'2x7'!E54</f>
        <v>-2115761991983.0872</v>
      </c>
      <c r="Q60" s="1">
        <f>'2x8'!E54</f>
        <v>-8886951313609.4258</v>
      </c>
      <c r="R60" s="1">
        <f>'2x9'!E54</f>
        <v>-30653669006801.492</v>
      </c>
      <c r="S60" s="1">
        <f>'2x10'!E54</f>
        <v>-91010528539955</v>
      </c>
      <c r="T60">
        <v>10</v>
      </c>
      <c r="U60" s="1">
        <f>'3x4'!E54</f>
        <v>-1019562350.5113946</v>
      </c>
      <c r="V60" s="1">
        <f>'3x5'!E54</f>
        <v>-9545708269.4291134</v>
      </c>
      <c r="W60" s="1">
        <f>'3x6'!E54</f>
        <v>-59169825281.096893</v>
      </c>
      <c r="X60" s="1">
        <f>'3x7'!E54</f>
        <v>-275945152070.73596</v>
      </c>
      <c r="Y60" s="1">
        <f>'3x8'!E54</f>
        <v>-1045591359896.3374</v>
      </c>
      <c r="Z60" s="1">
        <f>'3x9'!E54</f>
        <v>-3382687607054.0996</v>
      </c>
      <c r="AA60" s="1">
        <f>'3x10'!E30</f>
        <v>-19924983580.289104</v>
      </c>
    </row>
    <row r="61" spans="1:27" x14ac:dyDescent="0.2">
      <c r="B61" s="357" t="s">
        <v>158</v>
      </c>
      <c r="C61" s="357"/>
      <c r="D61" s="357"/>
      <c r="E61" s="357"/>
      <c r="F61" s="357"/>
      <c r="G61" s="357"/>
      <c r="H61" s="357"/>
      <c r="I61" s="357"/>
      <c r="J61" s="357"/>
      <c r="L61" s="357" t="s">
        <v>158</v>
      </c>
      <c r="M61" s="357"/>
      <c r="N61" s="357"/>
      <c r="O61" s="357"/>
      <c r="P61" s="357"/>
      <c r="Q61" s="357"/>
      <c r="R61" s="357"/>
      <c r="S61" s="357"/>
      <c r="U61" s="357" t="s">
        <v>183</v>
      </c>
      <c r="V61" s="357"/>
      <c r="W61" s="357"/>
      <c r="X61" s="357"/>
      <c r="Y61" s="357"/>
      <c r="Z61" s="357"/>
      <c r="AA61" s="357"/>
    </row>
    <row r="62" spans="1:27" x14ac:dyDescent="0.2">
      <c r="A62" s="31" t="s">
        <v>57</v>
      </c>
      <c r="B62" s="49" t="s">
        <v>142</v>
      </c>
      <c r="C62" s="49" t="s">
        <v>143</v>
      </c>
      <c r="D62" s="49" t="s">
        <v>144</v>
      </c>
      <c r="E62" s="49" t="s">
        <v>145</v>
      </c>
      <c r="F62" s="49" t="s">
        <v>146</v>
      </c>
      <c r="G62" s="49" t="s">
        <v>147</v>
      </c>
      <c r="H62" s="49" t="s">
        <v>148</v>
      </c>
      <c r="I62" s="49" t="s">
        <v>149</v>
      </c>
      <c r="J62" s="49" t="s">
        <v>150</v>
      </c>
      <c r="K62" s="31" t="s">
        <v>57</v>
      </c>
      <c r="L62" s="49" t="s">
        <v>165</v>
      </c>
      <c r="M62" s="49" t="s">
        <v>166</v>
      </c>
      <c r="N62" s="49" t="s">
        <v>167</v>
      </c>
      <c r="O62" s="49" t="s">
        <v>168</v>
      </c>
      <c r="P62" s="49" t="s">
        <v>169</v>
      </c>
      <c r="Q62" s="49" t="s">
        <v>170</v>
      </c>
      <c r="R62" s="49" t="s">
        <v>171</v>
      </c>
      <c r="S62" s="49" t="s">
        <v>172</v>
      </c>
      <c r="T62" s="31" t="s">
        <v>57</v>
      </c>
      <c r="U62" s="49" t="s">
        <v>176</v>
      </c>
      <c r="V62" s="49" t="s">
        <v>177</v>
      </c>
      <c r="W62" s="49" t="s">
        <v>178</v>
      </c>
      <c r="X62" s="49" t="s">
        <v>179</v>
      </c>
      <c r="Y62" s="49" t="s">
        <v>180</v>
      </c>
      <c r="Z62" s="49" t="s">
        <v>181</v>
      </c>
      <c r="AA62" s="49" t="s">
        <v>182</v>
      </c>
    </row>
    <row r="63" spans="1:27" x14ac:dyDescent="0.2">
      <c r="A63">
        <v>2</v>
      </c>
      <c r="B63" s="284">
        <f t="shared" ref="B63:J63" si="0">B4/B28</f>
        <v>-7.3834573179373609E-3</v>
      </c>
      <c r="C63" s="284">
        <f t="shared" si="0"/>
        <v>3.9134412000814186E-3</v>
      </c>
      <c r="D63" s="284">
        <f t="shared" si="0"/>
        <v>9.5200279197726837E-3</v>
      </c>
      <c r="E63" s="284">
        <f t="shared" si="0"/>
        <v>1.1509433838326453E-2</v>
      </c>
      <c r="F63" s="284">
        <f t="shared" si="0"/>
        <v>1.1850385881120052E-2</v>
      </c>
      <c r="G63" s="284">
        <f t="shared" si="0"/>
        <v>1.149708769798396E-2</v>
      </c>
      <c r="H63" s="284">
        <f t="shared" si="0"/>
        <v>1.0882464263806423E-2</v>
      </c>
      <c r="I63" s="284">
        <f t="shared" si="0"/>
        <v>1.0199363135313971E-2</v>
      </c>
      <c r="J63" s="284">
        <f t="shared" si="0"/>
        <v>9.5307705641107261E-3</v>
      </c>
      <c r="K63">
        <v>2</v>
      </c>
      <c r="L63" s="1">
        <f t="shared" ref="L63:S63" si="1">L4/L28</f>
        <v>-0.14788199884653089</v>
      </c>
      <c r="M63" s="1">
        <f t="shared" si="1"/>
        <v>5.5425934711351044E-2</v>
      </c>
      <c r="N63" s="1">
        <f t="shared" si="1"/>
        <v>3.9617286205027982E-2</v>
      </c>
      <c r="O63" s="1">
        <f t="shared" si="1"/>
        <v>3.1130099681628189E-2</v>
      </c>
      <c r="P63" s="1">
        <f t="shared" si="1"/>
        <v>2.6011490627385371E-2</v>
      </c>
      <c r="Q63" s="1">
        <f t="shared" si="1"/>
        <v>2.2611926774620341E-2</v>
      </c>
      <c r="R63" s="1">
        <f t="shared" si="1"/>
        <v>2.0169257051667645E-2</v>
      </c>
      <c r="S63" s="1">
        <f t="shared" si="1"/>
        <v>1.8302290534756242E-2</v>
      </c>
      <c r="T63">
        <v>2</v>
      </c>
      <c r="U63" s="1">
        <f t="shared" ref="U63:AA63" si="2">U4/U28</f>
        <v>0.39716480649077357</v>
      </c>
      <c r="V63" s="1">
        <f t="shared" si="2"/>
        <v>0.32707867172399818</v>
      </c>
      <c r="W63" s="1">
        <f t="shared" si="2"/>
        <v>0.27973277985627665</v>
      </c>
      <c r="X63" s="1">
        <f t="shared" si="2"/>
        <v>0.24539813257075879</v>
      </c>
      <c r="Y63" s="1">
        <f t="shared" si="2"/>
        <v>0.21915669201650184</v>
      </c>
      <c r="Z63" s="1">
        <f t="shared" si="2"/>
        <v>0.19830397120528173</v>
      </c>
      <c r="AA63" s="1">
        <f t="shared" si="2"/>
        <v>0.18124339948793997</v>
      </c>
    </row>
    <row r="64" spans="1:27" x14ac:dyDescent="0.2">
      <c r="A64">
        <v>3</v>
      </c>
      <c r="B64" s="284">
        <f t="shared" ref="B64:J64" si="3">B5/B29</f>
        <v>-7.8028845700238558E-3</v>
      </c>
      <c r="C64" s="284">
        <f t="shared" si="3"/>
        <v>2.597693166288717E-3</v>
      </c>
      <c r="D64" s="284">
        <f t="shared" si="3"/>
        <v>4.6364354693796666E-3</v>
      </c>
      <c r="E64" s="284">
        <f t="shared" si="3"/>
        <v>4.4365293983671082E-3</v>
      </c>
      <c r="F64" s="284">
        <f t="shared" si="3"/>
        <v>3.7875194127833778E-3</v>
      </c>
      <c r="G64" s="284">
        <f t="shared" si="3"/>
        <v>3.1432690589772733E-3</v>
      </c>
      <c r="H64" s="284">
        <f t="shared" si="3"/>
        <v>2.6020894868337349E-3</v>
      </c>
      <c r="I64" s="284">
        <f t="shared" si="3"/>
        <v>2.1683955963866493E-3</v>
      </c>
      <c r="J64" s="284">
        <f t="shared" si="3"/>
        <v>1.8247460364582109E-3</v>
      </c>
      <c r="K64">
        <v>3</v>
      </c>
      <c r="L64" s="1">
        <f t="shared" ref="L64:S64" si="4">L5/L29</f>
        <v>-4.5338203629243401E-2</v>
      </c>
      <c r="M64" s="1">
        <f t="shared" si="4"/>
        <v>1.6160137473955727E-2</v>
      </c>
      <c r="N64" s="1">
        <f t="shared" si="4"/>
        <v>8.7115005288106572E-3</v>
      </c>
      <c r="O64" s="1">
        <f t="shared" si="4"/>
        <v>5.4468061660176625E-3</v>
      </c>
      <c r="P64" s="1">
        <f t="shared" si="4"/>
        <v>3.7807770001706546E-3</v>
      </c>
      <c r="Q64" s="1">
        <f t="shared" si="4"/>
        <v>2.8206224052394679E-3</v>
      </c>
      <c r="R64" s="1">
        <f t="shared" si="4"/>
        <v>2.2113348982523706E-3</v>
      </c>
      <c r="S64" s="1">
        <f t="shared" si="4"/>
        <v>1.7947943028797039E-3</v>
      </c>
      <c r="T64">
        <v>3</v>
      </c>
      <c r="U64" s="1">
        <f t="shared" ref="U64:AA64" si="5">U5/U29</f>
        <v>0.14445062784190804</v>
      </c>
      <c r="V64" s="1">
        <f t="shared" si="5"/>
        <v>9.6580114900092592E-2</v>
      </c>
      <c r="W64" s="1">
        <f t="shared" si="5"/>
        <v>6.9412257840306246E-2</v>
      </c>
      <c r="X64" s="1">
        <f t="shared" si="5"/>
        <v>5.2469785702142863E-2</v>
      </c>
      <c r="Y64" s="1">
        <f t="shared" si="5"/>
        <v>4.1148444350912874E-2</v>
      </c>
      <c r="Z64" s="1">
        <f t="shared" si="5"/>
        <v>3.3180661989330534E-2</v>
      </c>
      <c r="AA64" s="1">
        <f t="shared" si="5"/>
        <v>2.7345038495991795E-2</v>
      </c>
    </row>
    <row r="65" spans="1:27" x14ac:dyDescent="0.2">
      <c r="A65">
        <v>4</v>
      </c>
      <c r="B65" s="284">
        <f t="shared" ref="B65:J65" si="6">B6/B30</f>
        <v>-6.0595730106802071E-3</v>
      </c>
      <c r="C65" s="284">
        <f t="shared" si="6"/>
        <v>1.3206848359028126E-3</v>
      </c>
      <c r="D65" s="284">
        <f t="shared" si="6"/>
        <v>1.7341086846567443E-3</v>
      </c>
      <c r="E65" s="284">
        <f t="shared" si="6"/>
        <v>1.3107960872272132E-3</v>
      </c>
      <c r="F65" s="284">
        <f t="shared" si="6"/>
        <v>9.2559502138196508E-4</v>
      </c>
      <c r="G65" s="284">
        <f t="shared" si="6"/>
        <v>6.55623341473254E-4</v>
      </c>
      <c r="H65" s="284">
        <f t="shared" si="6"/>
        <v>4.7377823249735725E-4</v>
      </c>
      <c r="I65" s="284">
        <f t="shared" si="6"/>
        <v>3.5049189658063745E-4</v>
      </c>
      <c r="J65" s="284">
        <f t="shared" si="6"/>
        <v>2.6526867840778111E-4</v>
      </c>
      <c r="K65">
        <v>4</v>
      </c>
      <c r="L65" s="1">
        <f t="shared" ref="L65:S65" si="7">L6/L30</f>
        <v>-1.2494896718626415E-2</v>
      </c>
      <c r="M65" s="1">
        <f t="shared" si="7"/>
        <v>4.9003929960757956E-3</v>
      </c>
      <c r="N65" s="1">
        <f t="shared" si="7"/>
        <v>2.0150083954757281E-3</v>
      </c>
      <c r="O65" s="1">
        <f t="shared" si="7"/>
        <v>1.0064235706414672E-3</v>
      </c>
      <c r="P65" s="1">
        <f t="shared" si="7"/>
        <v>5.8014129014959549E-4</v>
      </c>
      <c r="Q65" s="1">
        <f t="shared" si="7"/>
        <v>3.7075546721664559E-4</v>
      </c>
      <c r="R65" s="1">
        <f t="shared" si="7"/>
        <v>2.5496405727102602E-4</v>
      </c>
      <c r="S65" s="1">
        <f t="shared" si="7"/>
        <v>1.8476996076452107E-4</v>
      </c>
      <c r="T65">
        <v>4</v>
      </c>
      <c r="U65" s="1">
        <f t="shared" ref="U65:AA65" si="8">U6/U30</f>
        <v>4.8405415577815004E-2</v>
      </c>
      <c r="V65" s="1">
        <f t="shared" si="8"/>
        <v>2.6041410301537699E-2</v>
      </c>
      <c r="W65" s="1">
        <f t="shared" si="8"/>
        <v>1.5639170305153691E-2</v>
      </c>
      <c r="X65" s="1">
        <f t="shared" si="8"/>
        <v>1.0147605552441416E-2</v>
      </c>
      <c r="Y65" s="1">
        <f t="shared" si="8"/>
        <v>6.9690609748239559E-3</v>
      </c>
      <c r="Z65" s="1">
        <f t="shared" si="8"/>
        <v>4.9977399426265629E-3</v>
      </c>
      <c r="AA65" s="1">
        <f t="shared" si="8"/>
        <v>3.7081073999570341E-3</v>
      </c>
    </row>
    <row r="66" spans="1:27" x14ac:dyDescent="0.2">
      <c r="A66">
        <v>5</v>
      </c>
      <c r="B66" s="284">
        <f t="shared" ref="B66:J66" si="9">B7/B31</f>
        <v>-4.1820231466167023E-3</v>
      </c>
      <c r="C66" s="284">
        <f t="shared" si="9"/>
        <v>5.957743032096259E-4</v>
      </c>
      <c r="D66" s="284">
        <f t="shared" si="9"/>
        <v>5.7382935769600648E-4</v>
      </c>
      <c r="E66" s="284">
        <f t="shared" si="9"/>
        <v>3.4214774562240947E-4</v>
      </c>
      <c r="F66" s="284">
        <f t="shared" si="9"/>
        <v>1.9968818845828265E-4</v>
      </c>
      <c r="G66" s="284">
        <f t="shared" si="9"/>
        <v>1.2067120901165101E-4</v>
      </c>
      <c r="H66" s="284">
        <f t="shared" si="9"/>
        <v>7.6098877121925644E-5</v>
      </c>
      <c r="I66" s="284">
        <f t="shared" si="9"/>
        <v>4.9966158996748705E-5</v>
      </c>
      <c r="J66" s="284">
        <f t="shared" si="9"/>
        <v>3.4006205731790476E-5</v>
      </c>
      <c r="K66">
        <v>5</v>
      </c>
      <c r="L66" s="1">
        <f t="shared" ref="L66:S66" si="10">L7/L31</f>
        <v>-3.2097652475007511E-3</v>
      </c>
      <c r="M66" s="1">
        <f t="shared" si="10"/>
        <v>1.4890836986561631E-3</v>
      </c>
      <c r="N66" s="1">
        <f t="shared" si="10"/>
        <v>4.7597099143723638E-4</v>
      </c>
      <c r="O66" s="1">
        <f t="shared" si="10"/>
        <v>1.9264989634506247E-4</v>
      </c>
      <c r="P66" s="1">
        <f t="shared" si="10"/>
        <v>9.3074357429890668E-5</v>
      </c>
      <c r="Q66" s="1">
        <f t="shared" si="10"/>
        <v>5.1228256193150629E-5</v>
      </c>
      <c r="R66" s="1">
        <f t="shared" si="10"/>
        <v>3.099477215102567E-5</v>
      </c>
      <c r="S66" s="1">
        <f t="shared" si="10"/>
        <v>2.0088506433814926E-5</v>
      </c>
      <c r="T66">
        <v>5</v>
      </c>
      <c r="U66" s="1">
        <f t="shared" ref="U66:AA66" si="11">U7/U31</f>
        <v>1.5266873687826595E-2</v>
      </c>
      <c r="V66" s="1">
        <f t="shared" si="11"/>
        <v>6.5855210711100272E-3</v>
      </c>
      <c r="W66" s="1">
        <f t="shared" si="11"/>
        <v>3.298958155703162E-3</v>
      </c>
      <c r="X66" s="1">
        <f t="shared" si="11"/>
        <v>1.8356175797285882E-3</v>
      </c>
      <c r="Y66" s="1">
        <f t="shared" si="11"/>
        <v>1.103333121817427E-3</v>
      </c>
      <c r="Z66" s="1">
        <f t="shared" si="11"/>
        <v>7.0341528027046958E-4</v>
      </c>
      <c r="AA66" s="1">
        <f t="shared" si="11"/>
        <v>4.697495872276871E-4</v>
      </c>
    </row>
    <row r="67" spans="1:27" x14ac:dyDescent="0.2">
      <c r="A67">
        <v>6</v>
      </c>
      <c r="B67" s="284">
        <f t="shared" ref="B67:J67" si="12">B8/B32</f>
        <v>-2.7028912696569164E-3</v>
      </c>
      <c r="C67" s="284">
        <f t="shared" si="12"/>
        <v>2.5065963408891291E-4</v>
      </c>
      <c r="D67" s="284">
        <f t="shared" si="12"/>
        <v>1.7685667668229806E-4</v>
      </c>
      <c r="E67" s="284">
        <f t="shared" si="12"/>
        <v>8.3161548954494816E-5</v>
      </c>
      <c r="F67" s="284">
        <f t="shared" si="12"/>
        <v>4.011748640014291E-5</v>
      </c>
      <c r="G67" s="284">
        <f t="shared" si="12"/>
        <v>2.0684150137751343E-5</v>
      </c>
      <c r="H67" s="284">
        <f t="shared" si="12"/>
        <v>1.1383930749307019E-5</v>
      </c>
      <c r="I67" s="284">
        <f t="shared" si="12"/>
        <v>6.6343833941474956E-6</v>
      </c>
      <c r="J67" s="284">
        <f t="shared" si="12"/>
        <v>4.0603676078224877E-6</v>
      </c>
      <c r="K67">
        <v>6</v>
      </c>
      <c r="L67" s="1">
        <f t="shared" ref="L67:S67" si="13">L8/L32</f>
        <v>-7.8635910749239556E-4</v>
      </c>
      <c r="M67" s="1">
        <f t="shared" si="13"/>
        <v>4.4589734384936191E-4</v>
      </c>
      <c r="N67" s="1">
        <f t="shared" si="13"/>
        <v>1.1235077763132569E-4</v>
      </c>
      <c r="O67" s="1">
        <f t="shared" si="13"/>
        <v>3.7313246455109623E-5</v>
      </c>
      <c r="P67" s="1">
        <f t="shared" si="13"/>
        <v>1.5250475462747303E-5</v>
      </c>
      <c r="Q67" s="1">
        <f t="shared" si="13"/>
        <v>7.2743664691258763E-6</v>
      </c>
      <c r="R67" s="1">
        <f t="shared" si="13"/>
        <v>3.8872902181417195E-6</v>
      </c>
      <c r="S67" s="1">
        <f t="shared" si="13"/>
        <v>2.258497144963798E-6</v>
      </c>
      <c r="T67">
        <v>6</v>
      </c>
      <c r="U67" s="1">
        <f t="shared" ref="U67:AA67" si="14">U8/U32</f>
        <v>4.6157102106631261E-3</v>
      </c>
      <c r="V67" s="1">
        <f t="shared" si="14"/>
        <v>1.5943936254769725E-3</v>
      </c>
      <c r="W67" s="1">
        <f t="shared" si="14"/>
        <v>6.6587112299131826E-4</v>
      </c>
      <c r="X67" s="1">
        <f t="shared" si="14"/>
        <v>3.1764616832383701E-4</v>
      </c>
      <c r="Y67" s="1">
        <f t="shared" si="14"/>
        <v>1.670807833740694E-4</v>
      </c>
      <c r="Z67" s="1">
        <f t="shared" si="14"/>
        <v>9.4690566591002661E-5</v>
      </c>
      <c r="AA67" s="1">
        <f t="shared" si="14"/>
        <v>5.6914013836220856E-5</v>
      </c>
    </row>
    <row r="68" spans="1:27" x14ac:dyDescent="0.2">
      <c r="A68">
        <v>7</v>
      </c>
      <c r="B68" s="284">
        <f t="shared" ref="B68:J68" si="15">B9/B33</f>
        <v>-1.6732553911211858E-3</v>
      </c>
      <c r="C68" s="284">
        <f t="shared" si="15"/>
        <v>1.007565419912862E-4</v>
      </c>
      <c r="D68" s="284">
        <f t="shared" si="15"/>
        <v>5.2057636241048283E-5</v>
      </c>
      <c r="E68" s="284">
        <f t="shared" si="15"/>
        <v>1.9307777505513063E-5</v>
      </c>
      <c r="F68" s="284">
        <f t="shared" si="15"/>
        <v>7.7004445390899963E-6</v>
      </c>
      <c r="G68" s="284">
        <f t="shared" si="15"/>
        <v>3.388029922399423E-6</v>
      </c>
      <c r="H68" s="284">
        <f t="shared" si="15"/>
        <v>1.6275334566962271E-6</v>
      </c>
      <c r="I68" s="284">
        <f t="shared" si="15"/>
        <v>8.4193376056759191E-7</v>
      </c>
      <c r="J68" s="284">
        <f t="shared" si="15"/>
        <v>4.6338534311472258E-7</v>
      </c>
      <c r="K68">
        <v>7</v>
      </c>
      <c r="L68" s="1">
        <f t="shared" ref="L68:S68" si="16">L9/L33</f>
        <v>-1.863513228884015E-4</v>
      </c>
      <c r="M68" s="1">
        <f t="shared" si="16"/>
        <v>1.3097940256948722E-4</v>
      </c>
      <c r="N68" s="1">
        <f t="shared" si="16"/>
        <v>2.6222702650299118E-5</v>
      </c>
      <c r="O68" s="1">
        <f t="shared" si="16"/>
        <v>7.2016115554775414E-6</v>
      </c>
      <c r="P68" s="1">
        <f t="shared" si="16"/>
        <v>2.5057002848617762E-6</v>
      </c>
      <c r="Q68" s="1">
        <f t="shared" si="16"/>
        <v>1.04040831306746E-6</v>
      </c>
      <c r="R68" s="1">
        <f t="shared" si="16"/>
        <v>4.9247452056281893E-7</v>
      </c>
      <c r="S68" s="1">
        <f t="shared" si="16"/>
        <v>2.5694567022496528E-7</v>
      </c>
      <c r="T68">
        <v>7</v>
      </c>
      <c r="U68" s="1">
        <f t="shared" ref="U68:AA68" si="17">U9/U33</f>
        <v>1.3542614166086138E-3</v>
      </c>
      <c r="V68" s="1">
        <f t="shared" si="17"/>
        <v>3.7443390528911128E-4</v>
      </c>
      <c r="W68" s="1">
        <f t="shared" si="17"/>
        <v>1.3034661503014244E-4</v>
      </c>
      <c r="X68" s="1">
        <f t="shared" si="17"/>
        <v>5.3304784130393832E-5</v>
      </c>
      <c r="Y68" s="1">
        <f t="shared" si="17"/>
        <v>2.4535234764460077E-5</v>
      </c>
      <c r="Z68" s="1">
        <f t="shared" si="17"/>
        <v>1.2360511434378329E-5</v>
      </c>
      <c r="AA68" s="1">
        <f t="shared" si="17"/>
        <v>6.6865467243631856E-6</v>
      </c>
    </row>
    <row r="69" spans="1:27" x14ac:dyDescent="0.2">
      <c r="A69">
        <v>8</v>
      </c>
      <c r="B69" s="284">
        <f t="shared" ref="B69:J69" si="18">B10/B34</f>
        <v>-1.004392468703651E-3</v>
      </c>
      <c r="C69" s="284">
        <f t="shared" si="18"/>
        <v>3.9227211308015121E-5</v>
      </c>
      <c r="D69" s="284">
        <f t="shared" si="18"/>
        <v>1.484135680363211E-5</v>
      </c>
      <c r="E69" s="284">
        <f t="shared" si="18"/>
        <v>4.3430066433497351E-6</v>
      </c>
      <c r="F69" s="284">
        <f t="shared" si="18"/>
        <v>1.4323944690374602E-6</v>
      </c>
      <c r="G69" s="284">
        <f t="shared" si="18"/>
        <v>5.3790190695316077E-7</v>
      </c>
      <c r="H69" s="284">
        <f t="shared" si="18"/>
        <v>2.2556157982605128E-7</v>
      </c>
      <c r="I69" s="284">
        <f t="shared" si="18"/>
        <v>1.0358179658391057E-7</v>
      </c>
      <c r="J69" s="284">
        <f t="shared" si="18"/>
        <v>5.1270228460970598E-8</v>
      </c>
      <c r="K69">
        <v>8</v>
      </c>
      <c r="L69" s="1">
        <f t="shared" ref="L69:S69" si="19">L10/L34</f>
        <v>-4.3103627532559367E-5</v>
      </c>
      <c r="M69" s="1">
        <f t="shared" si="19"/>
        <v>3.7770191998095922E-5</v>
      </c>
      <c r="N69" s="1">
        <f t="shared" si="19"/>
        <v>6.0325286434637278E-6</v>
      </c>
      <c r="O69" s="1">
        <f t="shared" si="19"/>
        <v>1.3756958518767823E-6</v>
      </c>
      <c r="P69" s="1">
        <f t="shared" si="19"/>
        <v>4.0891243430585869E-7</v>
      </c>
      <c r="Q69" s="1">
        <f t="shared" si="19"/>
        <v>1.4818087222123191E-7</v>
      </c>
      <c r="R69" s="1">
        <f t="shared" si="19"/>
        <v>6.2237053721852036E-8</v>
      </c>
      <c r="S69" s="1">
        <f t="shared" si="19"/>
        <v>2.9191671617631056E-8</v>
      </c>
      <c r="T69">
        <v>8</v>
      </c>
      <c r="U69" s="1">
        <f t="shared" ref="U69:AA69" si="20">U10/U34</f>
        <v>3.8869202633462426E-4</v>
      </c>
      <c r="V69" s="1">
        <f t="shared" si="20"/>
        <v>8.6002701337492294E-5</v>
      </c>
      <c r="W69" s="1">
        <f t="shared" si="20"/>
        <v>2.4953572716463375E-5</v>
      </c>
      <c r="X69" s="1">
        <f t="shared" si="20"/>
        <v>8.7477359627830895E-6</v>
      </c>
      <c r="Y69" s="1">
        <f t="shared" si="20"/>
        <v>3.5233209434249751E-6</v>
      </c>
      <c r="Z69" s="1">
        <f t="shared" si="20"/>
        <v>1.5778283330961422E-6</v>
      </c>
      <c r="AA69" s="1">
        <f t="shared" si="20"/>
        <v>7.6820219380001682E-7</v>
      </c>
    </row>
    <row r="70" spans="1:27" x14ac:dyDescent="0.2">
      <c r="A70">
        <v>9</v>
      </c>
      <c r="B70" s="284">
        <f t="shared" ref="B70:J70" si="21">B11/B35</f>
        <v>-5.8905231797632708E-4</v>
      </c>
      <c r="C70" s="284">
        <f t="shared" si="21"/>
        <v>1.4917895398275779E-5</v>
      </c>
      <c r="D70" s="284">
        <f t="shared" si="21"/>
        <v>4.1334964912559721E-6</v>
      </c>
      <c r="E70" s="284">
        <f t="shared" si="21"/>
        <v>9.5464098514257285E-7</v>
      </c>
      <c r="F70" s="284">
        <f t="shared" si="21"/>
        <v>2.6045033348000099E-7</v>
      </c>
      <c r="G70" s="284">
        <f t="shared" si="21"/>
        <v>8.3494968073210511E-8</v>
      </c>
      <c r="H70" s="284">
        <f t="shared" si="21"/>
        <v>3.0567179337134908E-8</v>
      </c>
      <c r="I70" s="284">
        <f t="shared" si="21"/>
        <v>1.2461661911159604E-8</v>
      </c>
      <c r="J70" s="284">
        <f t="shared" si="21"/>
        <v>5.5474556074524279E-9</v>
      </c>
      <c r="K70">
        <v>9</v>
      </c>
      <c r="L70" s="1">
        <f t="shared" ref="L70:S70" si="22">L11/L35</f>
        <v>-9.7889301576919213E-6</v>
      </c>
      <c r="M70" s="1">
        <f t="shared" si="22"/>
        <v>1.0718266457798012E-5</v>
      </c>
      <c r="N70" s="1">
        <f t="shared" si="22"/>
        <v>1.3682609944689395E-6</v>
      </c>
      <c r="O70" s="1">
        <f t="shared" si="22"/>
        <v>2.5963319831345842E-7</v>
      </c>
      <c r="P70" s="1">
        <f t="shared" si="22"/>
        <v>6.6048687750823677E-8</v>
      </c>
      <c r="Q70" s="1">
        <f t="shared" si="22"/>
        <v>2.091731059597358E-8</v>
      </c>
      <c r="R70" s="1">
        <f t="shared" si="22"/>
        <v>7.8026192144863725E-9</v>
      </c>
      <c r="S70" s="1">
        <f t="shared" si="22"/>
        <v>3.2919658592816304E-9</v>
      </c>
      <c r="T70">
        <v>9</v>
      </c>
      <c r="U70" s="1">
        <f t="shared" ref="U70:AA70" si="23">U11/U35</f>
        <v>1.0970777330576674E-4</v>
      </c>
      <c r="V70" s="1">
        <f t="shared" si="23"/>
        <v>1.9423961222991553E-5</v>
      </c>
      <c r="W70" s="1">
        <f t="shared" si="23"/>
        <v>4.6971632582221395E-6</v>
      </c>
      <c r="X70" s="1">
        <f t="shared" si="23"/>
        <v>1.4115136099420744E-6</v>
      </c>
      <c r="Y70" s="1">
        <f t="shared" si="23"/>
        <v>4.974719413830091E-7</v>
      </c>
      <c r="Z70" s="1">
        <f t="shared" si="23"/>
        <v>1.9803153955645322E-7</v>
      </c>
      <c r="AA70" s="1">
        <f t="shared" si="23"/>
        <v>8.6775827696809156E-8</v>
      </c>
    </row>
    <row r="71" spans="1:27" x14ac:dyDescent="0.2">
      <c r="A71">
        <v>10</v>
      </c>
      <c r="B71" s="284">
        <f t="shared" ref="B71:J71" si="24">B12/B36</f>
        <v>-3.3926319408766794E-4</v>
      </c>
      <c r="C71" s="284">
        <f t="shared" si="24"/>
        <v>5.5725388453207534E-6</v>
      </c>
      <c r="D71" s="284">
        <f t="shared" si="24"/>
        <v>1.1309598354160005E-6</v>
      </c>
      <c r="E71" s="284">
        <f t="shared" si="24"/>
        <v>2.0621650293472536E-7</v>
      </c>
      <c r="F71" s="284">
        <f t="shared" si="24"/>
        <v>4.655367770869421E-8</v>
      </c>
      <c r="G71" s="284">
        <f t="shared" si="24"/>
        <v>1.2743115774336671E-8</v>
      </c>
      <c r="H71" s="284">
        <f t="shared" si="24"/>
        <v>4.0734312887413419E-9</v>
      </c>
      <c r="I71" s="284">
        <f t="shared" si="24"/>
        <v>1.4744054841193094E-9</v>
      </c>
      <c r="J71" s="284">
        <f t="shared" si="24"/>
        <v>5.9032396561446529E-10</v>
      </c>
      <c r="K71">
        <v>10</v>
      </c>
      <c r="L71" s="1">
        <f t="shared" ref="L71:S71" si="25">L12/L36</f>
        <v>-2.1915604667445342E-6</v>
      </c>
      <c r="M71" s="1">
        <f t="shared" si="25"/>
        <v>3.0009380087819954E-6</v>
      </c>
      <c r="N71" s="1">
        <f t="shared" si="25"/>
        <v>3.0644794933157228E-7</v>
      </c>
      <c r="O71" s="1">
        <f t="shared" si="25"/>
        <v>4.8432965363618651E-8</v>
      </c>
      <c r="P71" s="1">
        <f t="shared" si="25"/>
        <v>1.0554242879875676E-8</v>
      </c>
      <c r="Q71" s="1">
        <f t="shared" si="25"/>
        <v>2.923107211488964E-9</v>
      </c>
      <c r="R71" s="1">
        <f t="shared" si="25"/>
        <v>9.6885683653780813E-10</v>
      </c>
      <c r="S71" s="1">
        <f t="shared" si="25"/>
        <v>3.6779688823663138E-10</v>
      </c>
      <c r="T71">
        <v>10</v>
      </c>
      <c r="U71" s="1">
        <f t="shared" ref="U71:AA71" si="26">U12/U36</f>
        <v>3.0560853076484485E-5</v>
      </c>
      <c r="V71" s="1">
        <f t="shared" si="26"/>
        <v>4.3294876493639482E-6</v>
      </c>
      <c r="W71" s="1">
        <f t="shared" si="26"/>
        <v>8.725680677486395E-7</v>
      </c>
      <c r="X71" s="1">
        <f t="shared" si="26"/>
        <v>2.2476484213022636E-7</v>
      </c>
      <c r="Y71" s="1">
        <f t="shared" si="26"/>
        <v>6.9316244188331564E-8</v>
      </c>
      <c r="Z71" s="1">
        <f t="shared" si="26"/>
        <v>2.4527700842766439E-8</v>
      </c>
      <c r="AA71" s="1">
        <f t="shared" si="26"/>
        <v>9.673165383906526E-9</v>
      </c>
    </row>
  </sheetData>
  <sheetProtection sheet="1" objects="1" scenarios="1"/>
  <mergeCells count="18">
    <mergeCell ref="L61:S61"/>
    <mergeCell ref="L1:S1"/>
    <mergeCell ref="L13:S13"/>
    <mergeCell ref="L25:S25"/>
    <mergeCell ref="L37:S37"/>
    <mergeCell ref="L49:S49"/>
    <mergeCell ref="B1:J1"/>
    <mergeCell ref="B13:J13"/>
    <mergeCell ref="B25:J25"/>
    <mergeCell ref="B37:J37"/>
    <mergeCell ref="B61:J61"/>
    <mergeCell ref="B49:J49"/>
    <mergeCell ref="U61:AA61"/>
    <mergeCell ref="U1:AA1"/>
    <mergeCell ref="U13:AA13"/>
    <mergeCell ref="U25:AA25"/>
    <mergeCell ref="U37:AA37"/>
    <mergeCell ref="U49:AA49"/>
  </mergeCells>
  <phoneticPr fontId="16" type="noConversion"/>
  <conditionalFormatting sqref="B15:J24">
    <cfRule type="colorScale" priority="41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B3:J12">
    <cfRule type="colorScale" priority="42">
      <colorScale>
        <cfvo type="num" val="0"/>
        <cfvo type="percentile" val="0"/>
        <cfvo type="max"/>
        <color rgb="FFFF0000"/>
        <color rgb="FFFFEB84"/>
        <color rgb="FF00B050"/>
      </colorScale>
    </cfRule>
  </conditionalFormatting>
  <conditionalFormatting sqref="B27:J36">
    <cfRule type="colorScale" priority="39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B39:J48">
    <cfRule type="colorScale" priority="38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B51:J60">
    <cfRule type="colorScale" priority="37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L15:S24">
    <cfRule type="colorScale" priority="185">
      <colorScale>
        <cfvo type="num" val="0"/>
        <cfvo type="percentile" val="0"/>
        <cfvo type="max"/>
        <color rgb="FFFF0000"/>
        <color rgb="FFFFEB84"/>
        <color rgb="FF00B050"/>
      </colorScale>
    </cfRule>
  </conditionalFormatting>
  <conditionalFormatting sqref="L3:S12">
    <cfRule type="colorScale" priority="186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L27:S36">
    <cfRule type="cellIs" dxfId="113" priority="13" operator="lessThanOrEqual">
      <formula>0</formula>
    </cfRule>
    <cfRule type="colorScale" priority="187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L39:S48">
    <cfRule type="cellIs" dxfId="112" priority="11" operator="lessThanOrEqual">
      <formula>0</formula>
    </cfRule>
    <cfRule type="colorScale" priority="188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L51:S60">
    <cfRule type="cellIs" dxfId="111" priority="9" operator="lessThanOrEqual">
      <formula>0</formula>
    </cfRule>
    <cfRule type="colorScale" priority="189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U15:AA24">
    <cfRule type="colorScale" priority="193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U3:AA12">
    <cfRule type="colorScale" priority="194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U27:AA36">
    <cfRule type="cellIs" dxfId="110" priority="12" operator="lessThanOrEqual">
      <formula>0</formula>
    </cfRule>
    <cfRule type="colorScale" priority="195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U39:AA48">
    <cfRule type="cellIs" dxfId="109" priority="10" operator="lessThanOrEqual">
      <formula>0</formula>
    </cfRule>
    <cfRule type="colorScale" priority="196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U51:AA60">
    <cfRule type="colorScale" priority="197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B63:J71">
    <cfRule type="cellIs" dxfId="108" priority="317" operator="equal">
      <formula>MAX($B$63:$J$71)</formula>
    </cfRule>
    <cfRule type="colorScale" priority="318">
      <colorScale>
        <cfvo type="num" val="0"/>
        <cfvo type="percentile" val="50"/>
        <cfvo type="num" val="MAX($B$63:$J$71)"/>
        <color rgb="FFFF0000"/>
        <color rgb="FFFFEB84"/>
        <color rgb="FF00B050"/>
      </colorScale>
    </cfRule>
  </conditionalFormatting>
  <conditionalFormatting sqref="L63:S71">
    <cfRule type="colorScale" priority="319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U63:AA71">
    <cfRule type="colorScale" priority="320">
      <colorScale>
        <cfvo type="num" val="0"/>
        <cfvo type="num" val="0"/>
        <cfvo type="max"/>
        <color rgb="FFFF0000"/>
        <color rgb="FFFFEB84"/>
        <color rgb="FF00B050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0F125-C276-244A-97F9-A501244095E9}">
  <dimension ref="A1:AA72"/>
  <sheetViews>
    <sheetView workbookViewId="0">
      <selection activeCell="F65" sqref="F65"/>
    </sheetView>
  </sheetViews>
  <sheetFormatPr baseColWidth="10" defaultColWidth="8.83203125" defaultRowHeight="16" x14ac:dyDescent="0.2"/>
  <cols>
    <col min="1" max="27" width="6.6640625" customWidth="1"/>
  </cols>
  <sheetData>
    <row r="1" spans="1:27" x14ac:dyDescent="0.2">
      <c r="B1" s="357" t="s">
        <v>48</v>
      </c>
      <c r="C1" s="357"/>
      <c r="D1" s="357"/>
      <c r="E1" s="357"/>
      <c r="F1" s="357"/>
      <c r="G1" s="357"/>
      <c r="H1" s="357"/>
      <c r="I1" s="357"/>
      <c r="J1" s="357"/>
      <c r="L1" s="357" t="s">
        <v>48</v>
      </c>
      <c r="M1" s="357"/>
      <c r="N1" s="357"/>
      <c r="O1" s="357"/>
      <c r="P1" s="357"/>
      <c r="Q1" s="357"/>
      <c r="R1" s="357"/>
      <c r="S1" s="357"/>
      <c r="U1" s="357" t="s">
        <v>48</v>
      </c>
      <c r="V1" s="357"/>
      <c r="W1" s="357"/>
      <c r="X1" s="357"/>
      <c r="Y1" s="357"/>
      <c r="Z1" s="357"/>
      <c r="AA1" s="357"/>
    </row>
    <row r="2" spans="1:27" x14ac:dyDescent="0.2">
      <c r="A2" s="279" t="s">
        <v>57</v>
      </c>
      <c r="B2" s="280" t="s">
        <v>142</v>
      </c>
      <c r="C2" s="280" t="s">
        <v>143</v>
      </c>
      <c r="D2" s="280" t="s">
        <v>144</v>
      </c>
      <c r="E2" s="280" t="s">
        <v>145</v>
      </c>
      <c r="F2" s="280" t="s">
        <v>146</v>
      </c>
      <c r="G2" s="280" t="s">
        <v>147</v>
      </c>
      <c r="H2" s="280" t="s">
        <v>148</v>
      </c>
      <c r="I2" s="280" t="s">
        <v>149</v>
      </c>
      <c r="J2" s="280" t="s">
        <v>150</v>
      </c>
      <c r="K2" s="279" t="s">
        <v>57</v>
      </c>
      <c r="L2" s="280" t="s">
        <v>165</v>
      </c>
      <c r="M2" s="280" t="s">
        <v>166</v>
      </c>
      <c r="N2" s="280" t="s">
        <v>167</v>
      </c>
      <c r="O2" s="280" t="s">
        <v>168</v>
      </c>
      <c r="P2" s="280" t="s">
        <v>169</v>
      </c>
      <c r="Q2" s="280" t="s">
        <v>170</v>
      </c>
      <c r="R2" s="280" t="s">
        <v>171</v>
      </c>
      <c r="S2" s="280" t="s">
        <v>172</v>
      </c>
      <c r="T2" s="279" t="s">
        <v>57</v>
      </c>
      <c r="U2" s="280" t="s">
        <v>176</v>
      </c>
      <c r="V2" s="280" t="s">
        <v>177</v>
      </c>
      <c r="W2" s="280" t="s">
        <v>178</v>
      </c>
      <c r="X2" s="280" t="s">
        <v>179</v>
      </c>
      <c r="Y2" s="280" t="s">
        <v>180</v>
      </c>
      <c r="Z2" s="280" t="s">
        <v>181</v>
      </c>
      <c r="AA2" s="280" t="s">
        <v>182</v>
      </c>
    </row>
    <row r="3" spans="1:27" x14ac:dyDescent="0.2">
      <c r="A3" s="279">
        <v>1</v>
      </c>
      <c r="B3" s="1">
        <f>'1x2'!U7</f>
        <v>-8.627806172452579E-2</v>
      </c>
      <c r="C3" s="1">
        <f>'1x3'!U7</f>
        <v>6.2990515324159002E-2</v>
      </c>
      <c r="D3" s="1">
        <f>'1x4'!U7</f>
        <v>0.22489879193941786</v>
      </c>
      <c r="E3" s="1">
        <f>'1x5'!U7</f>
        <v>0.38539833900542586</v>
      </c>
      <c r="F3" s="1">
        <f>'1x6'!U7</f>
        <v>0.54007226280476051</v>
      </c>
      <c r="G3" s="1">
        <f>'1x7'!U7</f>
        <v>0.68828102600183128</v>
      </c>
      <c r="H3" s="1">
        <f>'1x8'!U7</f>
        <v>0.8308425759549789</v>
      </c>
      <c r="I3" s="1">
        <f>'1x9'!U7</f>
        <v>0.96898654563276132</v>
      </c>
      <c r="J3" s="1">
        <f>'1x10'!U7</f>
        <v>1.1038959403643753</v>
      </c>
      <c r="K3" s="279">
        <v>1</v>
      </c>
      <c r="L3" s="1">
        <f>'2x3'!U7</f>
        <v>-1.6474127006424895</v>
      </c>
      <c r="M3" s="1">
        <f>'2x4'!U7</f>
        <v>-2.0794192697122256</v>
      </c>
      <c r="N3" s="1">
        <f>'2x5'!U7</f>
        <v>-2.5377746976048519</v>
      </c>
      <c r="O3" s="1">
        <f>'2x6'!U7</f>
        <v>-3.0237438709843829</v>
      </c>
      <c r="P3" s="1">
        <f>'2x7'!U7</f>
        <v>-3.5330454322254354</v>
      </c>
      <c r="Q3" s="1">
        <f>'2x8'!U7</f>
        <v>-4.0601850456380451</v>
      </c>
      <c r="R3" s="1">
        <f>'2x9'!U7</f>
        <v>-4.6001678723592141</v>
      </c>
      <c r="S3" s="1">
        <f>'2x10'!U7</f>
        <v>-5.1490282593588841</v>
      </c>
      <c r="T3" s="279">
        <v>1</v>
      </c>
      <c r="U3" s="1">
        <f>'3x4'!U7</f>
        <v>-6.0720066559623138</v>
      </c>
      <c r="V3" s="1">
        <f>'3x5'!U7</f>
        <v>-7.7148859708677096</v>
      </c>
      <c r="W3" s="1">
        <f>'3x6'!U7</f>
        <v>-9.3889749204073958</v>
      </c>
      <c r="X3" s="1">
        <f>'3x7'!U7</f>
        <v>-11.08501341208054</v>
      </c>
      <c r="Y3" s="1">
        <f>'3x8'!U7</f>
        <v>-12.795994942560228</v>
      </c>
      <c r="Z3" s="1">
        <f>'3x9'!U7</f>
        <v>-14.516899546489316</v>
      </c>
      <c r="AA3" s="1">
        <f>'3x10'!U7</f>
        <v>-16.244265743253639</v>
      </c>
    </row>
    <row r="4" spans="1:27" x14ac:dyDescent="0.2">
      <c r="A4">
        <v>2</v>
      </c>
      <c r="B4" s="1">
        <f>'1x2'!U8</f>
        <v>-0.17578976899459353</v>
      </c>
      <c r="C4" s="1">
        <f>'1x3'!U8</f>
        <v>0.12454182284198678</v>
      </c>
      <c r="D4" s="1">
        <f>'1x4'!U8</f>
        <v>0.43704759587136754</v>
      </c>
      <c r="E4" s="1">
        <f>'1x5'!U8</f>
        <v>0.74169821020308779</v>
      </c>
      <c r="F4" s="1">
        <f>'1x6'!U8</f>
        <v>1.033692478955027</v>
      </c>
      <c r="G4" s="1">
        <f>'1x7'!U8</f>
        <v>1.313301067329899</v>
      </c>
      <c r="H4" s="1">
        <f>'1x8'!U8</f>
        <v>1.5825586478386988</v>
      </c>
      <c r="I4" s="1">
        <f>'1x9'!U8</f>
        <v>1.8438710292374054</v>
      </c>
      <c r="J4" s="1">
        <f>'1x10'!U8</f>
        <v>2.099416521705928</v>
      </c>
      <c r="K4">
        <v>2</v>
      </c>
      <c r="L4" s="1">
        <f>'2x3'!U8</f>
        <v>-3.5491679723167415</v>
      </c>
      <c r="M4" s="1">
        <f>'2x4'!U8</f>
        <v>-4.4755665502086046</v>
      </c>
      <c r="N4" s="1">
        <f>'2x5'!U8</f>
        <v>-5.4571213588186129</v>
      </c>
      <c r="O4" s="1">
        <f>'2x6'!U8</f>
        <v>-6.4980775204370609</v>
      </c>
      <c r="P4" s="1">
        <f>'2x7'!U8</f>
        <v>-7.5896464603716298</v>
      </c>
      <c r="Q4" s="1">
        <f>'2x8'!U8</f>
        <v>-8.720046508987183</v>
      </c>
      <c r="R4" s="1">
        <f>'2x9'!U8</f>
        <v>-9.8784540508915395</v>
      </c>
      <c r="S4" s="1">
        <f>'2x10'!U8</f>
        <v>-11.056240372406927</v>
      </c>
      <c r="T4">
        <v>2</v>
      </c>
      <c r="U4" s="1">
        <f>'3x4'!U8</f>
        <v>-12.925649521719228</v>
      </c>
      <c r="V4" s="1">
        <f>'3x5'!U8</f>
        <v>-16.44792800765002</v>
      </c>
      <c r="W4" s="1">
        <f>'3x6'!U8</f>
        <v>-20.033261938443729</v>
      </c>
      <c r="X4" s="1">
        <f>'3x7'!U8</f>
        <v>-23.662562029294218</v>
      </c>
      <c r="Y4" s="1">
        <f>'3x8'!U8</f>
        <v>-27.321597365199128</v>
      </c>
      <c r="Z4" s="1">
        <f>'3x9'!U8</f>
        <v>-31.000270030402341</v>
      </c>
      <c r="AA4" s="1">
        <f>'3x10'!U8</f>
        <v>-34.691669373425604</v>
      </c>
    </row>
    <row r="5" spans="1:27" x14ac:dyDescent="0.2">
      <c r="A5">
        <v>3</v>
      </c>
      <c r="B5" s="1">
        <f>'1x2'!U9</f>
        <v>-0.26851202260338125</v>
      </c>
      <c r="C5" s="1">
        <f>'1x3'!U9</f>
        <v>0.18465708860972363</v>
      </c>
      <c r="D5" s="1">
        <f>'1x4'!U9</f>
        <v>0.63660448067465492</v>
      </c>
      <c r="E5" s="1">
        <f>'1x5'!U9</f>
        <v>1.0695109842149506</v>
      </c>
      <c r="F5" s="1">
        <f>'1x6'!U9</f>
        <v>1.4820965534837072</v>
      </c>
      <c r="G5" s="1">
        <f>'1x7'!U9</f>
        <v>1.8769563657318598</v>
      </c>
      <c r="H5" s="1">
        <f>'1x8'!U9</f>
        <v>2.2576756579831194</v>
      </c>
      <c r="I5" s="1">
        <f>'1x9'!U9</f>
        <v>2.6277657570091826</v>
      </c>
      <c r="J5" s="1">
        <f>'1x10'!U9</f>
        <v>2.9902162042994807</v>
      </c>
      <c r="K5">
        <v>3</v>
      </c>
      <c r="L5" s="1">
        <f>'2x3'!U9</f>
        <v>-5.6219372500261819</v>
      </c>
      <c r="M5" s="1">
        <f>'2x4'!U9</f>
        <v>-7.0992092501570161</v>
      </c>
      <c r="N5" s="1">
        <f>'2x5'!U9</f>
        <v>-8.6597737557111607</v>
      </c>
      <c r="O5" s="1">
        <f>'2x6'!U9</f>
        <v>-10.312879154494988</v>
      </c>
      <c r="P5" s="1">
        <f>'2x7'!U9</f>
        <v>-12.045647889855253</v>
      </c>
      <c r="Q5" s="1">
        <f>'2x8'!U9</f>
        <v>-13.839807318055378</v>
      </c>
      <c r="R5" s="1">
        <f>'2x9'!U9</f>
        <v>-15.678340687118524</v>
      </c>
      <c r="S5" s="1">
        <f>'2x10'!U9</f>
        <v>-17.547610890733466</v>
      </c>
      <c r="T5">
        <v>3</v>
      </c>
      <c r="U5" s="1">
        <f>'3x4'!U9</f>
        <v>-20.078676283167965</v>
      </c>
      <c r="V5" s="1">
        <f>'3x5'!U9</f>
        <v>-25.588751583630273</v>
      </c>
      <c r="W5" s="1">
        <f>'3x6'!U9</f>
        <v>-31.192627875771542</v>
      </c>
      <c r="X5" s="1">
        <f>'3x7'!U9</f>
        <v>-36.860772286989302</v>
      </c>
      <c r="Y5" s="1">
        <f>'3x8'!U9</f>
        <v>-42.571840419978273</v>
      </c>
      <c r="Z5" s="1">
        <f>'3x9'!U9</f>
        <v>-48.310984683013587</v>
      </c>
      <c r="AA5" s="1">
        <f>'3x10'!U9</f>
        <v>-54.068186143271859</v>
      </c>
    </row>
    <row r="6" spans="1:27" x14ac:dyDescent="0.2">
      <c r="A6">
        <v>4</v>
      </c>
      <c r="B6" s="1">
        <f>'1x2'!U10</f>
        <v>-0.36441281264094183</v>
      </c>
      <c r="C6" s="1">
        <f>'1x3'!U10</f>
        <v>0.24334073118981436</v>
      </c>
      <c r="D6" s="1">
        <f>'1x4'!U10</f>
        <v>0.82378684469928753</v>
      </c>
      <c r="E6" s="1">
        <f>'1x5'!U10</f>
        <v>1.3696671248703671</v>
      </c>
      <c r="F6" s="1">
        <f>'1x6'!U10</f>
        <v>1.8869497490444314</v>
      </c>
      <c r="G6" s="1">
        <f>'1x7'!U10</f>
        <v>2.3817894594867255</v>
      </c>
      <c r="H6" s="1">
        <f>'1x8'!U10</f>
        <v>2.8595728003385368</v>
      </c>
      <c r="I6" s="1">
        <f>'1x9'!U10</f>
        <v>3.3248250380058835</v>
      </c>
      <c r="J6" s="1">
        <f>'1x10'!U10</f>
        <v>3.7811683743050519</v>
      </c>
      <c r="K6">
        <v>4</v>
      </c>
      <c r="L6" s="1">
        <f>'2x3'!U10</f>
        <v>-7.796815552422883</v>
      </c>
      <c r="M6" s="1">
        <f>'2x4'!U10</f>
        <v>-9.870178940405701</v>
      </c>
      <c r="N6" s="1">
        <f>'2x5'!U10</f>
        <v>-12.053640328797163</v>
      </c>
      <c r="O6" s="1">
        <f>'2x6'!U10</f>
        <v>-14.362597287512395</v>
      </c>
      <c r="P6" s="1">
        <f>'2x7'!U10</f>
        <v>-16.780572306568917</v>
      </c>
      <c r="Q6" s="1">
        <f>'2x8'!U10</f>
        <v>-19.282899773230316</v>
      </c>
      <c r="R6" s="1">
        <f>'2x9'!U10</f>
        <v>-21.846316537654335</v>
      </c>
      <c r="S6" s="1">
        <f>'2x10'!U10</f>
        <v>-24.452088777025505</v>
      </c>
      <c r="T6">
        <v>4</v>
      </c>
      <c r="U6" s="1">
        <f>'3x4'!U10</f>
        <v>-27.32519146887887</v>
      </c>
      <c r="V6" s="1">
        <f>'3x5'!U10</f>
        <v>-34.863347298847316</v>
      </c>
      <c r="W6" s="1">
        <f>'3x6'!U10</f>
        <v>-42.5255604605806</v>
      </c>
      <c r="X6" s="1">
        <f>'3x7'!U10</f>
        <v>-50.271260477059947</v>
      </c>
      <c r="Y6" s="1">
        <f>'3x8'!U10</f>
        <v>-58.071994367835885</v>
      </c>
      <c r="Z6" s="1">
        <f>'3x9'!U10</f>
        <v>-65.908368221727713</v>
      </c>
      <c r="AA6" s="1">
        <f>'3x10'!U10</f>
        <v>-73.767484805682642</v>
      </c>
    </row>
    <row r="7" spans="1:27" x14ac:dyDescent="0.2">
      <c r="A7">
        <v>5</v>
      </c>
      <c r="B7" s="1">
        <f>'1x2'!U11</f>
        <v>-0.46345153963306096</v>
      </c>
      <c r="C7" s="1">
        <f>'1x3'!U11</f>
        <v>0.30059840783724745</v>
      </c>
      <c r="D7" s="1">
        <f>'1x4'!U11</f>
        <v>0.99886767809836208</v>
      </c>
      <c r="E7" s="1">
        <f>'1x5'!U11</f>
        <v>1.6431924946102683</v>
      </c>
      <c r="F7" s="1">
        <f>'1x6'!U11</f>
        <v>2.2502873438078606</v>
      </c>
      <c r="G7" s="1">
        <f>'1x7'!U11</f>
        <v>2.8308879584925997</v>
      </c>
      <c r="H7" s="1">
        <f>'1x8'!U11</f>
        <v>3.39233836110499</v>
      </c>
      <c r="I7" s="1">
        <f>'1x9'!U11</f>
        <v>3.9400641009662074</v>
      </c>
      <c r="J7" s="1">
        <f>'1x10'!U11</f>
        <v>4.478149114340761</v>
      </c>
      <c r="K7">
        <v>5</v>
      </c>
      <c r="L7" s="1">
        <f>'2x3'!U11</f>
        <v>-10.027306633192346</v>
      </c>
      <c r="M7" s="1">
        <f>'2x4'!U11</f>
        <v>-12.728951708215595</v>
      </c>
      <c r="N7" s="1">
        <f>'2x5'!U11</f>
        <v>-15.566886083475994</v>
      </c>
      <c r="O7" s="1">
        <f>'2x6'!U11</f>
        <v>-18.562686040270439</v>
      </c>
      <c r="P7" s="1">
        <f>'2x7'!U11</f>
        <v>-21.69650217569626</v>
      </c>
      <c r="Q7" s="1">
        <f>'2x8'!U11</f>
        <v>-24.937425129413004</v>
      </c>
      <c r="R7" s="1">
        <f>'2x9'!U11</f>
        <v>-28.256026440182112</v>
      </c>
      <c r="S7" s="1">
        <f>'2x10'!U11</f>
        <v>-31.628520680977239</v>
      </c>
      <c r="T7">
        <v>5</v>
      </c>
      <c r="U7" s="1">
        <f>'3x4'!U11</f>
        <v>-34.597479701261605</v>
      </c>
      <c r="V7" s="1">
        <f>'3x5'!U11</f>
        <v>-44.176722333924829</v>
      </c>
      <c r="W7" s="1">
        <f>'3x6'!U11</f>
        <v>-53.91020756855545</v>
      </c>
      <c r="X7" s="1">
        <f>'3x7'!U11</f>
        <v>-63.745967260782614</v>
      </c>
      <c r="Y7" s="1">
        <f>'3x8'!U11</f>
        <v>-73.648398688594654</v>
      </c>
      <c r="Z7" s="1">
        <f>'3x9'!U11</f>
        <v>-83.593637789493656</v>
      </c>
      <c r="AA7" s="1">
        <f>'3x10'!U11</f>
        <v>-93.566009027443798</v>
      </c>
    </row>
    <row r="8" spans="1:27" x14ac:dyDescent="0.2">
      <c r="A8">
        <v>6</v>
      </c>
      <c r="B8" s="1">
        <f>'1x2'!U12</f>
        <v>-0.56557941651546706</v>
      </c>
      <c r="C8" s="1">
        <f>'1x3'!U12</f>
        <v>0.35643699688463215</v>
      </c>
      <c r="D8" s="1">
        <f>'1x4'!U12</f>
        <v>1.1621709764711534</v>
      </c>
      <c r="E8" s="1">
        <f>'1x5'!U12</f>
        <v>1.8912802225144034</v>
      </c>
      <c r="F8" s="1">
        <f>'1x6'!U12</f>
        <v>2.5744456870216688</v>
      </c>
      <c r="G8" s="1">
        <f>'1x7'!U12</f>
        <v>3.2277684771909545</v>
      </c>
      <c r="H8" s="1">
        <f>'1x8'!U12</f>
        <v>3.8606074000722046</v>
      </c>
      <c r="I8" s="1">
        <f>'1x9'!U12</f>
        <v>4.4791539731294652</v>
      </c>
      <c r="J8" s="1">
        <f>'1x10'!U12</f>
        <v>5.0877928945463289</v>
      </c>
      <c r="K8">
        <v>6</v>
      </c>
      <c r="L8" s="1">
        <f>'2x3'!U12</f>
        <v>-12.286074695461188</v>
      </c>
      <c r="M8" s="1">
        <f>'2x4'!U12</f>
        <v>-15.636788056002619</v>
      </c>
      <c r="N8" s="1">
        <f>'2x5'!U12</f>
        <v>-19.150207103557921</v>
      </c>
      <c r="O8" s="1">
        <f>'2x6'!U12</f>
        <v>-22.853423847985589</v>
      </c>
      <c r="P8" s="1">
        <f>'2x7'!U12</f>
        <v>-26.723163546231305</v>
      </c>
      <c r="Q8" s="1">
        <f>'2x8'!U12</f>
        <v>-30.722360606713703</v>
      </c>
      <c r="R8" s="1">
        <f>'2x9'!U12</f>
        <v>-34.815523716773839</v>
      </c>
      <c r="S8" s="1">
        <f>'2x10'!U12</f>
        <v>-38.973903013940614</v>
      </c>
      <c r="T8">
        <v>6</v>
      </c>
      <c r="U8" s="1">
        <f>'3x4'!U12</f>
        <v>-41.876350967216936</v>
      </c>
      <c r="V8" s="1">
        <f>'3x5'!U12</f>
        <v>-53.500510942770752</v>
      </c>
      <c r="W8" s="1">
        <f>'3x6'!U12</f>
        <v>-65.309126718055111</v>
      </c>
      <c r="X8" s="1">
        <f>'3x7'!U12</f>
        <v>-77.23866799405441</v>
      </c>
      <c r="Y8" s="1">
        <f>'3x8'!U12</f>
        <v>-89.246350654843198</v>
      </c>
      <c r="Z8" s="1">
        <f>'3x9'!U12</f>
        <v>-101.30386224744279</v>
      </c>
      <c r="AA8" s="1">
        <f>'3x10'!U12</f>
        <v>-113.39278413378989</v>
      </c>
    </row>
    <row r="9" spans="1:27" x14ac:dyDescent="0.2">
      <c r="A9">
        <v>7</v>
      </c>
      <c r="B9" s="1">
        <f>'1x2'!U13</f>
        <v>-0.67073994373434864</v>
      </c>
      <c r="C9" s="1">
        <f>'1x3'!U13</f>
        <v>0.41086457643310137</v>
      </c>
      <c r="D9" s="1">
        <f>'1x4'!U13</f>
        <v>1.3140664536944318</v>
      </c>
      <c r="E9" s="1">
        <f>'1x5'!U13</f>
        <v>2.1152595915179742</v>
      </c>
      <c r="F9" s="1">
        <f>'1x6'!U13</f>
        <v>2.8619880112060905</v>
      </c>
      <c r="G9" s="1">
        <f>'1x7'!U13</f>
        <v>3.5762538090908631</v>
      </c>
      <c r="H9" s="1">
        <f>'1x8'!U13</f>
        <v>4.2693916599822614</v>
      </c>
      <c r="I9" s="1">
        <f>'1x9'!U13</f>
        <v>4.9482077552658694</v>
      </c>
      <c r="J9" s="1">
        <f>'1x10'!U13</f>
        <v>5.617238843171247</v>
      </c>
      <c r="K9">
        <v>7</v>
      </c>
      <c r="L9" s="1">
        <f>'2x3'!U13</f>
        <v>-14.558510749333479</v>
      </c>
      <c r="M9" s="1">
        <f>'2x4'!U13</f>
        <v>-18.570729178249458</v>
      </c>
      <c r="N9" s="1">
        <f>'2x5'!U13</f>
        <v>-22.772743102467238</v>
      </c>
      <c r="O9" s="1">
        <f>'2x6'!U13</f>
        <v>-27.196301034727913</v>
      </c>
      <c r="P9" s="1">
        <f>'2x7'!U13</f>
        <v>-31.814489449942641</v>
      </c>
      <c r="Q9" s="1">
        <f>'2x8'!U13</f>
        <v>-36.584101289520987</v>
      </c>
      <c r="R9" s="1">
        <f>'2x9'!U13</f>
        <v>-41.463660134380532</v>
      </c>
      <c r="S9" s="1">
        <f>'2x10'!U13</f>
        <v>-46.419533756087525</v>
      </c>
      <c r="T9">
        <v>7</v>
      </c>
      <c r="U9" s="1">
        <f>'3x4'!U13</f>
        <v>-49.156823387318752</v>
      </c>
      <c r="V9" s="1">
        <f>'3x5'!U13</f>
        <v>-62.826961396537506</v>
      </c>
      <c r="W9" s="1">
        <f>'3x6'!U13</f>
        <v>-76.711794336737341</v>
      </c>
      <c r="X9" s="1">
        <f>'3x7'!U13</f>
        <v>-90.736166473256162</v>
      </c>
      <c r="Y9" s="1">
        <f>'3x8'!U13</f>
        <v>-104.8500965777197</v>
      </c>
      <c r="Z9" s="1">
        <f>'3x9'!U13</f>
        <v>-119.02082878116505</v>
      </c>
      <c r="AA9" s="1">
        <f>'3x10'!U13</f>
        <v>-133.22721228044361</v>
      </c>
    </row>
    <row r="10" spans="1:27" x14ac:dyDescent="0.2">
      <c r="A10">
        <v>8</v>
      </c>
      <c r="B10" s="1">
        <f>'1x2'!U14</f>
        <v>-0.77886944855652818</v>
      </c>
      <c r="C10" s="1">
        <f>'1x3'!U14</f>
        <v>0.46389039947780564</v>
      </c>
      <c r="D10" s="1">
        <f>'1x4'!U14</f>
        <v>1.4549637179403483</v>
      </c>
      <c r="E10" s="1">
        <f>'1x5'!U14</f>
        <v>2.3165634474610979</v>
      </c>
      <c r="F10" s="1">
        <f>'1x6'!U14</f>
        <v>3.1156292795200926</v>
      </c>
      <c r="G10" s="1">
        <f>'1x7'!U14</f>
        <v>3.8803510334714062</v>
      </c>
      <c r="H10" s="1">
        <f>'1x8'!U14</f>
        <v>4.6239128031323418</v>
      </c>
      <c r="I10" s="1">
        <f>'1x9'!U14</f>
        <v>5.3535725467763555</v>
      </c>
      <c r="J10" s="1">
        <f>'1x10'!U14</f>
        <v>6.0738847201231394</v>
      </c>
      <c r="K10">
        <v>8</v>
      </c>
      <c r="L10" s="1">
        <f>'2x3'!U14</f>
        <v>-16.83731140127847</v>
      </c>
      <c r="M10" s="1">
        <f>'2x4'!U14</f>
        <v>-21.518053860979421</v>
      </c>
      <c r="N10" s="1">
        <f>'2x5'!U14</f>
        <v>-26.416433041609711</v>
      </c>
      <c r="O10" s="1">
        <f>'2x6'!U14</f>
        <v>-31.568094895408155</v>
      </c>
      <c r="P10" s="1">
        <f>'2x7'!U14</f>
        <v>-36.942234143139387</v>
      </c>
      <c r="Q10" s="1">
        <f>'2x8'!U14</f>
        <v>-42.489472069940689</v>
      </c>
      <c r="R10" s="1">
        <f>'2x9'!U14</f>
        <v>-48.162393302361593</v>
      </c>
      <c r="S10" s="1">
        <f>'2x10'!U14</f>
        <v>-53.922544447607812</v>
      </c>
      <c r="T10">
        <v>8</v>
      </c>
      <c r="U10" s="1">
        <f>'3x4'!U14</f>
        <v>-56.437672505828345</v>
      </c>
      <c r="V10" s="1">
        <f>'3x5'!U14</f>
        <v>-72.154069791090336</v>
      </c>
      <c r="W10" s="1">
        <f>'3x6'!U14</f>
        <v>-88.115413804170799</v>
      </c>
      <c r="X10" s="1">
        <f>'3x7'!U14</f>
        <v>-104.23490161661488</v>
      </c>
      <c r="Y10" s="1">
        <f>'3x8'!U14</f>
        <v>-120.4553485196751</v>
      </c>
      <c r="Z10" s="1">
        <f>'3x9'!U14</f>
        <v>-136.73955606551408</v>
      </c>
      <c r="AA10" s="1">
        <f>'3x10'!U14</f>
        <v>-153.0636444124012</v>
      </c>
    </row>
    <row r="11" spans="1:27" x14ac:dyDescent="0.2">
      <c r="A11">
        <v>9</v>
      </c>
      <c r="B11" s="1">
        <f>'1x2'!U15</f>
        <v>-0.88989767873158421</v>
      </c>
      <c r="C11" s="1">
        <f>'1x3'!U15</f>
        <v>0.51552486561713273</v>
      </c>
      <c r="D11" s="1">
        <f>'1x4'!U15</f>
        <v>1.5853060830346397</v>
      </c>
      <c r="E11" s="1">
        <f>'1x5'!U15</f>
        <v>2.4966955690488568</v>
      </c>
      <c r="F11" s="1">
        <f>'1x6'!U15</f>
        <v>3.3381639050608172</v>
      </c>
      <c r="G11" s="1">
        <f>'1x7'!U15</f>
        <v>4.1441371626195096</v>
      </c>
      <c r="H11" s="1">
        <f>'1x8'!U15</f>
        <v>4.9294482658212999</v>
      </c>
      <c r="I11" s="1">
        <f>'1x9'!U15</f>
        <v>5.7016387677477063</v>
      </c>
      <c r="J11" s="1">
        <f>'1x10'!U15</f>
        <v>6.465162577901495</v>
      </c>
      <c r="K11">
        <v>9</v>
      </c>
      <c r="L11" s="1">
        <f>'2x3'!U15</f>
        <v>-19.118994425311875</v>
      </c>
      <c r="M11" s="1">
        <f>'2x4'!U15</f>
        <v>-24.472049310191963</v>
      </c>
      <c r="N11" s="1">
        <f>'2x5'!U15</f>
        <v>-30.071216172279719</v>
      </c>
      <c r="O11" s="1">
        <f>'2x6'!U15</f>
        <v>-35.955479477182294</v>
      </c>
      <c r="P11" s="1">
        <f>'2x7'!U15</f>
        <v>-42.089919244338702</v>
      </c>
      <c r="Q11" s="1">
        <f>'2x8'!U15</f>
        <v>-48.418938659731104</v>
      </c>
      <c r="R11" s="1">
        <f>'2x9'!U15</f>
        <v>-54.889205782127995</v>
      </c>
      <c r="S11" s="1">
        <f>'2x10'!U15</f>
        <v>-61.457486234122591</v>
      </c>
      <c r="T11">
        <v>9</v>
      </c>
      <c r="U11" s="1">
        <f>'3x4'!U15</f>
        <v>-63.718608158523793</v>
      </c>
      <c r="V11" s="1">
        <f>'3x5'!U15</f>
        <v>-81.48133694206129</v>
      </c>
      <c r="W11" s="1">
        <f>'3x6'!U15</f>
        <v>-99.519269193887325</v>
      </c>
      <c r="X11" s="1">
        <f>'3x7'!U15</f>
        <v>-117.73394787632061</v>
      </c>
      <c r="Y11" s="1">
        <f>'3x8'!U15</f>
        <v>-136.06098251575781</v>
      </c>
      <c r="Z11" s="1">
        <f>'3x9'!U15</f>
        <v>-154.45873212771795</v>
      </c>
      <c r="AA11" s="1">
        <f>'3x10'!U15</f>
        <v>-172.90058867271816</v>
      </c>
    </row>
    <row r="12" spans="1:27" x14ac:dyDescent="0.2">
      <c r="A12">
        <v>10</v>
      </c>
      <c r="B12" s="1">
        <f>'1x2'!U16</f>
        <v>-1.0037484399918979</v>
      </c>
      <c r="C12" s="1">
        <f>'1x3'!U16</f>
        <v>0.5657794895136643</v>
      </c>
      <c r="D12" s="1">
        <f>'1x4'!U16</f>
        <v>1.7055641876334793</v>
      </c>
      <c r="E12" s="1">
        <f>'1x5'!U16</f>
        <v>2.6571992827283069</v>
      </c>
      <c r="F12" s="1">
        <f>'1x6'!U16</f>
        <v>3.5323994741174101</v>
      </c>
      <c r="G12" s="1">
        <f>'1x7'!U16</f>
        <v>4.3716574029996309</v>
      </c>
      <c r="H12" s="1">
        <f>'1x8'!U16</f>
        <v>5.1911965873049226</v>
      </c>
      <c r="I12" s="1">
        <f>'1x9'!U16</f>
        <v>5.9986753404373196</v>
      </c>
      <c r="J12" s="1">
        <f>'1x10'!U16</f>
        <v>6.7983460408871466</v>
      </c>
      <c r="K12">
        <v>10</v>
      </c>
      <c r="L12" s="1">
        <f>'2x3'!U16</f>
        <v>-21.401955491491627</v>
      </c>
      <c r="M12" s="1">
        <f>'2x4'!U16</f>
        <v>-27.429298306349953</v>
      </c>
      <c r="N12" s="1">
        <f>'2x5'!U16</f>
        <v>-33.731690402296024</v>
      </c>
      <c r="O12" s="1">
        <f>'2x6'!U16</f>
        <v>-40.351086751709794</v>
      </c>
      <c r="P12" s="1">
        <f>'2x7'!U16</f>
        <v>-47.248283884361015</v>
      </c>
      <c r="Q12" s="1">
        <f>'2x8'!U16</f>
        <v>-54.361421837597412</v>
      </c>
      <c r="R12" s="1">
        <f>'2x9'!U16</f>
        <v>-61.631260394635873</v>
      </c>
      <c r="S12" s="1">
        <f>'2x10'!U16</f>
        <v>-69.009808443796402</v>
      </c>
      <c r="T12">
        <v>10</v>
      </c>
      <c r="U12" s="1">
        <f>'3x4'!U16</f>
        <v>-70.999563336737424</v>
      </c>
      <c r="V12" s="1">
        <f>'3x5'!U16</f>
        <v>-90.808641714259835</v>
      </c>
      <c r="W12" s="1">
        <f>'3x6'!U16</f>
        <v>-110.92318200718115</v>
      </c>
      <c r="X12" s="1">
        <f>'3x7'!U16</f>
        <v>-131.23307099471612</v>
      </c>
      <c r="Y12" s="1">
        <f>'3x8'!U16</f>
        <v>-151.6667116832125</v>
      </c>
      <c r="Z12" s="1">
        <f>'3x9'!U16</f>
        <v>-172.17802050682764</v>
      </c>
      <c r="AA12" s="1">
        <f>'3x10'!U16</f>
        <v>-192.7376614437585</v>
      </c>
    </row>
    <row r="13" spans="1:27" x14ac:dyDescent="0.2">
      <c r="B13" s="357" t="s">
        <v>49</v>
      </c>
      <c r="C13" s="357"/>
      <c r="D13" s="357"/>
      <c r="E13" s="357"/>
      <c r="F13" s="357"/>
      <c r="G13" s="357"/>
      <c r="H13" s="357"/>
      <c r="I13" s="357"/>
      <c r="J13" s="357"/>
      <c r="L13" s="357" t="s">
        <v>49</v>
      </c>
      <c r="M13" s="357"/>
      <c r="N13" s="357"/>
      <c r="O13" s="357"/>
      <c r="P13" s="357"/>
      <c r="Q13" s="357"/>
      <c r="R13" s="357"/>
      <c r="S13" s="357"/>
      <c r="U13" s="357" t="s">
        <v>49</v>
      </c>
      <c r="V13" s="357"/>
      <c r="W13" s="357"/>
      <c r="X13" s="357"/>
      <c r="Y13" s="357"/>
      <c r="Z13" s="357"/>
      <c r="AA13" s="357"/>
    </row>
    <row r="14" spans="1:27" x14ac:dyDescent="0.2">
      <c r="A14" s="279" t="s">
        <v>57</v>
      </c>
      <c r="B14" s="280" t="s">
        <v>142</v>
      </c>
      <c r="C14" s="280" t="s">
        <v>143</v>
      </c>
      <c r="D14" s="280" t="s">
        <v>144</v>
      </c>
      <c r="E14" s="280" t="s">
        <v>145</v>
      </c>
      <c r="F14" s="280" t="s">
        <v>146</v>
      </c>
      <c r="G14" s="280" t="s">
        <v>147</v>
      </c>
      <c r="H14" s="280" t="s">
        <v>148</v>
      </c>
      <c r="I14" s="280" t="s">
        <v>149</v>
      </c>
      <c r="J14" s="280" t="s">
        <v>150</v>
      </c>
      <c r="K14" s="279" t="s">
        <v>57</v>
      </c>
      <c r="L14" s="280" t="s">
        <v>165</v>
      </c>
      <c r="M14" s="280" t="s">
        <v>166</v>
      </c>
      <c r="N14" s="280" t="s">
        <v>167</v>
      </c>
      <c r="O14" s="280" t="s">
        <v>168</v>
      </c>
      <c r="P14" s="280" t="s">
        <v>169</v>
      </c>
      <c r="Q14" s="280" t="s">
        <v>170</v>
      </c>
      <c r="R14" s="280" t="s">
        <v>171</v>
      </c>
      <c r="S14" s="280" t="s">
        <v>172</v>
      </c>
      <c r="T14" s="279" t="s">
        <v>57</v>
      </c>
      <c r="U14" s="280" t="s">
        <v>176</v>
      </c>
      <c r="V14" s="280" t="s">
        <v>177</v>
      </c>
      <c r="W14" s="280" t="s">
        <v>178</v>
      </c>
      <c r="X14" s="280" t="s">
        <v>179</v>
      </c>
      <c r="Y14" s="280" t="s">
        <v>180</v>
      </c>
      <c r="Z14" s="280" t="s">
        <v>181</v>
      </c>
      <c r="AA14" s="280" t="s">
        <v>182</v>
      </c>
    </row>
    <row r="15" spans="1:27" x14ac:dyDescent="0.2">
      <c r="A15" s="279">
        <v>1</v>
      </c>
      <c r="B15" s="1">
        <f>'1x2'!R7</f>
        <v>-5.9870695311820099E-2</v>
      </c>
      <c r="C15" s="1">
        <f>'1x3'!R7</f>
        <v>3.31834502689482E-2</v>
      </c>
      <c r="D15" s="1">
        <f>'1x4'!R7</f>
        <v>7.8977528484643122E-2</v>
      </c>
      <c r="E15" s="1">
        <f>'1x5'!R7</f>
        <v>0.10303753652823489</v>
      </c>
      <c r="F15" s="1">
        <f>'1x6'!R7</f>
        <v>0.11611363640827854</v>
      </c>
      <c r="G15" s="1">
        <f>'1x7'!R7</f>
        <v>0.12335109197166821</v>
      </c>
      <c r="H15" s="1">
        <f>'1x8'!R7</f>
        <v>0.12739743053184643</v>
      </c>
      <c r="I15" s="1">
        <f>'1x9'!R7</f>
        <v>0.12967239978549744</v>
      </c>
      <c r="J15" s="1">
        <f>'1x10'!R7</f>
        <v>0.13095549036954318</v>
      </c>
      <c r="K15" s="279">
        <v>1</v>
      </c>
      <c r="L15" s="1">
        <f>'2x3'!R7</f>
        <v>-0.44260913717878708</v>
      </c>
      <c r="M15" s="1">
        <f>'2x4'!R7</f>
        <v>-0.40492364250548801</v>
      </c>
      <c r="N15" s="1">
        <f>'2x5'!R7</f>
        <v>-0.38444238200532121</v>
      </c>
      <c r="O15" s="1">
        <f>'2x6'!R7</f>
        <v>-0.37310626388814522</v>
      </c>
      <c r="P15" s="1">
        <f>'2x7'!R7</f>
        <v>-0.36676843266299863</v>
      </c>
      <c r="Q15" s="1">
        <f>'2x8'!R7</f>
        <v>-0.36320511956954249</v>
      </c>
      <c r="R15" s="1">
        <f>'2x9'!R7</f>
        <v>-0.36119539857182709</v>
      </c>
      <c r="S15" s="1">
        <f>'2x10'!R7</f>
        <v>-0.36005989409831463</v>
      </c>
      <c r="T15" s="279">
        <v>1</v>
      </c>
      <c r="U15" s="1">
        <f>'3x4'!R7</f>
        <v>-0.66791358134810352</v>
      </c>
      <c r="V15" s="1">
        <f>'3x5'!R7</f>
        <v>-0.65425633882709922</v>
      </c>
      <c r="W15" s="1">
        <f>'3x6'!R7</f>
        <v>-0.64662080634549279</v>
      </c>
      <c r="X15" s="1">
        <f>'3x7'!R7</f>
        <v>-0.6423278878532388</v>
      </c>
      <c r="Y15" s="1">
        <f>'3x8'!R7</f>
        <v>-0.63990666686897824</v>
      </c>
      <c r="Z15" s="1">
        <f>'3x9'!R7</f>
        <v>-0.6385386624235283</v>
      </c>
      <c r="AA15" s="1">
        <f>'3x10'!R7</f>
        <v>-0.63776495599554961</v>
      </c>
    </row>
    <row r="16" spans="1:27" x14ac:dyDescent="0.2">
      <c r="A16">
        <v>2</v>
      </c>
      <c r="B16" s="1">
        <f>'1x2'!R8</f>
        <v>0.25200979648017313</v>
      </c>
      <c r="C16" s="1">
        <f>'1x3'!R8</f>
        <v>0.37707248319754771</v>
      </c>
      <c r="D16" s="1">
        <f>'1x4'!R8</f>
        <v>0.4356517692674659</v>
      </c>
      <c r="E16" s="1">
        <f>'1x5'!R8</f>
        <v>0.46553033349676015</v>
      </c>
      <c r="F16" s="1">
        <f>'1x6'!R8</f>
        <v>0.48149349747633829</v>
      </c>
      <c r="G16" s="1">
        <f>'1x7'!R8</f>
        <v>0.4902431948799833</v>
      </c>
      <c r="H16" s="1">
        <f>'1x8'!R8</f>
        <v>0.49510798734956196</v>
      </c>
      <c r="I16" s="1">
        <f>'1x9'!R8</f>
        <v>0.49783453811186751</v>
      </c>
      <c r="J16" s="1">
        <f>'1x10'!R8</f>
        <v>0.49936958731766634</v>
      </c>
      <c r="K16">
        <v>2</v>
      </c>
      <c r="L16" s="1">
        <f>'2x3'!R8</f>
        <v>-0.30236820169269096</v>
      </c>
      <c r="M16" s="1">
        <f>'2x4'!R8</f>
        <v>-0.24768231726447082</v>
      </c>
      <c r="N16" s="1">
        <f>'2x5'!R8</f>
        <v>-0.21779222194320713</v>
      </c>
      <c r="O16" s="1">
        <f>'2x6'!R8</f>
        <v>-0.20120784686182752</v>
      </c>
      <c r="P16" s="1">
        <f>'2x7'!R8</f>
        <v>-0.19192507618625698</v>
      </c>
      <c r="Q16" s="1">
        <f>'2x8'!R8</f>
        <v>-0.18670298674378982</v>
      </c>
      <c r="R16" s="1">
        <f>'2x9'!R8</f>
        <v>-0.18375680296718711</v>
      </c>
      <c r="S16" s="1">
        <f>'2x10'!R8</f>
        <v>-0.18209191289361454</v>
      </c>
      <c r="T16">
        <v>2</v>
      </c>
      <c r="U16" s="1">
        <f>'3x4'!R8</f>
        <v>-0.61453748351045656</v>
      </c>
      <c r="V16" s="1">
        <f>'3x5'!R8</f>
        <v>-0.59657120016309428</v>
      </c>
      <c r="W16" s="1">
        <f>'3x6'!R8</f>
        <v>-0.58646349206954529</v>
      </c>
      <c r="X16" s="1">
        <f>'3x7'!R8</f>
        <v>-0.58076109454882996</v>
      </c>
      <c r="Y16" s="1">
        <f>'3x8'!R8</f>
        <v>-0.57753877323757741</v>
      </c>
      <c r="Z16" s="1">
        <f>'3x9'!R8</f>
        <v>-0.57571619185807854</v>
      </c>
      <c r="AA16" s="1">
        <f>'3x10'!R8</f>
        <v>-0.57468476737372853</v>
      </c>
    </row>
    <row r="17" spans="1:27" x14ac:dyDescent="0.2">
      <c r="A17">
        <v>3</v>
      </c>
      <c r="B17" s="1">
        <f>'1x2'!R9</f>
        <v>0.40683609963227901</v>
      </c>
      <c r="C17" s="1">
        <f>'1x3'!R9</f>
        <v>0.54863874573144988</v>
      </c>
      <c r="D17" s="1">
        <f>'1x4'!R9</f>
        <v>0.61177794258556428</v>
      </c>
      <c r="E17" s="1">
        <f>'1x5'!R9</f>
        <v>0.64296867156690674</v>
      </c>
      <c r="F17" s="1">
        <f>'1x6'!R9</f>
        <v>0.659322772326286</v>
      </c>
      <c r="G17" s="1">
        <f>'1x7'!R9</f>
        <v>0.66819046911775726</v>
      </c>
      <c r="H17" s="1">
        <f>'1x8'!R9</f>
        <v>0.67309059870382115</v>
      </c>
      <c r="I17" s="1">
        <f>'1x9'!R9</f>
        <v>0.67582735968899377</v>
      </c>
      <c r="J17" s="1">
        <f>'1x10'!R9</f>
        <v>0.67736510074298173</v>
      </c>
      <c r="K17">
        <v>3</v>
      </c>
      <c r="L17" s="1">
        <f>'2x3'!R9</f>
        <v>-0.25522083644763949</v>
      </c>
      <c r="M17" s="1">
        <f>'2x4'!R9</f>
        <v>-0.19121165470397394</v>
      </c>
      <c r="N17" s="1">
        <f>'2x5'!R9</f>
        <v>-0.15592584980353952</v>
      </c>
      <c r="O17" s="1">
        <f>'2x6'!R9</f>
        <v>-0.13626417703343796</v>
      </c>
      <c r="P17" s="1">
        <f>'2x7'!R9</f>
        <v>-0.1252344445779926</v>
      </c>
      <c r="Q17" s="1">
        <f>'2x8'!R9</f>
        <v>-0.11902214003448297</v>
      </c>
      <c r="R17" s="1">
        <f>'2x9'!R9</f>
        <v>-0.11551498451342462</v>
      </c>
      <c r="S17" s="1">
        <f>'2x10'!R9</f>
        <v>-0.11353235996636574</v>
      </c>
      <c r="T17">
        <v>3</v>
      </c>
      <c r="U17" s="1">
        <f>'3x4'!R9</f>
        <v>-0.60431537256727097</v>
      </c>
      <c r="V17" s="1">
        <f>'3x5'!R9</f>
        <v>-0.58501946687742912</v>
      </c>
      <c r="W17" s="1">
        <f>'3x6'!R9</f>
        <v>-0.57412163521846438</v>
      </c>
      <c r="X17" s="1">
        <f>'3x7'!R9</f>
        <v>-0.56796000724446449</v>
      </c>
      <c r="Y17" s="1">
        <f>'3x8'!R9</f>
        <v>-0.56447386967221425</v>
      </c>
      <c r="Z17" s="1">
        <f>'3x9'!R9</f>
        <v>-0.56250068897512195</v>
      </c>
      <c r="AA17" s="1">
        <f>'3x10'!R9</f>
        <v>-0.56138359533867888</v>
      </c>
    </row>
    <row r="18" spans="1:27" x14ac:dyDescent="0.2">
      <c r="A18">
        <v>4</v>
      </c>
      <c r="B18" s="1">
        <f>'1x2'!R10</f>
        <v>0.49884961234752812</v>
      </c>
      <c r="C18" s="1">
        <f>'1x3'!R10</f>
        <v>0.65127683118826418</v>
      </c>
      <c r="D18" s="1">
        <f>'1x4'!R10</f>
        <v>0.71571542635949426</v>
      </c>
      <c r="E18" s="1">
        <f>'1x5'!R10</f>
        <v>0.74647403699201287</v>
      </c>
      <c r="F18" s="1">
        <f>'1x6'!R10</f>
        <v>0.76227502293369487</v>
      </c>
      <c r="G18" s="1">
        <f>'1x7'!R10</f>
        <v>0.77074207748014534</v>
      </c>
      <c r="H18" s="1">
        <f>'1x8'!R10</f>
        <v>0.77538929165403103</v>
      </c>
      <c r="I18" s="1">
        <f>'1x9'!R10</f>
        <v>0.77797483091515596</v>
      </c>
      <c r="J18" s="1">
        <f>'1x10'!R10</f>
        <v>0.7794244332354302</v>
      </c>
      <c r="K18">
        <v>4</v>
      </c>
      <c r="L18" s="1">
        <f>'2x3'!R10</f>
        <v>-0.2379058393938997</v>
      </c>
      <c r="M18" s="1">
        <f>'2x4'!R10</f>
        <v>-0.16880480371486417</v>
      </c>
      <c r="N18" s="1">
        <f>'2x5'!R10</f>
        <v>-0.13039268682309429</v>
      </c>
      <c r="O18" s="1">
        <f>'2x6'!R10</f>
        <v>-0.10889271609228013</v>
      </c>
      <c r="P18" s="1">
        <f>'2x7'!R10</f>
        <v>-9.6802158039805464E-2</v>
      </c>
      <c r="Q18" s="1">
        <f>'2x8'!R10</f>
        <v>-8.9983125306844214E-2</v>
      </c>
      <c r="R18" s="1">
        <f>'2x9'!R10</f>
        <v>-8.6130526371206995E-2</v>
      </c>
      <c r="S18" s="1">
        <f>'2x10'!R10</f>
        <v>-8.3951693567486829E-2</v>
      </c>
      <c r="T18">
        <v>4</v>
      </c>
      <c r="U18" s="1">
        <f>'3x4'!R10</f>
        <v>-0.60229555262956602</v>
      </c>
      <c r="V18" s="1">
        <f>'3x5'!R10</f>
        <v>-0.58262621374485712</v>
      </c>
      <c r="W18" s="1">
        <f>'3x6'!R10</f>
        <v>-0.57149795066750364</v>
      </c>
      <c r="X18" s="1">
        <f>'3x7'!R10</f>
        <v>-0.56519958475681498</v>
      </c>
      <c r="Y18" s="1">
        <f>'3x8'!R10</f>
        <v>-0.56163398066866754</v>
      </c>
      <c r="Z18" s="1">
        <f>'3x9'!R10</f>
        <v>-0.55961514101671961</v>
      </c>
      <c r="AA18" s="1">
        <f>'3x10'!R10</f>
        <v>-0.55847197884058875</v>
      </c>
    </row>
    <row r="19" spans="1:27" x14ac:dyDescent="0.2">
      <c r="A19">
        <v>5</v>
      </c>
      <c r="B19" s="1">
        <f>'1x2'!R11</f>
        <v>0.55946612087107428</v>
      </c>
      <c r="C19" s="1">
        <f>'1x3'!R11</f>
        <v>0.71945182152191178</v>
      </c>
      <c r="D19" s="1">
        <f>'1x4'!R11</f>
        <v>0.78359052060575052</v>
      </c>
      <c r="E19" s="1">
        <f>'1x5'!R11</f>
        <v>0.81310433868090515</v>
      </c>
      <c r="F19" s="1">
        <f>'1x6'!R11</f>
        <v>0.82793462063521073</v>
      </c>
      <c r="G19" s="1">
        <f>'1x7'!R11</f>
        <v>0.83578030278220439</v>
      </c>
      <c r="H19" s="1">
        <f>'1x8'!R11</f>
        <v>0.8400549848257528</v>
      </c>
      <c r="I19" s="1">
        <f>'1x9'!R11</f>
        <v>0.84242334412302178</v>
      </c>
      <c r="J19" s="1">
        <f>'1x10'!R11</f>
        <v>0.84374803571396295</v>
      </c>
      <c r="K19">
        <v>5</v>
      </c>
      <c r="L19" s="1">
        <f>'2x3'!R11</f>
        <v>-0.23134298920432594</v>
      </c>
      <c r="M19" s="1">
        <f>'2x4'!R11</f>
        <v>-0.15956617728827388</v>
      </c>
      <c r="N19" s="1">
        <f>'2x5'!R11</f>
        <v>-0.11939874883104296</v>
      </c>
      <c r="O19" s="1">
        <f>'2x6'!R11</f>
        <v>-9.6829926929758392E-2</v>
      </c>
      <c r="P19" s="1">
        <f>'2x7'!R11</f>
        <v>-8.4110743351620609E-2</v>
      </c>
      <c r="Q19" s="1">
        <f>'2x8'!R11</f>
        <v>-7.6928380855905198E-2</v>
      </c>
      <c r="R19" s="1">
        <f>'2x9'!R11</f>
        <v>-7.286770217246491E-2</v>
      </c>
      <c r="S19" s="1">
        <f>'2x10'!R11</f>
        <v>-7.0570292312267968E-2</v>
      </c>
      <c r="T19">
        <v>5</v>
      </c>
      <c r="U19" s="1">
        <f>'3x4'!R11</f>
        <v>-0.6018940075983662</v>
      </c>
      <c r="V19" s="1">
        <f>'3x5'!R11</f>
        <v>-0.58212693074642385</v>
      </c>
      <c r="W19" s="1">
        <f>'3x6'!R11</f>
        <v>-0.57093602456584358</v>
      </c>
      <c r="X19" s="1">
        <f>'3x7'!R11</f>
        <v>-0.56459969833857326</v>
      </c>
      <c r="Y19" s="1">
        <f>'3x8'!R11</f>
        <v>-0.56101177325689144</v>
      </c>
      <c r="Z19" s="1">
        <f>'3x9'!R11</f>
        <v>-0.55898002394339941</v>
      </c>
      <c r="AA19" s="1">
        <f>'3x10'!R11</f>
        <v>-0.55782946370577113</v>
      </c>
    </row>
    <row r="20" spans="1:27" x14ac:dyDescent="0.2">
      <c r="A20">
        <v>6</v>
      </c>
      <c r="B20" s="1">
        <f>'1x2'!R12</f>
        <v>0.60215115690558019</v>
      </c>
      <c r="C20" s="1">
        <f>'1x3'!R12</f>
        <v>0.76793464993110094</v>
      </c>
      <c r="D20" s="1">
        <f>'1x4'!R12</f>
        <v>0.83089104291473048</v>
      </c>
      <c r="E20" s="1">
        <f>'1x5'!R12</f>
        <v>0.8587543145362293</v>
      </c>
      <c r="F20" s="1">
        <f>'1x6'!R12</f>
        <v>0.87242764721005994</v>
      </c>
      <c r="G20" s="1">
        <f>'1x7'!R12</f>
        <v>0.87956237610261601</v>
      </c>
      <c r="H20" s="1">
        <f>'1x8'!R12</f>
        <v>0.88341916895838768</v>
      </c>
      <c r="I20" s="1">
        <f>'1x9'!R12</f>
        <v>0.88554642766336433</v>
      </c>
      <c r="J20" s="1">
        <f>'1x10'!R12</f>
        <v>0.88673323506615132</v>
      </c>
      <c r="K20">
        <v>6</v>
      </c>
      <c r="L20" s="1">
        <f>'2x3'!R12</f>
        <v>-0.22882585491287882</v>
      </c>
      <c r="M20" s="1">
        <f>'2x4'!R12</f>
        <v>-0.15569690454958407</v>
      </c>
      <c r="N20" s="1">
        <f>'2x5'!R12</f>
        <v>-0.1145789533906465</v>
      </c>
      <c r="O20" s="1">
        <f>'2x6'!R12</f>
        <v>-9.1409472380651779E-2</v>
      </c>
      <c r="P20" s="1">
        <f>'2x7'!R12</f>
        <v>-7.8329770219515982E-2</v>
      </c>
      <c r="Q20" s="1">
        <f>'2x8'!R12</f>
        <v>-7.0936671407408447E-2</v>
      </c>
      <c r="R20" s="1">
        <f>'2x9'!R12</f>
        <v>-6.6754538051101042E-2</v>
      </c>
      <c r="S20" s="1">
        <f>'2x10'!R12</f>
        <v>-6.4387668893287953E-2</v>
      </c>
      <c r="T20">
        <v>6</v>
      </c>
      <c r="U20" s="1">
        <f>'3x4'!R12</f>
        <v>-0.60181408284475357</v>
      </c>
      <c r="V20" s="1">
        <f>'3x5'!R12</f>
        <v>-0.58202261916477749</v>
      </c>
      <c r="W20" s="1">
        <f>'3x6'!R12</f>
        <v>-0.57081548269249494</v>
      </c>
      <c r="X20" s="1">
        <f>'3x7'!R12</f>
        <v>-0.56446911387457732</v>
      </c>
      <c r="Y20" s="1">
        <f>'3x8'!R12</f>
        <v>-0.56087521434006971</v>
      </c>
      <c r="Z20" s="1">
        <f>'3x9'!R12</f>
        <v>-0.55883998686527703</v>
      </c>
      <c r="AA20" s="1">
        <f>'3x10'!R12</f>
        <v>-0.5576874260266016</v>
      </c>
    </row>
    <row r="21" spans="1:27" x14ac:dyDescent="0.2">
      <c r="A21">
        <v>7</v>
      </c>
      <c r="B21" s="1">
        <f>'1x2'!R13</f>
        <v>0.633638824278979</v>
      </c>
      <c r="C21" s="1">
        <f>'1x3'!R13</f>
        <v>0.80411094102492275</v>
      </c>
      <c r="D21" s="1">
        <f>'1x4'!R13</f>
        <v>0.86536491579434749</v>
      </c>
      <c r="E21" s="1">
        <f>'1x5'!R13</f>
        <v>0.89138043380660714</v>
      </c>
      <c r="F21" s="1">
        <f>'1x6'!R13</f>
        <v>0.90382933832419865</v>
      </c>
      <c r="G21" s="1">
        <f>'1x7'!R13</f>
        <v>0.91023063104096835</v>
      </c>
      <c r="H21" s="1">
        <f>'1x8'!R13</f>
        <v>0.91366202911263228</v>
      </c>
      <c r="I21" s="1">
        <f>'1x9'!R13</f>
        <v>0.91554563558040114</v>
      </c>
      <c r="J21" s="1">
        <f>'1x10'!R13</f>
        <v>0.91659366166966838</v>
      </c>
      <c r="K21">
        <v>7</v>
      </c>
      <c r="L21" s="1">
        <f>'2x3'!R13</f>
        <v>-0.22785604646266505</v>
      </c>
      <c r="M21" s="1">
        <f>'2x4'!R13</f>
        <v>-0.15406579043104529</v>
      </c>
      <c r="N21" s="1">
        <f>'2x5'!R13</f>
        <v>-0.11244925636725428</v>
      </c>
      <c r="O21" s="1">
        <f>'2x6'!R13</f>
        <v>-8.895252901672146E-2</v>
      </c>
      <c r="P21" s="1">
        <f>'2x7'!R13</f>
        <v>-7.5672260332288632E-2</v>
      </c>
      <c r="Q21" s="1">
        <f>'2x8'!R13</f>
        <v>-6.8160547724287313E-2</v>
      </c>
      <c r="R21" s="1">
        <f>'2x9'!R13</f>
        <v>-6.3909604172967649E-2</v>
      </c>
      <c r="S21" s="1">
        <f>'2x10'!R13</f>
        <v>-6.1503237427905255E-2</v>
      </c>
      <c r="T21">
        <v>7</v>
      </c>
      <c r="U21" s="1">
        <f>'3x4'!R13</f>
        <v>-0.60179817054716578</v>
      </c>
      <c r="V21" s="1">
        <f>'3x5'!R13</f>
        <v>-0.58200081952432825</v>
      </c>
      <c r="W21" s="1">
        <f>'3x6'!R13</f>
        <v>-0.57078961576559317</v>
      </c>
      <c r="X21" s="1">
        <f>'3x7'!R13</f>
        <v>-0.56444067760779348</v>
      </c>
      <c r="Y21" s="1">
        <f>'3x8'!R13</f>
        <v>-0.56084523171347189</v>
      </c>
      <c r="Z21" s="1">
        <f>'3x9'!R13</f>
        <v>-0.55880909809774404</v>
      </c>
      <c r="AA21" s="1">
        <f>'3x10'!R13</f>
        <v>-0.55765601413431942</v>
      </c>
    </row>
    <row r="22" spans="1:27" x14ac:dyDescent="0.2">
      <c r="A22">
        <v>8</v>
      </c>
      <c r="B22" s="1">
        <f>'1x2'!R14</f>
        <v>0.65767139793221085</v>
      </c>
      <c r="C22" s="1">
        <f>'1x3'!R14</f>
        <v>0.83208395712732652</v>
      </c>
      <c r="D22" s="1">
        <f>'1x4'!R14</f>
        <v>0.89131965389293821</v>
      </c>
      <c r="E22" s="1">
        <f>'1x5'!R14</f>
        <v>0.91540911005003678</v>
      </c>
      <c r="F22" s="1">
        <f>'1x6'!R14</f>
        <v>0.9266331852483819</v>
      </c>
      <c r="G22" s="1">
        <f>'1x7'!R14</f>
        <v>0.93231592559494059</v>
      </c>
      <c r="H22" s="1">
        <f>'1x8'!R14</f>
        <v>0.93533526544698786</v>
      </c>
      <c r="I22" s="1">
        <f>'1x9'!R14</f>
        <v>0.93698434552747945</v>
      </c>
      <c r="J22" s="1">
        <f>'1x10'!R14</f>
        <v>0.93789926163375426</v>
      </c>
      <c r="K22">
        <v>8</v>
      </c>
      <c r="L22" s="1">
        <f>'2x3'!R14</f>
        <v>-0.22748174473477389</v>
      </c>
      <c r="M22" s="1">
        <f>'2x4'!R14</f>
        <v>-0.15337629499935651</v>
      </c>
      <c r="N22" s="1">
        <f>'2x5'!R14</f>
        <v>-0.11150495153493206</v>
      </c>
      <c r="O22" s="1">
        <f>'2x6'!R14</f>
        <v>-8.7834482096141586E-2</v>
      </c>
      <c r="P22" s="1">
        <f>'2x7'!R14</f>
        <v>-7.444545604663233E-2</v>
      </c>
      <c r="Q22" s="1">
        <f>'2x8'!R14</f>
        <v>-6.6868661301749566E-2</v>
      </c>
      <c r="R22" s="1">
        <f>'2x9'!R14</f>
        <v>-6.2579710987710091E-2</v>
      </c>
      <c r="S22" s="1">
        <f>'2x10'!R14</f>
        <v>-6.015144629055752E-2</v>
      </c>
      <c r="T22">
        <v>8</v>
      </c>
      <c r="U22" s="1">
        <f>'3x4'!R14</f>
        <v>-0.60179500240042672</v>
      </c>
      <c r="V22" s="1">
        <f>'3x5'!R14</f>
        <v>-0.5819962634215281</v>
      </c>
      <c r="W22" s="1">
        <f>'3x6'!R14</f>
        <v>-0.57078406460839359</v>
      </c>
      <c r="X22" s="1">
        <f>'3x7'!R14</f>
        <v>-0.56443448479176128</v>
      </c>
      <c r="Y22" s="1">
        <f>'3x8'!R14</f>
        <v>-0.56083864823452134</v>
      </c>
      <c r="Z22" s="1">
        <f>'3x9'!R14</f>
        <v>-0.55880228420592504</v>
      </c>
      <c r="AA22" s="1">
        <f>'3x10'!R14</f>
        <v>-0.55764906673448755</v>
      </c>
    </row>
    <row r="23" spans="1:27" x14ac:dyDescent="0.2">
      <c r="A23">
        <v>9</v>
      </c>
      <c r="B23" s="1">
        <f>'1x2'!R15</f>
        <v>0.6764951559710588</v>
      </c>
      <c r="C23" s="1">
        <f>'1x3'!R15</f>
        <v>0.85431577643896883</v>
      </c>
      <c r="D23" s="1">
        <f>'1x4'!R15</f>
        <v>0.91134213327697422</v>
      </c>
      <c r="E23" s="1">
        <f>'1x5'!R15</f>
        <v>0.93349998422911273</v>
      </c>
      <c r="F23" s="1">
        <f>'1x6'!R15</f>
        <v>0.94353869903650012</v>
      </c>
      <c r="G23" s="1">
        <f>'1x7'!R15</f>
        <v>0.9485392811883574</v>
      </c>
      <c r="H23" s="1">
        <f>'1x8'!R15</f>
        <v>0.95117160848033522</v>
      </c>
      <c r="I23" s="1">
        <f>'1x9'!R15</f>
        <v>0.95260174355487326</v>
      </c>
      <c r="J23" s="1">
        <f>'1x10'!R15</f>
        <v>0.95339281625194494</v>
      </c>
      <c r="K23">
        <v>9</v>
      </c>
      <c r="L23" s="1">
        <f>'2x3'!R15</f>
        <v>-0.22733718430276328</v>
      </c>
      <c r="M23" s="1">
        <f>'2x4'!R15</f>
        <v>-0.15308449725275608</v>
      </c>
      <c r="N23" s="1">
        <f>'2x5'!R15</f>
        <v>-0.1110856047212605</v>
      </c>
      <c r="O23" s="1">
        <f>'2x6'!R15</f>
        <v>-8.7324799085647276E-2</v>
      </c>
      <c r="P23" s="1">
        <f>'2x7'!R15</f>
        <v>-7.3878018740024975E-2</v>
      </c>
      <c r="Q23" s="1">
        <f>'2x8'!R15</f>
        <v>-6.6266251792196806E-2</v>
      </c>
      <c r="R23" s="1">
        <f>'2x9'!R15</f>
        <v>-6.1956742009028842E-2</v>
      </c>
      <c r="S23" s="1">
        <f>'2x10'!R15</f>
        <v>-5.9516587223472472E-2</v>
      </c>
      <c r="T23">
        <v>9</v>
      </c>
      <c r="U23" s="1">
        <f>'3x4'!R15</f>
        <v>-0.60179437161474225</v>
      </c>
      <c r="V23" s="1">
        <f>'3x5'!R15</f>
        <v>-0.58199531118810377</v>
      </c>
      <c r="W23" s="1">
        <f>'3x6'!R15</f>
        <v>-0.57078287328673194</v>
      </c>
      <c r="X23" s="1">
        <f>'3x7'!R15</f>
        <v>-0.56443313610437085</v>
      </c>
      <c r="Y23" s="1">
        <f>'3x8'!R15</f>
        <v>-0.56083720263110148</v>
      </c>
      <c r="Z23" s="1">
        <f>'3x9'!R15</f>
        <v>-0.55880078107062003</v>
      </c>
      <c r="AA23" s="1">
        <f>'3x10'!R15</f>
        <v>-0.55764753014160218</v>
      </c>
    </row>
    <row r="24" spans="1:27" x14ac:dyDescent="0.2">
      <c r="A24">
        <v>10</v>
      </c>
      <c r="B24" s="1">
        <f>'1x2'!R16</f>
        <v>0.6915402977951044</v>
      </c>
      <c r="C24" s="1">
        <f>'1x3'!R16</f>
        <v>0.87237328279965753</v>
      </c>
      <c r="D24" s="1">
        <f>'1x4'!R16</f>
        <v>0.92708029246853807</v>
      </c>
      <c r="E24" s="1">
        <f>'1x5'!R16</f>
        <v>0.94734747754207804</v>
      </c>
      <c r="F24" s="1">
        <f>'1x6'!R16</f>
        <v>0.95626426530283437</v>
      </c>
      <c r="G24" s="1">
        <f>'1x7'!R16</f>
        <v>0.96063122052405137</v>
      </c>
      <c r="H24" s="1">
        <f>'1x8'!R16</f>
        <v>0.96290786896185721</v>
      </c>
      <c r="I24" s="1">
        <f>'1x9'!R16</f>
        <v>0.96413799184583415</v>
      </c>
      <c r="J24" s="1">
        <f>'1x10'!R16</f>
        <v>0.96481631464323203</v>
      </c>
      <c r="K24">
        <v>10</v>
      </c>
      <c r="L24" s="1">
        <f>'2x3'!R16</f>
        <v>-0.22728133860872424</v>
      </c>
      <c r="M24" s="1">
        <f>'2x4'!R16</f>
        <v>-0.15296094647477049</v>
      </c>
      <c r="N24" s="1">
        <f>'2x5'!R16</f>
        <v>-0.11089925427141817</v>
      </c>
      <c r="O24" s="1">
        <f>'2x6'!R16</f>
        <v>-8.7092261305346252E-2</v>
      </c>
      <c r="P24" s="1">
        <f>'2x7'!R16</f>
        <v>-7.3615324935019932E-2</v>
      </c>
      <c r="Q24" s="1">
        <f>'2x8'!R16</f>
        <v>-6.5985080910928473E-2</v>
      </c>
      <c r="R24" s="1">
        <f>'2x9'!R16</f>
        <v>-6.1664636453521715E-2</v>
      </c>
      <c r="S24" s="1">
        <f>'2x10'!R16</f>
        <v>-5.9218134106802156E-2</v>
      </c>
      <c r="T24">
        <v>10</v>
      </c>
      <c r="U24" s="1">
        <f>'3x4'!R16</f>
        <v>-0.60179424602354692</v>
      </c>
      <c r="V24" s="1">
        <f>'3x5'!R16</f>
        <v>-0.58199511216911026</v>
      </c>
      <c r="W24" s="1">
        <f>'3x6'!R16</f>
        <v>-0.57078261761894311</v>
      </c>
      <c r="X24" s="1">
        <f>'3x7'!R16</f>
        <v>-0.5644328423826569</v>
      </c>
      <c r="Y24" s="1">
        <f>'3x8'!R16</f>
        <v>-0.56083688520354436</v>
      </c>
      <c r="Z24" s="1">
        <f>'3x9'!R16</f>
        <v>-0.55880044947962859</v>
      </c>
      <c r="AA24" s="1">
        <f>'3x10'!R16</f>
        <v>-0.55764719028384668</v>
      </c>
    </row>
    <row r="25" spans="1:27" x14ac:dyDescent="0.2">
      <c r="B25" s="357" t="s">
        <v>154</v>
      </c>
      <c r="C25" s="357"/>
      <c r="D25" s="357"/>
      <c r="E25" s="357"/>
      <c r="F25" s="357"/>
      <c r="G25" s="357"/>
      <c r="H25" s="357"/>
      <c r="I25" s="357"/>
      <c r="J25" s="357"/>
      <c r="L25" s="357" t="s">
        <v>154</v>
      </c>
      <c r="M25" s="357"/>
      <c r="N25" s="357"/>
      <c r="O25" s="357"/>
      <c r="P25" s="357"/>
      <c r="Q25" s="357"/>
      <c r="R25" s="357"/>
      <c r="S25" s="357"/>
      <c r="U25" s="357" t="s">
        <v>175</v>
      </c>
      <c r="V25" s="357"/>
      <c r="W25" s="357"/>
      <c r="X25" s="357"/>
      <c r="Y25" s="357"/>
      <c r="Z25" s="357"/>
      <c r="AA25" s="357"/>
    </row>
    <row r="26" spans="1:27" x14ac:dyDescent="0.2">
      <c r="A26" s="279" t="s">
        <v>57</v>
      </c>
      <c r="B26" s="280" t="s">
        <v>142</v>
      </c>
      <c r="C26" s="280" t="s">
        <v>143</v>
      </c>
      <c r="D26" s="280" t="s">
        <v>144</v>
      </c>
      <c r="E26" s="280" t="s">
        <v>145</v>
      </c>
      <c r="F26" s="280" t="s">
        <v>146</v>
      </c>
      <c r="G26" s="280" t="s">
        <v>147</v>
      </c>
      <c r="H26" s="280" t="s">
        <v>148</v>
      </c>
      <c r="I26" s="280" t="s">
        <v>149</v>
      </c>
      <c r="J26" s="280" t="s">
        <v>150</v>
      </c>
      <c r="K26" s="279" t="s">
        <v>57</v>
      </c>
      <c r="L26" s="280" t="s">
        <v>165</v>
      </c>
      <c r="M26" s="280" t="s">
        <v>166</v>
      </c>
      <c r="N26" s="280" t="s">
        <v>167</v>
      </c>
      <c r="O26" s="280" t="s">
        <v>168</v>
      </c>
      <c r="P26" s="280" t="s">
        <v>169</v>
      </c>
      <c r="Q26" s="280" t="s">
        <v>170</v>
      </c>
      <c r="R26" s="280" t="s">
        <v>171</v>
      </c>
      <c r="S26" s="280" t="s">
        <v>172</v>
      </c>
      <c r="T26" s="279" t="s">
        <v>57</v>
      </c>
      <c r="U26" s="280" t="s">
        <v>176</v>
      </c>
      <c r="V26" s="280" t="s">
        <v>177</v>
      </c>
      <c r="W26" s="280" t="s">
        <v>178</v>
      </c>
      <c r="X26" s="280" t="s">
        <v>179</v>
      </c>
      <c r="Y26" s="280" t="s">
        <v>180</v>
      </c>
      <c r="Z26" s="280" t="s">
        <v>181</v>
      </c>
      <c r="AA26" s="280" t="s">
        <v>182</v>
      </c>
    </row>
    <row r="27" spans="1:27" x14ac:dyDescent="0.2">
      <c r="A27" s="279">
        <v>1</v>
      </c>
      <c r="B27" s="1">
        <f>'1x2'!S21</f>
        <v>-50.107986626434226</v>
      </c>
      <c r="C27" s="1">
        <f>'1x3'!S21</f>
        <v>180.81302430490689</v>
      </c>
      <c r="D27" s="1">
        <f>'1x4'!S21</f>
        <v>126.61829499950055</v>
      </c>
      <c r="E27" s="1">
        <f>'1x5'!S21</f>
        <v>145.57801462857782</v>
      </c>
      <c r="F27" s="1">
        <f>'1x6'!S21</f>
        <v>180.85731055876883</v>
      </c>
      <c r="G27" s="1">
        <f>'1x7'!S21</f>
        <v>226.99434234786634</v>
      </c>
      <c r="H27" s="1">
        <f>'1x8'!S21</f>
        <v>282.58026751175981</v>
      </c>
      <c r="I27" s="1">
        <f>'1x9'!S21</f>
        <v>347.0283581890863</v>
      </c>
      <c r="J27" s="1">
        <f>'1x10'!S21</f>
        <v>419.99002748793157</v>
      </c>
      <c r="K27" s="279">
        <v>1</v>
      </c>
      <c r="L27" s="1">
        <f>'2x3'!S21</f>
        <v>-13.555978618616647</v>
      </c>
      <c r="M27" s="1">
        <f>'2x4'!S21</f>
        <v>-24.696014137688856</v>
      </c>
      <c r="N27" s="1">
        <f>'2x5'!S21</f>
        <v>-39.017550358930976</v>
      </c>
      <c r="O27" s="1">
        <f>'2x6'!S21</f>
        <v>-56.284233293643283</v>
      </c>
      <c r="P27" s="1">
        <f>'2x7'!S21</f>
        <v>-76.342448003772205</v>
      </c>
      <c r="Q27" s="1">
        <f>'2x8'!S21</f>
        <v>-99.117545597005602</v>
      </c>
      <c r="R27" s="1">
        <f>'2x9'!S21</f>
        <v>-124.58630474787549</v>
      </c>
      <c r="S27" s="1">
        <f>'2x10'!S21</f>
        <v>-152.75236398581566</v>
      </c>
      <c r="T27" s="279">
        <v>1</v>
      </c>
      <c r="U27" s="1">
        <f>'3x4'!S21</f>
        <v>-14.971996796076819</v>
      </c>
      <c r="V27" s="1">
        <f>'3x5'!S21</f>
        <v>-22.926793536140366</v>
      </c>
      <c r="W27" s="1">
        <f>'3x6'!S21</f>
        <v>-32.476529975405079</v>
      </c>
      <c r="X27" s="1">
        <f>'3x7'!S21</f>
        <v>-43.591443761815199</v>
      </c>
      <c r="Y27" s="1">
        <f>'3x8'!S21</f>
        <v>-56.258204303677068</v>
      </c>
      <c r="Z27" s="1">
        <f>'3x9'!S21</f>
        <v>-70.473414764277052</v>
      </c>
      <c r="AA27" s="1">
        <f>'3x10'!S21</f>
        <v>-86.238667526259931</v>
      </c>
    </row>
    <row r="28" spans="1:27" x14ac:dyDescent="0.2">
      <c r="A28">
        <v>2</v>
      </c>
      <c r="B28" s="1">
        <f>'1x2'!S22</f>
        <v>39.68099708689995</v>
      </c>
      <c r="C28" s="1">
        <f>'1x3'!S22</f>
        <v>71.604270274621811</v>
      </c>
      <c r="D28" s="1">
        <f>'1x4'!S22</f>
        <v>128.5430335659193</v>
      </c>
      <c r="E28" s="1">
        <f>'1x5'!S22</f>
        <v>214.80877357414121</v>
      </c>
      <c r="F28" s="1">
        <f>'1x6'!S22</f>
        <v>336.45314183700071</v>
      </c>
      <c r="G28" s="1">
        <f>'1x7'!S22</f>
        <v>499.75196506292878</v>
      </c>
      <c r="H28" s="1">
        <f>'1x8'!S22</f>
        <v>710.95601160535671</v>
      </c>
      <c r="I28" s="1">
        <f>'1x9'!S22</f>
        <v>976.22796892165763</v>
      </c>
      <c r="J28" s="1">
        <f>'1x10'!S22</f>
        <v>1301.6411421677396</v>
      </c>
      <c r="K28">
        <v>2</v>
      </c>
      <c r="L28" s="1">
        <f>'2x3'!S22</f>
        <v>-89.295103945623197</v>
      </c>
      <c r="M28" s="1">
        <f>'2x4'!S22</f>
        <v>-226.09607588661319</v>
      </c>
      <c r="N28" s="1">
        <f>'2x5'!S22</f>
        <v>-459.15322001754788</v>
      </c>
      <c r="O28" s="1">
        <f>'2x6'!S22</f>
        <v>-805.13758547025179</v>
      </c>
      <c r="P28" s="1">
        <f>'2x7'!S22</f>
        <v>-1276.5398084939957</v>
      </c>
      <c r="Q28" s="1">
        <f>'2x8'!S22</f>
        <v>-1885.3474501885994</v>
      </c>
      <c r="R28" s="1">
        <f>'2x9'!S22</f>
        <v>-2644.8000408822063</v>
      </c>
      <c r="S28" s="1">
        <f>'2x10'!S22</f>
        <v>-3569.6258536190803</v>
      </c>
      <c r="T28">
        <v>2</v>
      </c>
      <c r="U28" s="1">
        <f>'3x4'!S22</f>
        <v>-69.971321772544641</v>
      </c>
      <c r="V28" s="1">
        <f>'3x5'!S22</f>
        <v>-167.62458525094974</v>
      </c>
      <c r="W28" s="1">
        <f>'3x6'!S22</f>
        <v>-276.23202840525556</v>
      </c>
      <c r="X28" s="1">
        <f>'3x7'!S22</f>
        <v>-421.86021463839739</v>
      </c>
      <c r="Y28" s="1">
        <f>'3x8'!S22</f>
        <v>-609.48288896129338</v>
      </c>
      <c r="Z28" s="1">
        <f>'3x9'!S22</f>
        <v>-844.16593952564267</v>
      </c>
      <c r="AA28" s="1">
        <f>'3x10'!S22</f>
        <v>-1131.0548615555917</v>
      </c>
    </row>
    <row r="29" spans="1:27" x14ac:dyDescent="0.2">
      <c r="A29">
        <v>3</v>
      </c>
      <c r="B29" s="1">
        <f>'1x2'!S23</f>
        <v>61.449807484135221</v>
      </c>
      <c r="C29" s="1">
        <f>'1x3'!S23</f>
        <v>169.51044876717847</v>
      </c>
      <c r="D29" s="1">
        <f>'1x4'!S23</f>
        <v>402.10668426574409</v>
      </c>
      <c r="E29" s="1">
        <f>'1x5'!S23</f>
        <v>832.07786577876584</v>
      </c>
      <c r="F29" s="1">
        <f>'1x6'!S23</f>
        <v>1551.5920925809266</v>
      </c>
      <c r="G29" s="1">
        <f>'1x7'!S23</f>
        <v>2671.3939849468638</v>
      </c>
      <c r="H29" s="1">
        <f>'1x8'!S23</f>
        <v>4320.3693612716797</v>
      </c>
      <c r="I29" s="1">
        <f>'1x9'!S23</f>
        <v>6645.1882061517827</v>
      </c>
      <c r="J29" s="1">
        <f>'1x10'!S23</f>
        <v>9810.0713968158325</v>
      </c>
      <c r="K29">
        <v>3</v>
      </c>
      <c r="L29" s="1">
        <f>'2x3'!S23</f>
        <v>-364.39031112994439</v>
      </c>
      <c r="M29" s="1">
        <f>'2x4'!S23</f>
        <v>-1286.532457348623</v>
      </c>
      <c r="N29" s="1">
        <f>'2x5'!S23</f>
        <v>-3431.1180646062157</v>
      </c>
      <c r="O29" s="1">
        <f>'2x6'!S23</f>
        <v>-7507.4757157118802</v>
      </c>
      <c r="P29" s="1">
        <f>'2x7'!S23</f>
        <v>-14253.267190308419</v>
      </c>
      <c r="Q29" s="1">
        <f>'2x8'!S23</f>
        <v>-24432.429119132772</v>
      </c>
      <c r="R29" s="1">
        <f>'2x9'!S23</f>
        <v>-38878.072995612762</v>
      </c>
      <c r="S29" s="1">
        <f>'2x10'!S23</f>
        <v>-58529.568151041683</v>
      </c>
      <c r="T29">
        <v>3</v>
      </c>
      <c r="U29" s="1">
        <f>'3x4'!S23</f>
        <v>-239.94094239901028</v>
      </c>
      <c r="V29" s="1">
        <f>'3x5'!S23</f>
        <v>-914.49948299257369</v>
      </c>
      <c r="W29" s="1">
        <f>'3x6'!S23</f>
        <v>-1781.8523763012845</v>
      </c>
      <c r="X29" s="1">
        <f>'3x7'!S23</f>
        <v>-3142.8269195575426</v>
      </c>
      <c r="Y29" s="1">
        <f>'3x8'!S23</f>
        <v>-5151.6999390753972</v>
      </c>
      <c r="Z29" s="1">
        <f>'3x9'!S23</f>
        <v>-7983.9902208522026</v>
      </c>
      <c r="AA29" s="1">
        <f>'3x10'!S23</f>
        <v>-11836.826111726898</v>
      </c>
    </row>
    <row r="30" spans="1:27" x14ac:dyDescent="0.2">
      <c r="A30">
        <v>4</v>
      </c>
      <c r="B30" s="1">
        <f>'1x2'!S24</f>
        <v>112.25828108088633</v>
      </c>
      <c r="C30" s="1">
        <f>'1x3'!S24</f>
        <v>451.42094102072178</v>
      </c>
      <c r="D30" s="1">
        <f>'1x4'!S24</f>
        <v>1413.9698024221236</v>
      </c>
      <c r="E30" s="1">
        <f>'1x5'!S24</f>
        <v>3643.7971921441435</v>
      </c>
      <c r="F30" s="1">
        <f>'1x6'!S24</f>
        <v>8138.7948094157136</v>
      </c>
      <c r="G30" s="1">
        <f>'1x7'!S24</f>
        <v>16329.716993197664</v>
      </c>
      <c r="H30" s="1">
        <f>'1x8'!S24</f>
        <v>30157.754629443152</v>
      </c>
      <c r="I30" s="1">
        <f>'1x9'!S24</f>
        <v>52150.787387650955</v>
      </c>
      <c r="J30" s="1">
        <f>'1x10'!S24</f>
        <v>85498.987661156571</v>
      </c>
      <c r="K30">
        <v>4</v>
      </c>
      <c r="L30" s="1">
        <f>'2x3'!S24</f>
        <v>-1235.7830339474158</v>
      </c>
      <c r="M30" s="1">
        <f>'2x4'!S24</f>
        <v>-5995.0900550757724</v>
      </c>
      <c r="N30" s="1">
        <f>'2x5'!S24</f>
        <v>-20860.065593174444</v>
      </c>
      <c r="O30" s="1">
        <f>'2x6'!S24</f>
        <v>-56973.507711410901</v>
      </c>
      <c r="P30" s="1">
        <f>'2x7'!S24</f>
        <v>-130017.76256707606</v>
      </c>
      <c r="Q30" s="1">
        <f>'2x8'!S24</f>
        <v>-259870.9471388119</v>
      </c>
      <c r="R30" s="1">
        <f>'2x9'!S24</f>
        <v>-471052.50263004337</v>
      </c>
      <c r="S30" s="1">
        <f>'2x10'!S24</f>
        <v>-793789.82326818269</v>
      </c>
      <c r="T30">
        <v>4</v>
      </c>
      <c r="U30" s="1">
        <f>'3x4'!S24</f>
        <v>-753.78275336398963</v>
      </c>
      <c r="V30" s="1">
        <f>'3x5'!S24</f>
        <v>-4668.5163417503536</v>
      </c>
      <c r="W30" s="1">
        <f>'3x6'!S24</f>
        <v>-10855.681971831733</v>
      </c>
      <c r="X30" s="1">
        <f>'3x7'!S24</f>
        <v>-22268.239997761681</v>
      </c>
      <c r="Y30" s="1">
        <f>'3x8'!S24</f>
        <v>-41635.657394090696</v>
      </c>
      <c r="Z30" s="1">
        <f>'3x9'!S24</f>
        <v>-72499.825373359286</v>
      </c>
      <c r="AA30" s="1">
        <f>'3x10'!S24</f>
        <v>-119325.59291219487</v>
      </c>
    </row>
    <row r="31" spans="1:27" x14ac:dyDescent="0.2">
      <c r="A31">
        <v>5</v>
      </c>
      <c r="B31" s="1">
        <f>'1x2'!S25</f>
        <v>212.70278138508203</v>
      </c>
      <c r="C31" s="1">
        <f>'1x3'!S25</f>
        <v>1250.9524238831737</v>
      </c>
      <c r="D31" s="1">
        <f>'1x4'!S25</f>
        <v>5209.353473092594</v>
      </c>
      <c r="E31" s="1">
        <f>'1x5'!S25</f>
        <v>16793.662695432708</v>
      </c>
      <c r="F31" s="1">
        <f>'1x6'!S25</f>
        <v>45057.905624696228</v>
      </c>
      <c r="G31" s="1">
        <f>'1x7'!S25</f>
        <v>105546.87602273829</v>
      </c>
      <c r="H31" s="1">
        <f>'1x8'!S25</f>
        <v>222866.36396644183</v>
      </c>
      <c r="I31" s="1">
        <f>'1x9'!S25</f>
        <v>433673.87970512919</v>
      </c>
      <c r="J31" s="1">
        <f>'1x10'!S25</f>
        <v>790087.76528398856</v>
      </c>
      <c r="K31">
        <v>5</v>
      </c>
      <c r="L31" s="1">
        <f>'2x3'!S25</f>
        <v>-3890.32753097655</v>
      </c>
      <c r="M31" s="1">
        <f>'2x4'!S25</f>
        <v>-25581.862455885104</v>
      </c>
      <c r="N31" s="1">
        <f>'2x5'!S25</f>
        <v>-114364.68249196412</v>
      </c>
      <c r="O31" s="1">
        <f>'2x6'!S25</f>
        <v>-385263.12249581167</v>
      </c>
      <c r="P31" s="1">
        <f>'2x7'!S25</f>
        <v>-1048783.9779423412</v>
      </c>
      <c r="Q31" s="1">
        <f>'2x8'!S25</f>
        <v>-2433692.1941810059</v>
      </c>
      <c r="R31" s="1">
        <f>'2x9'!S25</f>
        <v>-5013702.7669036714</v>
      </c>
      <c r="S31" s="1">
        <f>'2x10'!S25</f>
        <v>-9446397.0341824964</v>
      </c>
      <c r="T31">
        <v>5</v>
      </c>
      <c r="U31" s="1">
        <f>'3x4'!S25</f>
        <v>-2299.4081724161642</v>
      </c>
      <c r="V31" s="1">
        <f>'3x5'!S25</f>
        <v>-23457.083462005568</v>
      </c>
      <c r="W31" s="1">
        <f>'3x6'!S25</f>
        <v>-65340.070331641466</v>
      </c>
      <c r="X31" s="1">
        <f>'3x7'!S25</f>
        <v>-156241.6704429423</v>
      </c>
      <c r="Y31" s="1">
        <f>'3x8'!S25</f>
        <v>-333718.48671395099</v>
      </c>
      <c r="Z31" s="1">
        <f>'3x9'!S25</f>
        <v>-653577.91754825378</v>
      </c>
      <c r="AA31" s="1">
        <f>'3x10'!S25</f>
        <v>-1195051.6123178797</v>
      </c>
    </row>
    <row r="32" spans="1:27" x14ac:dyDescent="0.2">
      <c r="A32">
        <v>6</v>
      </c>
      <c r="B32" s="1">
        <f>'1x2'!S26</f>
        <v>408.53529413474803</v>
      </c>
      <c r="C32" s="1">
        <f>'1x3'!S26</f>
        <v>3543.2702512435503</v>
      </c>
      <c r="D32" s="1">
        <f>'1x4'!S26</f>
        <v>19699.333793010635</v>
      </c>
      <c r="E32" s="1">
        <f>'1x5'!S26</f>
        <v>79580.386198009437</v>
      </c>
      <c r="F32" s="1">
        <f>'1x6'!S26</f>
        <v>256669.99517506571</v>
      </c>
      <c r="G32" s="1">
        <f>'1x7'!S26</f>
        <v>702202.61436915165</v>
      </c>
      <c r="H32" s="1">
        <f>'1x8'!S26</f>
        <v>1695611.837092204</v>
      </c>
      <c r="I32" s="1">
        <f>'1x9'!S26</f>
        <v>3713253.0799955004</v>
      </c>
      <c r="J32" s="1">
        <f>'1x10'!S26</f>
        <v>7518191.1947877556</v>
      </c>
      <c r="K32">
        <v>6</v>
      </c>
      <c r="L32" s="1">
        <f>'2x3'!S26</f>
        <v>-11891.138792143789</v>
      </c>
      <c r="M32" s="1">
        <f>'2x4'!S26</f>
        <v>-105127.33086987839</v>
      </c>
      <c r="N32" s="1">
        <f>'2x5'!S26</f>
        <v>-596444.61725008953</v>
      </c>
      <c r="O32" s="1">
        <f>'2x6'!S26</f>
        <v>-2449702.3576234686</v>
      </c>
      <c r="P32" s="1">
        <f>'2x7'!S26</f>
        <v>-7885009.7257928159</v>
      </c>
      <c r="Q32" s="1">
        <f>'2x8'!S26</f>
        <v>-21116525.067788273</v>
      </c>
      <c r="R32" s="1">
        <f>'2x9'!S26</f>
        <v>-49258943.226943113</v>
      </c>
      <c r="S32" s="1">
        <f>'2x10'!S26</f>
        <v>-103538924.68212898</v>
      </c>
      <c r="T32">
        <v>6</v>
      </c>
      <c r="U32" s="1">
        <f>'3x4'!S26</f>
        <v>-6940.6817139530385</v>
      </c>
      <c r="V32" s="1">
        <f>'3x5'!S26</f>
        <v>-117418.11701076198</v>
      </c>
      <c r="W32" s="1">
        <f>'3x6'!S26</f>
        <v>-392291.3915084388</v>
      </c>
      <c r="X32" s="1">
        <f>'3x7'!S26</f>
        <v>-1094180.3277074164</v>
      </c>
      <c r="Y32" s="1">
        <f>'3x8'!S26</f>
        <v>-2670711.7050313652</v>
      </c>
      <c r="Z32" s="1">
        <f>'3x9'!S26</f>
        <v>-5884077.8707424896</v>
      </c>
      <c r="AA32" s="1">
        <f>'3x10'!S26</f>
        <v>-11954061.879247038</v>
      </c>
    </row>
    <row r="33" spans="1:27" x14ac:dyDescent="0.2">
      <c r="A33">
        <v>7</v>
      </c>
      <c r="B33" s="1">
        <f>'1x2'!S27</f>
        <v>790.67124804117009</v>
      </c>
      <c r="C33" s="1">
        <f>'1x3'!S27</f>
        <v>10181.430922410806</v>
      </c>
      <c r="D33" s="1">
        <f>'1x4'!S27</f>
        <v>75711.412381282906</v>
      </c>
      <c r="E33" s="1">
        <f>'1x5'!S27</f>
        <v>383422.1473097211</v>
      </c>
      <c r="F33" s="1">
        <f>'1x6'!S27</f>
        <v>1486637.9558903342</v>
      </c>
      <c r="G33" s="1">
        <f>'1x7'!S27</f>
        <v>4749973.086552172</v>
      </c>
      <c r="H33" s="1">
        <f>'1x8'!S27</f>
        <v>13116110.353889626</v>
      </c>
      <c r="I33" s="1">
        <f>'1x9'!S27</f>
        <v>32324530.695008781</v>
      </c>
      <c r="J33" s="1">
        <f>'1x10'!S27</f>
        <v>72733019.862432793</v>
      </c>
      <c r="K33">
        <v>7</v>
      </c>
      <c r="L33" s="1">
        <f>'2x3'!S27</f>
        <v>-35930.580412933945</v>
      </c>
      <c r="M33" s="1">
        <f>'2x4'!S27</f>
        <v>-425259.88291556307</v>
      </c>
      <c r="N33" s="1">
        <f>'2x5'!S27</f>
        <v>-3039370.9219719339</v>
      </c>
      <c r="O33" s="1">
        <f>'2x6'!S27</f>
        <v>-15105438.989232279</v>
      </c>
      <c r="P33" s="1">
        <f>'2x7'!S27</f>
        <v>-57135481.099871062</v>
      </c>
      <c r="Q33" s="1">
        <f>'2x8'!S27</f>
        <v>-175815664.63454211</v>
      </c>
      <c r="R33" s="1">
        <f>'2x9'!S27</f>
        <v>-463069414.72996724</v>
      </c>
      <c r="S33" s="1">
        <f>'2x10'!S27</f>
        <v>-1083953102.1134834</v>
      </c>
      <c r="T33">
        <v>7</v>
      </c>
      <c r="U33" s="1">
        <f>'3x4'!S27</f>
        <v>-20869.122929671139</v>
      </c>
      <c r="V33" s="1">
        <f>'3x5'!S27</f>
        <v>-587241.44113634434</v>
      </c>
      <c r="W33" s="1">
        <f>'3x6'!S27</f>
        <v>-2354049.4831843707</v>
      </c>
      <c r="X33" s="1">
        <f>'3x7'!S27</f>
        <v>-7659921.0005985266</v>
      </c>
      <c r="Y33" s="1">
        <f>'3x8'!S27</f>
        <v>-21367199.580868155</v>
      </c>
      <c r="Z33" s="1">
        <f>'3x9'!S27</f>
        <v>-52960095.139366299</v>
      </c>
      <c r="AA33" s="1">
        <f>'3x10'!S27</f>
        <v>-119547935.12536636</v>
      </c>
    </row>
    <row r="34" spans="1:27" x14ac:dyDescent="0.2">
      <c r="A34">
        <v>8</v>
      </c>
      <c r="B34" s="1">
        <f>'1x2'!S28</f>
        <v>1538.7623715761947</v>
      </c>
      <c r="C34" s="1">
        <f>'1x3'!S28</f>
        <v>29549.902734439471</v>
      </c>
      <c r="D34" s="1">
        <f>'1x4'!S28</f>
        <v>294085.2912365885</v>
      </c>
      <c r="E34" s="1">
        <f>'1x5'!S28</f>
        <v>1866881.1367920374</v>
      </c>
      <c r="F34" s="1">
        <f>'1x6'!S28</f>
        <v>8700452.4857794344</v>
      </c>
      <c r="G34" s="1">
        <f>'1x7'!S28</f>
        <v>32462356.55653616</v>
      </c>
      <c r="H34" s="1">
        <f>'1x8'!S28</f>
        <v>102497758.33501236</v>
      </c>
      <c r="I34" s="1">
        <f>'1x9'!S28</f>
        <v>284264668.10398656</v>
      </c>
      <c r="J34" s="1">
        <f>'1x10'!S28</f>
        <v>710808342.9330287</v>
      </c>
      <c r="K34">
        <v>8</v>
      </c>
      <c r="L34" s="1">
        <f>'2x3'!S28</f>
        <v>-108087.79415978062</v>
      </c>
      <c r="M34" s="1">
        <f>'2x4'!S28</f>
        <v>-1709025.5048936978</v>
      </c>
      <c r="N34" s="1">
        <f>'2x5'!S28</f>
        <v>-15326314.898801783</v>
      </c>
      <c r="O34" s="1">
        <f>'2x6'!S28</f>
        <v>-91787733.104356229</v>
      </c>
      <c r="P34" s="1">
        <f>'2x7'!S28</f>
        <v>-406541562.20148641</v>
      </c>
      <c r="Q34" s="1">
        <f>'2x8'!S28</f>
        <v>-1433702516.7496758</v>
      </c>
      <c r="R34" s="1">
        <f>'2x9'!S28</f>
        <v>-4256196454.0281796</v>
      </c>
      <c r="S34" s="1">
        <f>'2x10'!S28</f>
        <v>-11083135337.755833</v>
      </c>
      <c r="T34">
        <v>8</v>
      </c>
      <c r="U34" s="1">
        <f>'3x4'!S28</f>
        <v>-62659.210943246711</v>
      </c>
      <c r="V34" s="1">
        <f>'3x5'!S28</f>
        <v>-2936376.2405502507</v>
      </c>
      <c r="W34" s="1">
        <f>'3x6'!S28</f>
        <v>-14124655.013855906</v>
      </c>
      <c r="X34" s="1">
        <f>'3x7'!S28</f>
        <v>-53620345.346485749</v>
      </c>
      <c r="Y34" s="1">
        <f>'3x8'!S28</f>
        <v>-170940016.88683715</v>
      </c>
      <c r="Z34" s="1">
        <f>'3x9'!S28</f>
        <v>-476647199.78461361</v>
      </c>
      <c r="AA34" s="1">
        <f>'3x10'!S28</f>
        <v>-1195494908.4805315</v>
      </c>
    </row>
    <row r="35" spans="1:27" x14ac:dyDescent="0.2">
      <c r="A35">
        <v>9</v>
      </c>
      <c r="B35" s="1">
        <f>'1x2'!S29</f>
        <v>3008.1516209512365</v>
      </c>
      <c r="C35" s="1">
        <f>'1x3'!S29</f>
        <v>86377.896832942017</v>
      </c>
      <c r="D35" s="1">
        <f>'1x4'!S29</f>
        <v>1150560.214120293</v>
      </c>
      <c r="E35" s="1">
        <f>'1x5'!S29</f>
        <v>9153610.2242748309</v>
      </c>
      <c r="F35" s="1">
        <f>'1x6'!S29</f>
        <v>51267541.065773211</v>
      </c>
      <c r="G35" s="1">
        <f>'1x7'!S29</f>
        <v>223350159.76837584</v>
      </c>
      <c r="H35" s="1">
        <f>'1x8'!S29</f>
        <v>806330211.24900019</v>
      </c>
      <c r="I35" s="1">
        <f>'1x9'!S29</f>
        <v>2516439052.5408635</v>
      </c>
      <c r="J35" s="1">
        <f>'1x10'!S29</f>
        <v>6992570639.6745672</v>
      </c>
      <c r="K35">
        <v>9</v>
      </c>
      <c r="L35" s="1">
        <f>'2x3'!S29</f>
        <v>-324601.53945481515</v>
      </c>
      <c r="M35" s="1">
        <f>'2x4'!S29</f>
        <v>-6849511.3405816946</v>
      </c>
      <c r="N35" s="1">
        <f>'2x5'!S29</f>
        <v>-76921712.956787869</v>
      </c>
      <c r="O35" s="1">
        <f>'2x6'!S29</f>
        <v>-553942402.46182919</v>
      </c>
      <c r="P35" s="1">
        <f>'2x7'!S29</f>
        <v>-2867651347.6290927</v>
      </c>
      <c r="Q35" s="1">
        <f>'2x8'!S29</f>
        <v>-11573891434.286816</v>
      </c>
      <c r="R35" s="1">
        <f>'2x9'!S29</f>
        <v>-38690934211.012352</v>
      </c>
      <c r="S35" s="1">
        <f>'2x10'!S29</f>
        <v>-112013590261.28374</v>
      </c>
      <c r="T35">
        <v>9</v>
      </c>
      <c r="U35" s="1">
        <f>'3x4'!S29</f>
        <v>-188034.32756669528</v>
      </c>
      <c r="V35" s="1">
        <f>'3x5'!S29</f>
        <v>-14682068.456112092</v>
      </c>
      <c r="W35" s="1">
        <f>'3x6'!S29</f>
        <v>-84748353.995723233</v>
      </c>
      <c r="X35" s="1">
        <f>'3x7'!S29</f>
        <v>-375343661.54014224</v>
      </c>
      <c r="Y35" s="1">
        <f>'3x8'!S29</f>
        <v>-1367524123.5815051</v>
      </c>
      <c r="Z35" s="1">
        <f>'3x9'!S29</f>
        <v>-4289836933.3113933</v>
      </c>
      <c r="AA35" s="1">
        <f>'3x10'!S29</f>
        <v>-11954982770.760498</v>
      </c>
    </row>
    <row r="36" spans="1:27" x14ac:dyDescent="0.2">
      <c r="A36">
        <v>10</v>
      </c>
      <c r="B36" s="1">
        <f>'1x2'!S30</f>
        <v>5902.7651938939507</v>
      </c>
      <c r="C36" s="1">
        <f>'1x3'!S30</f>
        <v>253807.63529280212</v>
      </c>
      <c r="D36" s="1">
        <f>'1x4'!S30</f>
        <v>4524182.0304818302</v>
      </c>
      <c r="E36" s="1">
        <f>'1x5'!S30</f>
        <v>45099164.786768869</v>
      </c>
      <c r="F36" s="1">
        <f>'1x6'!S30</f>
        <v>303511927.12203479</v>
      </c>
      <c r="G36" s="1">
        <f>'1x7'!S30</f>
        <v>1543771413.3327715</v>
      </c>
      <c r="H36" s="1">
        <f>'1x8'!S30</f>
        <v>6372019294.6549139</v>
      </c>
      <c r="I36" s="1">
        <f>'1x9'!S30</f>
        <v>22376961194.83461</v>
      </c>
      <c r="J36" s="1">
        <f>'1x10'!S30</f>
        <v>69097781202.686111</v>
      </c>
      <c r="K36">
        <v>10</v>
      </c>
      <c r="L36" s="1">
        <f>'2x3'!S30</f>
        <v>-974189.08809392655</v>
      </c>
      <c r="M36" s="1">
        <f>'2x4'!S30</f>
        <v>-27420593.927168254</v>
      </c>
      <c r="N36" s="1">
        <f>'2x5'!S30</f>
        <v>-385255791.67047036</v>
      </c>
      <c r="O36" s="1">
        <f>'2x6'!S30</f>
        <v>-3332530418.3160925</v>
      </c>
      <c r="P36" s="1">
        <f>'2x7'!S30</f>
        <v>-20145194201.194332</v>
      </c>
      <c r="Q36" s="1">
        <f>'2x8'!S30</f>
        <v>-92985678509.394821</v>
      </c>
      <c r="R36" s="1">
        <f>'2x9'!S30</f>
        <v>-349867925456.12848</v>
      </c>
      <c r="S36" s="1">
        <f>'2x10'!S30</f>
        <v>-1125781276555.6599</v>
      </c>
      <c r="T36">
        <v>10</v>
      </c>
      <c r="U36" s="1">
        <f>'3x4'!S30</f>
        <v>-564164.58323317976</v>
      </c>
      <c r="V36" s="1">
        <f>'3x5'!S30</f>
        <v>-73410547.797840476</v>
      </c>
      <c r="W36" s="1">
        <f>'3x6'!S30</f>
        <v>-508490625.04871839</v>
      </c>
      <c r="X36" s="1">
        <f>'3x7'!S30</f>
        <v>-2627407382.4970737</v>
      </c>
      <c r="Y36" s="1">
        <f>'3x8'!S30</f>
        <v>-10940199694.200184</v>
      </c>
      <c r="Z36" s="1">
        <f>'3x9'!S30</f>
        <v>-38608555970.366142</v>
      </c>
      <c r="AA36" s="1">
        <f>'3x10'!S30</f>
        <v>-119549901392.0722</v>
      </c>
    </row>
    <row r="37" spans="1:27" x14ac:dyDescent="0.2">
      <c r="B37" s="357" t="s">
        <v>155</v>
      </c>
      <c r="C37" s="357"/>
      <c r="D37" s="357"/>
      <c r="E37" s="357"/>
      <c r="F37" s="357"/>
      <c r="G37" s="357"/>
      <c r="H37" s="357"/>
      <c r="I37" s="357"/>
      <c r="J37" s="357"/>
      <c r="L37" s="357" t="s">
        <v>173</v>
      </c>
      <c r="M37" s="357"/>
      <c r="N37" s="357"/>
      <c r="O37" s="357"/>
      <c r="P37" s="357"/>
      <c r="Q37" s="357"/>
      <c r="R37" s="357"/>
      <c r="S37" s="357"/>
      <c r="U37" s="357" t="s">
        <v>173</v>
      </c>
      <c r="V37" s="357"/>
      <c r="W37" s="357"/>
      <c r="X37" s="357"/>
      <c r="Y37" s="357"/>
      <c r="Z37" s="357"/>
      <c r="AA37" s="357"/>
    </row>
    <row r="38" spans="1:27" x14ac:dyDescent="0.2">
      <c r="A38" s="279" t="s">
        <v>57</v>
      </c>
      <c r="B38" s="280" t="s">
        <v>142</v>
      </c>
      <c r="C38" s="280" t="s">
        <v>143</v>
      </c>
      <c r="D38" s="280" t="s">
        <v>144</v>
      </c>
      <c r="E38" s="280" t="s">
        <v>145</v>
      </c>
      <c r="F38" s="280" t="s">
        <v>146</v>
      </c>
      <c r="G38" s="280" t="s">
        <v>147</v>
      </c>
      <c r="H38" s="280" t="s">
        <v>148</v>
      </c>
      <c r="I38" s="280" t="s">
        <v>149</v>
      </c>
      <c r="J38" s="280" t="s">
        <v>150</v>
      </c>
      <c r="K38" s="279" t="s">
        <v>57</v>
      </c>
      <c r="L38" s="280" t="s">
        <v>165</v>
      </c>
      <c r="M38" s="280" t="s">
        <v>166</v>
      </c>
      <c r="N38" s="280" t="s">
        <v>167</v>
      </c>
      <c r="O38" s="280" t="s">
        <v>168</v>
      </c>
      <c r="P38" s="280" t="s">
        <v>169</v>
      </c>
      <c r="Q38" s="280" t="s">
        <v>170</v>
      </c>
      <c r="R38" s="280" t="s">
        <v>171</v>
      </c>
      <c r="S38" s="280" t="s">
        <v>172</v>
      </c>
      <c r="T38" s="279" t="s">
        <v>57</v>
      </c>
      <c r="U38" s="280" t="s">
        <v>176</v>
      </c>
      <c r="V38" s="280" t="s">
        <v>177</v>
      </c>
      <c r="W38" s="280" t="s">
        <v>178</v>
      </c>
      <c r="X38" s="280" t="s">
        <v>179</v>
      </c>
      <c r="Y38" s="280" t="s">
        <v>180</v>
      </c>
      <c r="Z38" s="280" t="s">
        <v>181</v>
      </c>
      <c r="AA38" s="280" t="s">
        <v>182</v>
      </c>
    </row>
    <row r="39" spans="1:27" x14ac:dyDescent="0.2">
      <c r="A39" s="279">
        <v>1</v>
      </c>
      <c r="B39" s="1">
        <f>'1x2'!S33</f>
        <v>-50.107986626434226</v>
      </c>
      <c r="C39" s="1">
        <f>'1x3'!S33</f>
        <v>180.81302430490689</v>
      </c>
      <c r="D39" s="1">
        <f>'1x4'!S33</f>
        <v>126.61829499950055</v>
      </c>
      <c r="E39" s="1">
        <f>'1x5'!S33</f>
        <v>145.57801462857782</v>
      </c>
      <c r="F39" s="1">
        <f>'1x6'!S33</f>
        <v>180.85731055876883</v>
      </c>
      <c r="G39" s="1">
        <f>'1x7'!S33</f>
        <v>226.99434234786634</v>
      </c>
      <c r="H39" s="1">
        <f>'1x8'!S33</f>
        <v>282.58026751175981</v>
      </c>
      <c r="I39" s="1">
        <f>'1x9'!S33</f>
        <v>347.0283581890863</v>
      </c>
      <c r="J39" s="1">
        <f>'1x10'!S33</f>
        <v>419.99002748793157</v>
      </c>
      <c r="K39" s="279"/>
      <c r="L39" s="284">
        <f>'2x3'!S21</f>
        <v>-13.555978618616647</v>
      </c>
      <c r="M39" s="284">
        <f>'2x4'!S21</f>
        <v>-24.696014137688856</v>
      </c>
      <c r="N39" s="284">
        <f>'2x5'!S21</f>
        <v>-39.017550358930976</v>
      </c>
      <c r="O39" s="284">
        <f>'2x6'!S21</f>
        <v>-56.284233293643283</v>
      </c>
      <c r="P39" s="284">
        <f>'2x7'!S21</f>
        <v>-76.342448003772205</v>
      </c>
      <c r="Q39" s="284">
        <f>'2x8'!S21</f>
        <v>-99.117545597005602</v>
      </c>
      <c r="R39" s="284">
        <f>'2x9'!S21</f>
        <v>-124.58630474787549</v>
      </c>
      <c r="S39" s="284">
        <f>'2x10'!S21</f>
        <v>-152.75236398581566</v>
      </c>
      <c r="T39" s="279">
        <v>1</v>
      </c>
      <c r="U39" s="284">
        <f>'3x4'!S21</f>
        <v>-14.971996796076819</v>
      </c>
      <c r="V39" s="284">
        <f>'3x5'!S33</f>
        <v>-22.926793536140366</v>
      </c>
      <c r="W39" s="284">
        <f>'3x6'!S33</f>
        <v>-32.476529975405079</v>
      </c>
      <c r="X39" s="284">
        <f>'3x7'!S33</f>
        <v>-43.591443761815199</v>
      </c>
      <c r="Y39" s="284">
        <f>'3x8'!S33</f>
        <v>-56.258204303677068</v>
      </c>
      <c r="Z39" s="284">
        <f>'3x9'!S33</f>
        <v>-70.473414764277052</v>
      </c>
      <c r="AA39" s="284">
        <f>'3x10'!S33</f>
        <v>-86.238667526259931</v>
      </c>
    </row>
    <row r="40" spans="1:27" x14ac:dyDescent="0.2">
      <c r="A40">
        <v>2</v>
      </c>
      <c r="B40" s="1">
        <f>'1x2'!S34</f>
        <v>47.617196504279946</v>
      </c>
      <c r="C40" s="1">
        <f>'1x3'!S34</f>
        <v>79.560300305135357</v>
      </c>
      <c r="D40" s="1">
        <f>'1x4'!S34</f>
        <v>137.72467882062782</v>
      </c>
      <c r="E40" s="1">
        <f>'1x5'!S34</f>
        <v>225.54921225284829</v>
      </c>
      <c r="F40" s="1">
        <f>'1x6'!S34</f>
        <v>348.91436931244522</v>
      </c>
      <c r="G40" s="1">
        <f>'1x7'!S34</f>
        <v>514.03059263615535</v>
      </c>
      <c r="H40" s="1">
        <f>'1x8'!S34</f>
        <v>727.11410277820573</v>
      </c>
      <c r="I40" s="1">
        <f>'1x9'!S34</f>
        <v>994.30626464242914</v>
      </c>
      <c r="J40" s="1">
        <f>'1x10'!S34</f>
        <v>1321.6663905087817</v>
      </c>
      <c r="K40">
        <v>2</v>
      </c>
      <c r="L40" s="284">
        <f>'2x3'!S22</f>
        <v>-89.295103945623197</v>
      </c>
      <c r="M40" s="284">
        <f>'2x4'!S22</f>
        <v>-226.09607588661319</v>
      </c>
      <c r="N40" s="284">
        <f>'2x5'!S22</f>
        <v>-459.15322001754788</v>
      </c>
      <c r="O40" s="284">
        <f>'2x6'!S22</f>
        <v>-805.13758547025179</v>
      </c>
      <c r="P40" s="284">
        <f>'2x7'!S22</f>
        <v>-1276.5398084939957</v>
      </c>
      <c r="Q40" s="284">
        <f>'2x8'!S22</f>
        <v>-1885.3474501885994</v>
      </c>
      <c r="R40" s="284">
        <f>'2x9'!S22</f>
        <v>-2644.8000408822063</v>
      </c>
      <c r="S40" s="284">
        <f>'2x10'!S22</f>
        <v>-3569.6258536190803</v>
      </c>
      <c r="T40">
        <v>2</v>
      </c>
      <c r="U40" s="284">
        <f>'3x4'!S22</f>
        <v>-69.971321772544641</v>
      </c>
      <c r="V40" s="284">
        <f>'3x5'!S34</f>
        <v>-176.00581451349723</v>
      </c>
      <c r="W40" s="284">
        <f>'3x6'!S34</f>
        <v>-286.46284427211685</v>
      </c>
      <c r="X40" s="284">
        <f>'3x7'!S34</f>
        <v>-433.91336362806589</v>
      </c>
      <c r="Y40" s="284">
        <f>'3x8'!S34</f>
        <v>-623.33477280132274</v>
      </c>
      <c r="Z40" s="284">
        <f>'3x9'!S34</f>
        <v>-859.79864210945084</v>
      </c>
      <c r="AA40" s="284">
        <f>'3x10'!S34</f>
        <v>-1148.455705579524</v>
      </c>
    </row>
    <row r="41" spans="1:27" x14ac:dyDescent="0.2">
      <c r="A41">
        <v>3</v>
      </c>
      <c r="B41" s="1">
        <f>'1x2'!S35</f>
        <v>81.113745879058484</v>
      </c>
      <c r="C41" s="1">
        <f>'1x3'!S35</f>
        <v>196.85084372962663</v>
      </c>
      <c r="D41" s="1">
        <f>'1x4'!S35</f>
        <v>441.3366046819142</v>
      </c>
      <c r="E41" s="1">
        <f>'1x5'!S35</f>
        <v>886.51286634373184</v>
      </c>
      <c r="F41" s="1">
        <f>'1x6'!S35</f>
        <v>1624.3940675993865</v>
      </c>
      <c r="G41" s="1">
        <f>'1x7'!S35</f>
        <v>2765.6784785332238</v>
      </c>
      <c r="H41" s="1">
        <f>'1x8'!S35</f>
        <v>4439.224089229635</v>
      </c>
      <c r="I41" s="1">
        <f>'1x9'!S35</f>
        <v>6791.6753209166518</v>
      </c>
      <c r="J41" s="1">
        <f>'1x10'!S35</f>
        <v>9987.2284423565252</v>
      </c>
      <c r="K41">
        <v>3</v>
      </c>
      <c r="L41" s="284">
        <f>'2x3'!S23</f>
        <v>-364.39031112994439</v>
      </c>
      <c r="M41" s="284">
        <f>'2x4'!S23</f>
        <v>-1286.532457348623</v>
      </c>
      <c r="N41" s="284">
        <f>'2x5'!S23</f>
        <v>-3431.1180646062157</v>
      </c>
      <c r="O41" s="284">
        <f>'2x6'!S23</f>
        <v>-7507.4757157118802</v>
      </c>
      <c r="P41" s="284">
        <f>'2x7'!S23</f>
        <v>-14253.267190308419</v>
      </c>
      <c r="Q41" s="284">
        <f>'2x8'!S23</f>
        <v>-24432.429119132772</v>
      </c>
      <c r="R41" s="284">
        <f>'2x9'!S23</f>
        <v>-38878.072995612762</v>
      </c>
      <c r="S41" s="284">
        <f>'2x10'!S23</f>
        <v>-58529.568151041683</v>
      </c>
      <c r="T41">
        <v>3</v>
      </c>
      <c r="U41" s="284">
        <f>'3x4'!S23</f>
        <v>-239.94094239901028</v>
      </c>
      <c r="V41" s="284">
        <f>'3x5'!S35</f>
        <v>-974.32655197339625</v>
      </c>
      <c r="W41" s="284">
        <f>'3x6'!S35</f>
        <v>-1865.4583529019312</v>
      </c>
      <c r="X41" s="284">
        <f>'3x7'!S35</f>
        <v>-3253.75022260075</v>
      </c>
      <c r="Y41" s="284">
        <f>'3x8'!S35</f>
        <v>-5293.4248342356559</v>
      </c>
      <c r="Z41" s="284">
        <f>'3x9'!S35</f>
        <v>-8159.9900052798066</v>
      </c>
      <c r="AA41" s="284">
        <f>'3x10'!S35</f>
        <v>-12050.583693879978</v>
      </c>
    </row>
    <row r="42" spans="1:27" x14ac:dyDescent="0.2">
      <c r="A42">
        <v>4</v>
      </c>
      <c r="B42" s="1">
        <f>'1x2'!S36</f>
        <v>156.3597486483774</v>
      </c>
      <c r="C42" s="1">
        <f>'1x3'!S36</f>
        <v>534.33499141228299</v>
      </c>
      <c r="D42" s="1">
        <f>'1x4'!S36</f>
        <v>1564.8677655264607</v>
      </c>
      <c r="E42" s="1">
        <f>'1x5'!S36</f>
        <v>3898.327143065977</v>
      </c>
      <c r="F42" s="1">
        <f>'1x6'!S36</f>
        <v>8540.2247274816727</v>
      </c>
      <c r="G42" s="1">
        <f>'1x7'!S36</f>
        <v>16929.139307742182</v>
      </c>
      <c r="H42" s="1">
        <f>'1x8'!S36</f>
        <v>31014.098671264492</v>
      </c>
      <c r="I42" s="1">
        <f>'1x9'!S36</f>
        <v>53330.774147531258</v>
      </c>
      <c r="J42" s="1">
        <f>'1x10'!S36</f>
        <v>87077.075218527854</v>
      </c>
      <c r="K42">
        <v>4</v>
      </c>
      <c r="L42" s="284">
        <f>'2x3'!S24</f>
        <v>-1235.7830339474158</v>
      </c>
      <c r="M42" s="284">
        <f>'2x4'!S24</f>
        <v>-5995.0900550757724</v>
      </c>
      <c r="N42" s="284">
        <f>'2x5'!S24</f>
        <v>-20860.065593174444</v>
      </c>
      <c r="O42" s="284">
        <f>'2x6'!S24</f>
        <v>-56973.507711410901</v>
      </c>
      <c r="P42" s="284">
        <f>'2x7'!S24</f>
        <v>-130017.76256707606</v>
      </c>
      <c r="Q42" s="284">
        <f>'2x8'!S24</f>
        <v>-259870.9471388119</v>
      </c>
      <c r="R42" s="284">
        <f>'2x9'!S24</f>
        <v>-471052.50263004337</v>
      </c>
      <c r="S42" s="284">
        <f>'2x10'!S24</f>
        <v>-793789.82326818269</v>
      </c>
      <c r="T42">
        <v>4</v>
      </c>
      <c r="U42" s="284">
        <f>'3x4'!S24</f>
        <v>-753.78275336398963</v>
      </c>
      <c r="V42" s="284">
        <f>'3x5'!S36</f>
        <v>-4994.6259391520325</v>
      </c>
      <c r="W42" s="284">
        <f>'3x6'!S36</f>
        <v>-11391.116962705444</v>
      </c>
      <c r="X42" s="284">
        <f>'3x7'!S36</f>
        <v>-23085.650364754045</v>
      </c>
      <c r="Y42" s="284">
        <f>'3x8'!S36</f>
        <v>-42817.922041271515</v>
      </c>
      <c r="Z42" s="284">
        <f>'3x9'!S36</f>
        <v>-74140.238458559514</v>
      </c>
      <c r="AA42" s="284">
        <f>'3x10'!S36</f>
        <v>-121528.03107669066</v>
      </c>
    </row>
    <row r="43" spans="1:27" x14ac:dyDescent="0.2">
      <c r="A43">
        <v>5</v>
      </c>
      <c r="B43" s="1">
        <f>'1x2'!S37</f>
        <v>305.64853459536999</v>
      </c>
      <c r="C43" s="1">
        <f>'1x3'!S37</f>
        <v>1492.8032258339206</v>
      </c>
      <c r="D43" s="1">
        <f>'1x4'!S37</f>
        <v>5781.0806548528781</v>
      </c>
      <c r="E43" s="1">
        <f>'1x5'!S37</f>
        <v>17986.621524767732</v>
      </c>
      <c r="F43" s="1">
        <f>'1x6'!S37</f>
        <v>47304.459825525475</v>
      </c>
      <c r="G43" s="1">
        <f>'1x7'!S37</f>
        <v>109449.81557412665</v>
      </c>
      <c r="H43" s="1">
        <f>'1x8'!S37</f>
        <v>229227.85231724125</v>
      </c>
      <c r="I43" s="1">
        <f>'1x9'!S37</f>
        <v>443524.03409352445</v>
      </c>
      <c r="J43" s="1">
        <f>'1x10'!S37</f>
        <v>804712.98451730877</v>
      </c>
      <c r="K43">
        <v>5</v>
      </c>
      <c r="L43" s="284">
        <f>'2x3'!S25</f>
        <v>-3890.32753097655</v>
      </c>
      <c r="M43" s="284">
        <f>'2x4'!S25</f>
        <v>-25581.862455885104</v>
      </c>
      <c r="N43" s="284">
        <f>'2x5'!S25</f>
        <v>-114364.68249196412</v>
      </c>
      <c r="O43" s="284">
        <f>'2x6'!S25</f>
        <v>-385263.12249581167</v>
      </c>
      <c r="P43" s="284">
        <f>'2x7'!S25</f>
        <v>-1048783.9779423412</v>
      </c>
      <c r="Q43" s="284">
        <f>'2x8'!S25</f>
        <v>-2433692.1941810059</v>
      </c>
      <c r="R43" s="284">
        <f>'2x9'!S25</f>
        <v>-5013702.7669036714</v>
      </c>
      <c r="S43" s="284">
        <f>'2x10'!S25</f>
        <v>-9446397.0341824964</v>
      </c>
      <c r="T43">
        <v>5</v>
      </c>
      <c r="U43" s="284">
        <f>'3x4'!S25</f>
        <v>-2299.4081724161642</v>
      </c>
      <c r="V43" s="284">
        <f>'3x5'!S37</f>
        <v>-25123.386717819951</v>
      </c>
      <c r="W43" s="284">
        <f>'3x6'!S37</f>
        <v>-68597.878422161593</v>
      </c>
      <c r="X43" s="284">
        <f>'3x7'!S37</f>
        <v>-162019.21515222741</v>
      </c>
      <c r="Y43" s="284">
        <f>'3x8'!S37</f>
        <v>-343244.13350916171</v>
      </c>
      <c r="Z43" s="284">
        <f>'3x9'!S37</f>
        <v>-668422.8129730681</v>
      </c>
      <c r="AA43" s="284">
        <f>'3x10'!S37</f>
        <v>-1217173.0684310491</v>
      </c>
    </row>
    <row r="44" spans="1:27" x14ac:dyDescent="0.2">
      <c r="A44">
        <v>6</v>
      </c>
      <c r="B44" s="1">
        <f>'1x2'!S38</f>
        <v>597.85652800207026</v>
      </c>
      <c r="C44" s="1">
        <f>'1x3'!S38</f>
        <v>4242.5485036940418</v>
      </c>
      <c r="D44" s="1">
        <f>'1x4'!S38</f>
        <v>21880.125143996418</v>
      </c>
      <c r="E44" s="1">
        <f>'1x5'!S38</f>
        <v>85257.21357166025</v>
      </c>
      <c r="F44" s="1">
        <f>'1x6'!S38</f>
        <v>269496.27370462002</v>
      </c>
      <c r="G44" s="1">
        <f>'1x7'!S38</f>
        <v>728203.04437996412</v>
      </c>
      <c r="H44" s="1">
        <f>'1x8'!S38</f>
        <v>1744050.9037364731</v>
      </c>
      <c r="I44" s="1">
        <f>'1x9'!S38</f>
        <v>3797638.2659841981</v>
      </c>
      <c r="J44" s="1">
        <f>'1x10'!S38</f>
        <v>7657410.0659410292</v>
      </c>
      <c r="K44">
        <v>6</v>
      </c>
      <c r="L44" s="284">
        <f>'2x3'!S26</f>
        <v>-11891.138792143789</v>
      </c>
      <c r="M44" s="284">
        <f>'2x4'!S26</f>
        <v>-105127.33086987839</v>
      </c>
      <c r="N44" s="284">
        <f>'2x5'!S26</f>
        <v>-596444.61725008953</v>
      </c>
      <c r="O44" s="284">
        <f>'2x6'!S26</f>
        <v>-2449702.3576234686</v>
      </c>
      <c r="P44" s="284">
        <f>'2x7'!S26</f>
        <v>-7885009.7257928159</v>
      </c>
      <c r="Q44" s="284">
        <f>'2x8'!S26</f>
        <v>-21116525.067788273</v>
      </c>
      <c r="R44" s="284">
        <f>'2x9'!S26</f>
        <v>-49258943.226943113</v>
      </c>
      <c r="S44" s="284">
        <f>'2x10'!S26</f>
        <v>-103538924.68212898</v>
      </c>
      <c r="T44">
        <v>6</v>
      </c>
      <c r="U44" s="284">
        <f>'3x4'!S26</f>
        <v>-6940.6817139530385</v>
      </c>
      <c r="V44" s="284">
        <f>'3x5'!S38</f>
        <v>-125794.08014256567</v>
      </c>
      <c r="W44" s="284">
        <f>'3x6'!S38</f>
        <v>-411894.92424237513</v>
      </c>
      <c r="X44" s="284">
        <f>'3x7'!S38</f>
        <v>-1134694.50188964</v>
      </c>
      <c r="Y44" s="284">
        <f>'3x8'!S38</f>
        <v>-2747006.7505351133</v>
      </c>
      <c r="Z44" s="284">
        <f>'3x9'!S38</f>
        <v>-6017795.9327214994</v>
      </c>
      <c r="AA44" s="284">
        <f>'3x10'!S38</f>
        <v>-12175422.437579066</v>
      </c>
    </row>
    <row r="45" spans="1:27" x14ac:dyDescent="0.2">
      <c r="A45">
        <v>7</v>
      </c>
      <c r="B45" s="1">
        <f>'1x2'!S39</f>
        <v>1169.4359177614911</v>
      </c>
      <c r="C45" s="1">
        <f>'1x3'!S39</f>
        <v>12207.270787148464</v>
      </c>
      <c r="D45" s="1">
        <f>'1x4'!S39</f>
        <v>84114.803675838441</v>
      </c>
      <c r="E45" s="1">
        <f>'1x5'!S39</f>
        <v>410801.02963023528</v>
      </c>
      <c r="F45" s="1">
        <f>'1x6'!S39</f>
        <v>1560961.7216186651</v>
      </c>
      <c r="G45" s="1">
        <f>'1x7'!S39</f>
        <v>4925890.0404969938</v>
      </c>
      <c r="H45" s="1">
        <f>'1x8'!S39</f>
        <v>13490848.483625114</v>
      </c>
      <c r="I45" s="1">
        <f>'1x9'!S39</f>
        <v>33059171.30041521</v>
      </c>
      <c r="J45" s="1">
        <f>'1x10'!S39</f>
        <v>74079919.859265774</v>
      </c>
      <c r="K45">
        <v>7</v>
      </c>
      <c r="L45" s="284">
        <f>'2x3'!S27</f>
        <v>-35930.580412933945</v>
      </c>
      <c r="M45" s="284">
        <f>'2x4'!S27</f>
        <v>-425259.88291556307</v>
      </c>
      <c r="N45" s="284">
        <f>'2x5'!S27</f>
        <v>-3039370.9219719339</v>
      </c>
      <c r="O45" s="284">
        <f>'2x6'!S27</f>
        <v>-15105438.989232279</v>
      </c>
      <c r="P45" s="284">
        <f>'2x7'!S27</f>
        <v>-57135481.099871062</v>
      </c>
      <c r="Q45" s="284">
        <f>'2x8'!S27</f>
        <v>-175815664.63454211</v>
      </c>
      <c r="R45" s="284">
        <f>'2x9'!S27</f>
        <v>-463069414.72996724</v>
      </c>
      <c r="S45" s="284">
        <f>'2x10'!S27</f>
        <v>-1083953102.1134834</v>
      </c>
      <c r="T45">
        <v>7</v>
      </c>
      <c r="U45" s="284">
        <f>'3x4'!S27</f>
        <v>-20869.122929671139</v>
      </c>
      <c r="V45" s="284">
        <f>'3x5'!S39</f>
        <v>-629174.37178057665</v>
      </c>
      <c r="W45" s="284">
        <f>'3x6'!S39</f>
        <v>-2471739.0804449962</v>
      </c>
      <c r="X45" s="284">
        <f>'3x7'!S39</f>
        <v>-7943608.917420256</v>
      </c>
      <c r="Y45" s="284">
        <f>'3x8'!S39</f>
        <v>-21977678.159698114</v>
      </c>
      <c r="Z45" s="284">
        <f>'3x9'!S39</f>
        <v>-54163720.853925355</v>
      </c>
      <c r="AA45" s="284">
        <f>'3x10'!S39</f>
        <v>-121761772.9908406</v>
      </c>
    </row>
    <row r="46" spans="1:27" x14ac:dyDescent="0.2">
      <c r="A46">
        <v>8</v>
      </c>
      <c r="B46" s="1">
        <f>'1x2'!S40</f>
        <v>2289.8973632349298</v>
      </c>
      <c r="C46" s="1">
        <f>'1x3'!S40</f>
        <v>35448.345984017673</v>
      </c>
      <c r="D46" s="1">
        <f>'1x4'!S40</f>
        <v>326751.46197884984</v>
      </c>
      <c r="E46" s="1">
        <f>'1x5'!S40</f>
        <v>2000220.4259250986</v>
      </c>
      <c r="F46" s="1">
        <f>'1x6'!S40</f>
        <v>9135466.0449926741</v>
      </c>
      <c r="G46" s="1">
        <f>'1x7'!S40</f>
        <v>33664657.160041034</v>
      </c>
      <c r="H46" s="1">
        <f>'1x8'!S40</f>
        <v>105426256.91855609</v>
      </c>
      <c r="I46" s="1">
        <f>'1x9'!S40</f>
        <v>290725220.01063788</v>
      </c>
      <c r="J46" s="1">
        <f>'1x10'!S40</f>
        <v>723971451.70709336</v>
      </c>
      <c r="K46">
        <v>8</v>
      </c>
      <c r="L46" s="284">
        <f>'2x3'!S28</f>
        <v>-108087.79415978062</v>
      </c>
      <c r="M46" s="284">
        <f>'2x4'!S28</f>
        <v>-1709025.5048936978</v>
      </c>
      <c r="N46" s="284">
        <f>'2x5'!S28</f>
        <v>-15326314.898801783</v>
      </c>
      <c r="O46" s="284">
        <f>'2x6'!S28</f>
        <v>-91787733.104356229</v>
      </c>
      <c r="P46" s="284">
        <f>'2x7'!S28</f>
        <v>-406541562.20148641</v>
      </c>
      <c r="Q46" s="284">
        <f>'2x8'!S28</f>
        <v>-1433702516.7496758</v>
      </c>
      <c r="R46" s="284">
        <f>'2x9'!S28</f>
        <v>-4256196454.0281796</v>
      </c>
      <c r="S46" s="284">
        <f>'2x10'!S28</f>
        <v>-11083135337.755833</v>
      </c>
      <c r="T46">
        <v>8</v>
      </c>
      <c r="U46" s="284">
        <f>'3x4'!S28</f>
        <v>-62659.210943246711</v>
      </c>
      <c r="V46" s="284">
        <f>'3x5'!S40</f>
        <v>-3146102.6729544983</v>
      </c>
      <c r="W46" s="284">
        <f>'3x6'!S40</f>
        <v>-14830873.047950042</v>
      </c>
      <c r="X46" s="284">
        <f>'3x7'!S40</f>
        <v>-55606269.364600174</v>
      </c>
      <c r="Y46" s="284">
        <f>'3x8'!S40</f>
        <v>-175824002.69741312</v>
      </c>
      <c r="Z46" s="284">
        <f>'3x9'!S40</f>
        <v>-487480076.04710442</v>
      </c>
      <c r="AA46" s="284">
        <f>'3x10'!S40</f>
        <v>-1217633688.4704173</v>
      </c>
    </row>
    <row r="47" spans="1:27" x14ac:dyDescent="0.2">
      <c r="A47">
        <v>9</v>
      </c>
      <c r="B47" s="1">
        <f>'1x2'!S41</f>
        <v>4492.2716344328292</v>
      </c>
      <c r="C47" s="1">
        <f>'1x3'!S41</f>
        <v>103640.83450392107</v>
      </c>
      <c r="D47" s="1">
        <f>'1x4'!S41</f>
        <v>1278389.2650839607</v>
      </c>
      <c r="E47" s="1">
        <f>'1x5'!S41</f>
        <v>9807429.1962205246</v>
      </c>
      <c r="F47" s="1">
        <f>'1x6'!S41</f>
        <v>53830908.103574418</v>
      </c>
      <c r="G47" s="1">
        <f>'1x7'!S41</f>
        <v>231622378.06825441</v>
      </c>
      <c r="H47" s="1">
        <f>'1x8'!S41</f>
        <v>829368207.55232763</v>
      </c>
      <c r="I47" s="1">
        <f>'1x9'!S41</f>
        <v>2573630839.5269871</v>
      </c>
      <c r="J47" s="1">
        <f>'1x10'!S41</f>
        <v>7122062678.9426451</v>
      </c>
      <c r="K47">
        <v>9</v>
      </c>
      <c r="L47" s="284">
        <f>'2x3'!S29</f>
        <v>-324601.53945481515</v>
      </c>
      <c r="M47" s="284">
        <f>'2x4'!S29</f>
        <v>-6849511.3405816946</v>
      </c>
      <c r="N47" s="284">
        <f>'2x5'!S29</f>
        <v>-76921712.956787869</v>
      </c>
      <c r="O47" s="284">
        <f>'2x6'!S29</f>
        <v>-553942402.46182919</v>
      </c>
      <c r="P47" s="284">
        <f>'2x7'!S29</f>
        <v>-2867651347.6290927</v>
      </c>
      <c r="Q47" s="284">
        <f>'2x8'!S29</f>
        <v>-11573891434.286816</v>
      </c>
      <c r="R47" s="284">
        <f>'2x9'!S29</f>
        <v>-38690934211.012352</v>
      </c>
      <c r="S47" s="284">
        <f>'2x10'!S29</f>
        <v>-112013590261.28374</v>
      </c>
      <c r="T47">
        <v>9</v>
      </c>
      <c r="U47" s="284">
        <f>'3x4'!S29</f>
        <v>-188034.32756669528</v>
      </c>
      <c r="V47" s="284">
        <f>'3x5'!S41</f>
        <v>-15730771.062932124</v>
      </c>
      <c r="W47" s="284">
        <f>'3x6'!S41</f>
        <v>-88985755.13930136</v>
      </c>
      <c r="X47" s="284">
        <f>'3x7'!S41</f>
        <v>-389245262.09845722</v>
      </c>
      <c r="Y47" s="284">
        <f>'3x8'!S41</f>
        <v>-1406596224.8921835</v>
      </c>
      <c r="Z47" s="284">
        <f>'3x9'!S41</f>
        <v>-4387333210.778326</v>
      </c>
      <c r="AA47" s="284">
        <f>'3x10'!S41</f>
        <v>-12176371324.151295</v>
      </c>
    </row>
    <row r="48" spans="1:27" x14ac:dyDescent="0.2">
      <c r="A48">
        <v>10</v>
      </c>
      <c r="B48" s="1">
        <f>'1x2'!S42</f>
        <v>8832.4570809172601</v>
      </c>
      <c r="C48" s="1">
        <f>'1x3'!S42</f>
        <v>304555.40677191439</v>
      </c>
      <c r="D48" s="1">
        <f>'1x4'!S42</f>
        <v>5026856.9376995517</v>
      </c>
      <c r="E48" s="1">
        <f>'1x5'!S42</f>
        <v>48320522.390335672</v>
      </c>
      <c r="F48" s="1">
        <f>'1x6'!S42</f>
        <v>318687512.49790817</v>
      </c>
      <c r="G48" s="1">
        <f>'1x7'!S42</f>
        <v>1600948121.5497253</v>
      </c>
      <c r="H48" s="1">
        <f>'1x8'!S42</f>
        <v>6554076978.1059818</v>
      </c>
      <c r="I48" s="1">
        <f>'1x9'!S42</f>
        <v>22885528484.109531</v>
      </c>
      <c r="J48" s="1">
        <f>'1x10'!S42</f>
        <v>70377369732.919983</v>
      </c>
      <c r="K48">
        <v>10</v>
      </c>
      <c r="L48" s="284">
        <f>'2x3'!S30</f>
        <v>-974189.08809392655</v>
      </c>
      <c r="M48" s="284">
        <f>'2x4'!S30</f>
        <v>-27420593.927168254</v>
      </c>
      <c r="N48" s="284">
        <f>'2x5'!S30</f>
        <v>-385255791.67047036</v>
      </c>
      <c r="O48" s="284">
        <f>'2x6'!S30</f>
        <v>-3332530418.3160925</v>
      </c>
      <c r="P48" s="284">
        <f>'2x7'!S30</f>
        <v>-20145194201.194332</v>
      </c>
      <c r="Q48" s="284">
        <f>'2x8'!S30</f>
        <v>-92985678509.394821</v>
      </c>
      <c r="R48" s="284">
        <f>'2x9'!S30</f>
        <v>-349867925456.12848</v>
      </c>
      <c r="S48" s="284">
        <f>'2x10'!S30</f>
        <v>-1125781276555.6599</v>
      </c>
      <c r="T48">
        <v>10</v>
      </c>
      <c r="U48" s="284">
        <f>'3x4'!S30</f>
        <v>-564164.58323317976</v>
      </c>
      <c r="V48" s="284">
        <f>'3x5'!S42</f>
        <v>-78654139.945248842</v>
      </c>
      <c r="W48" s="284">
        <f>'3x6'!S42</f>
        <v>-533915137.90535933</v>
      </c>
      <c r="X48" s="284">
        <f>'3x7'!S42</f>
        <v>-2724718748.6609216</v>
      </c>
      <c r="Y48" s="284">
        <f>'3x8'!S42</f>
        <v>-11252776809.980251</v>
      </c>
      <c r="Z48" s="284">
        <f>'3x9'!S42</f>
        <v>-39486023133.208641</v>
      </c>
      <c r="AA48" s="284">
        <f>'3x10'!S42</f>
        <v>-121763788436.62379</v>
      </c>
    </row>
    <row r="49" spans="1:27" x14ac:dyDescent="0.2">
      <c r="B49" s="357" t="s">
        <v>157</v>
      </c>
      <c r="C49" s="357"/>
      <c r="D49" s="357"/>
      <c r="E49" s="357"/>
      <c r="F49" s="357"/>
      <c r="G49" s="357"/>
      <c r="H49" s="357"/>
      <c r="I49" s="357"/>
      <c r="J49" s="357"/>
      <c r="L49" s="357" t="s">
        <v>174</v>
      </c>
      <c r="M49" s="357"/>
      <c r="N49" s="357"/>
      <c r="O49" s="357"/>
      <c r="P49" s="357"/>
      <c r="Q49" s="357"/>
      <c r="R49" s="357"/>
      <c r="S49" s="357"/>
      <c r="U49" s="357" t="s">
        <v>157</v>
      </c>
      <c r="V49" s="357"/>
      <c r="W49" s="357"/>
      <c r="X49" s="357"/>
      <c r="Y49" s="357"/>
      <c r="Z49" s="357"/>
      <c r="AA49" s="357"/>
    </row>
    <row r="50" spans="1:27" x14ac:dyDescent="0.2">
      <c r="A50" s="279" t="s">
        <v>57</v>
      </c>
      <c r="B50" s="280" t="s">
        <v>142</v>
      </c>
      <c r="C50" s="280" t="s">
        <v>143</v>
      </c>
      <c r="D50" s="280" t="s">
        <v>144</v>
      </c>
      <c r="E50" s="280" t="s">
        <v>145</v>
      </c>
      <c r="F50" s="280" t="s">
        <v>146</v>
      </c>
      <c r="G50" s="280" t="s">
        <v>147</v>
      </c>
      <c r="H50" s="280" t="s">
        <v>148</v>
      </c>
      <c r="I50" s="280" t="s">
        <v>149</v>
      </c>
      <c r="J50" s="280" t="s">
        <v>150</v>
      </c>
      <c r="K50" s="279" t="s">
        <v>57</v>
      </c>
      <c r="L50" s="280" t="s">
        <v>165</v>
      </c>
      <c r="M50" s="280" t="s">
        <v>166</v>
      </c>
      <c r="N50" s="280" t="s">
        <v>167</v>
      </c>
      <c r="O50" s="280" t="s">
        <v>168</v>
      </c>
      <c r="P50" s="280" t="s">
        <v>169</v>
      </c>
      <c r="Q50" s="280" t="s">
        <v>170</v>
      </c>
      <c r="R50" s="280" t="s">
        <v>171</v>
      </c>
      <c r="S50" s="280" t="s">
        <v>172</v>
      </c>
      <c r="T50" s="279" t="s">
        <v>57</v>
      </c>
      <c r="U50" s="280" t="s">
        <v>176</v>
      </c>
      <c r="V50" s="280" t="s">
        <v>177</v>
      </c>
      <c r="W50" s="280" t="s">
        <v>178</v>
      </c>
      <c r="X50" s="280" t="s">
        <v>179</v>
      </c>
      <c r="Y50" s="280" t="s">
        <v>180</v>
      </c>
      <c r="Z50" s="280" t="s">
        <v>181</v>
      </c>
      <c r="AA50" s="280" t="s">
        <v>182</v>
      </c>
    </row>
    <row r="51" spans="1:27" x14ac:dyDescent="0.2">
      <c r="A51" s="279">
        <v>1</v>
      </c>
      <c r="B51" s="1">
        <f>'1x2'!S45</f>
        <v>-50.107986626434226</v>
      </c>
      <c r="C51" s="1">
        <f>'1x3'!S45</f>
        <v>180.81302430490689</v>
      </c>
      <c r="D51" s="1">
        <f>'1x4'!S45</f>
        <v>126.61829499950055</v>
      </c>
      <c r="E51" s="1">
        <f>'1x5'!S45</f>
        <v>145.57801462857782</v>
      </c>
      <c r="F51" s="1">
        <f>'1x6'!S45</f>
        <v>180.85731055876883</v>
      </c>
      <c r="G51" s="1">
        <f>'1x7'!S45</f>
        <v>226.99434234786634</v>
      </c>
      <c r="H51" s="1">
        <f>'1x8'!S45</f>
        <v>282.58026751175981</v>
      </c>
      <c r="I51" s="1">
        <f>'1x9'!S45</f>
        <v>347.0283581890863</v>
      </c>
      <c r="J51" s="1">
        <f>'1x10'!S45</f>
        <v>419.99002748793157</v>
      </c>
      <c r="K51" s="279">
        <v>1</v>
      </c>
      <c r="L51" s="1">
        <f>'2x3'!S45</f>
        <v>-13.555978618616647</v>
      </c>
      <c r="M51" s="1">
        <f>'2x4'!S45</f>
        <v>-24.696014137688856</v>
      </c>
      <c r="N51" s="1">
        <f>'2x5'!S45</f>
        <v>-39.017550358930976</v>
      </c>
      <c r="O51" s="1">
        <f>'2x6'!S45</f>
        <v>-56.284233293643283</v>
      </c>
      <c r="P51" s="1">
        <f>'2x7'!S45</f>
        <v>-76.342448003772205</v>
      </c>
      <c r="Q51" s="1">
        <f>'2x8'!S45</f>
        <v>-99.117545597005602</v>
      </c>
      <c r="R51" s="1">
        <f>'2x9'!S45</f>
        <v>-124.58630474787549</v>
      </c>
      <c r="S51" s="1">
        <f>'2x10'!S45</f>
        <v>-152.75236398581566</v>
      </c>
      <c r="T51" s="279">
        <v>1</v>
      </c>
      <c r="U51" s="284">
        <f>'3x4'!S45</f>
        <v>-14.971996796076819</v>
      </c>
      <c r="V51" s="284">
        <f>'3x5'!S45</f>
        <v>-22.926793536140366</v>
      </c>
      <c r="W51" s="284">
        <f>'3x6'!S45</f>
        <v>-32.476529975405079</v>
      </c>
      <c r="X51" s="284">
        <f>'3x7'!S45</f>
        <v>-43.591443761815199</v>
      </c>
      <c r="Y51" s="284">
        <f>'3x8'!S45</f>
        <v>-56.258204303677068</v>
      </c>
      <c r="Z51" s="284">
        <f>'3x9'!S45</f>
        <v>-70.473414764277052</v>
      </c>
      <c r="AA51" s="284">
        <f>'3x10'!S21</f>
        <v>-86.238667526259931</v>
      </c>
    </row>
    <row r="52" spans="1:27" x14ac:dyDescent="0.2">
      <c r="A52">
        <v>2</v>
      </c>
      <c r="B52" s="1">
        <f>'1x2'!S46</f>
        <v>63.489595339039923</v>
      </c>
      <c r="C52" s="1">
        <f>'1x3'!S46</f>
        <v>119.34045045770303</v>
      </c>
      <c r="D52" s="1">
        <f>'1x4'!S46</f>
        <v>220.35948611300452</v>
      </c>
      <c r="E52" s="1">
        <f>'1x5'!S46</f>
        <v>375.91535375474712</v>
      </c>
      <c r="F52" s="1">
        <f>'1x6'!S46</f>
        <v>598.13891882133464</v>
      </c>
      <c r="G52" s="1">
        <f>'1x7'!S46</f>
        <v>899.55353711327177</v>
      </c>
      <c r="H52" s="1">
        <f>'1x8'!S46</f>
        <v>1292.6472938279214</v>
      </c>
      <c r="I52" s="1">
        <f>'1x9'!S46</f>
        <v>1789.7512763563725</v>
      </c>
      <c r="J52" s="1">
        <f>'1x10'!S46</f>
        <v>2403.0298009250578</v>
      </c>
      <c r="K52">
        <v>2</v>
      </c>
      <c r="L52" s="1">
        <f>'2x3'!S46</f>
        <v>-148.82517324270532</v>
      </c>
      <c r="M52" s="1">
        <f>'2x4'!S46</f>
        <v>-387.59327294847975</v>
      </c>
      <c r="N52" s="1">
        <f>'2x5'!S46</f>
        <v>-803.51813503070878</v>
      </c>
      <c r="O52" s="1">
        <f>'2x6'!S46</f>
        <v>-1431.3557075026699</v>
      </c>
      <c r="P52" s="1">
        <f>'2x7'!S46</f>
        <v>-2297.771655289192</v>
      </c>
      <c r="Q52" s="1">
        <f>'2x8'!S46</f>
        <v>-3427.9044548883626</v>
      </c>
      <c r="R52" s="1">
        <f>'2x9'!S46</f>
        <v>-4848.8000749507119</v>
      </c>
      <c r="S52" s="1">
        <f>'2x10'!S46</f>
        <v>-6590.0784989890708</v>
      </c>
      <c r="T52">
        <v>2</v>
      </c>
      <c r="U52" s="284">
        <f>'3x4'!S46</f>
        <v>-156.21504395730895</v>
      </c>
      <c r="V52" s="284">
        <f>'3x5'!S46</f>
        <v>-293.34302418916207</v>
      </c>
      <c r="W52" s="284">
        <f>'3x6'!S46</f>
        <v>-491.0791616093432</v>
      </c>
      <c r="X52" s="284">
        <f>'3x7'!S46</f>
        <v>-759.34838634911523</v>
      </c>
      <c r="Y52" s="284">
        <f>'3x8'!S46</f>
        <v>-1108.1507072023517</v>
      </c>
      <c r="Z52" s="284">
        <f>'3x9'!S46</f>
        <v>-1547.6375557970116</v>
      </c>
      <c r="AA52" s="284">
        <f>'3x10'!S22</f>
        <v>-1131.0548615555917</v>
      </c>
    </row>
    <row r="53" spans="1:27" x14ac:dyDescent="0.2">
      <c r="A53">
        <v>3</v>
      </c>
      <c r="B53" s="1">
        <f>'1x2'!S47</f>
        <v>169.6014686562132</v>
      </c>
      <c r="C53" s="1">
        <f>'1x3'!S47</f>
        <v>513.99942529402506</v>
      </c>
      <c r="D53" s="1">
        <f>'1x4'!S47</f>
        <v>1291.3182136989342</v>
      </c>
      <c r="E53" s="1">
        <f>'1x5'!S47</f>
        <v>2776.1850288132655</v>
      </c>
      <c r="F53" s="1">
        <f>'1x6'!S47</f>
        <v>5319.0942997862267</v>
      </c>
      <c r="G53" s="1">
        <f>'1x7'!S47</f>
        <v>9344.6409198925594</v>
      </c>
      <c r="H53" s="1">
        <f>'1x8'!S47</f>
        <v>15350.088115769942</v>
      </c>
      <c r="I53" s="1">
        <f>'1x9'!S47</f>
        <v>23904.03372753998</v>
      </c>
      <c r="J53" s="1">
        <f>'1x10'!S47</f>
        <v>35645.473871500115</v>
      </c>
      <c r="K53">
        <v>3</v>
      </c>
      <c r="L53" s="1">
        <f>'2x3'!S47</f>
        <v>-1104.9254595553152</v>
      </c>
      <c r="M53" s="1">
        <f>'2x4'!S47</f>
        <v>-4131.5473223797244</v>
      </c>
      <c r="N53" s="1">
        <f>'2x5'!S47</f>
        <v>-11447.749056676814</v>
      </c>
      <c r="O53" s="1">
        <f>'2x6'!S47</f>
        <v>-25736.771588466825</v>
      </c>
      <c r="P53" s="1">
        <f>'2x7'!S47</f>
        <v>-49858.487583353373</v>
      </c>
      <c r="Q53" s="1">
        <f>'2x8'!S47</f>
        <v>-86807.378837303913</v>
      </c>
      <c r="R53" s="1">
        <f>'2x9'!S47</f>
        <v>-139851.98602630242</v>
      </c>
      <c r="S53" s="1">
        <f>'2x10'!S47</f>
        <v>-212670.64304091819</v>
      </c>
      <c r="T53">
        <v>3</v>
      </c>
      <c r="U53" s="284">
        <f>'3x4'!S47</f>
        <v>-1307.2644447946077</v>
      </c>
      <c r="V53" s="284">
        <f>'3x5'!S47</f>
        <v>-3051.1805180219512</v>
      </c>
      <c r="W53" s="284">
        <f>'3x6'!S47</f>
        <v>-6108.4616653847552</v>
      </c>
      <c r="X53" s="284">
        <f>'3x7'!S47</f>
        <v>-10993.731812726777</v>
      </c>
      <c r="Y53" s="284">
        <f>'3x8'!S47</f>
        <v>-18303.77020994739</v>
      </c>
      <c r="Z53" s="284">
        <f>'3x9'!S47</f>
        <v>-28719.964822504415</v>
      </c>
      <c r="AA53" s="284">
        <f>'3x10'!S23</f>
        <v>-11836.826111726898</v>
      </c>
    </row>
    <row r="54" spans="1:27" x14ac:dyDescent="0.2">
      <c r="A54">
        <v>4</v>
      </c>
      <c r="B54" s="1">
        <f>'1x2'!S48</f>
        <v>565.30062972874907</v>
      </c>
      <c r="C54" s="1">
        <f>'1x3'!S48</f>
        <v>2621.005259599905</v>
      </c>
      <c r="D54" s="1">
        <f>'1x4'!S48</f>
        <v>8869.4469424660474</v>
      </c>
      <c r="E54" s="1">
        <f>'1x5'!S48</f>
        <v>23972.702482874796</v>
      </c>
      <c r="F54" s="1">
        <f>'1x6'!S48</f>
        <v>55295.003419869812</v>
      </c>
      <c r="G54" s="1">
        <f>'1x7'!S48</f>
        <v>113536.03566850055</v>
      </c>
      <c r="H54" s="1">
        <f>'1x8'!S48</f>
        <v>213353.47519064485</v>
      </c>
      <c r="I54" s="1">
        <f>'1x9'!S48</f>
        <v>373974.82339853427</v>
      </c>
      <c r="J54" s="1">
        <f>'1x10'!S48</f>
        <v>619803.51064267894</v>
      </c>
      <c r="K54">
        <v>4</v>
      </c>
      <c r="L54" s="1">
        <f>'2x3'!S48</f>
        <v>-7175.1076154701996</v>
      </c>
      <c r="M54" s="1">
        <f>'2x4'!S48</f>
        <v>-37605.564890929847</v>
      </c>
      <c r="N54" s="1">
        <f>'2x5'!S48</f>
        <v>-137239.29183450612</v>
      </c>
      <c r="O54" s="1">
        <f>'2x6'!S48</f>
        <v>-387078.23179174238</v>
      </c>
      <c r="P54" s="1">
        <f>'2x7'!S48</f>
        <v>-903977.78078477073</v>
      </c>
      <c r="Q54" s="1">
        <f>'2x8'!S48</f>
        <v>-1838478.0416980812</v>
      </c>
      <c r="R54" s="1">
        <f>'2x9'!S48</f>
        <v>-3377931.2893791948</v>
      </c>
      <c r="S54" s="1">
        <f>'2x10'!S48</f>
        <v>-5754380.6380946338</v>
      </c>
      <c r="T54">
        <v>4</v>
      </c>
      <c r="U54" s="284">
        <f>'3x4'!S48</f>
        <v>-10539.676031618075</v>
      </c>
      <c r="V54" s="284">
        <f>'3x5'!S48</f>
        <v>-30714.37497633183</v>
      </c>
      <c r="W54" s="284">
        <f>'3x6'!S48</f>
        <v>-73753.545311526032</v>
      </c>
      <c r="X54" s="284">
        <f>'3x7'!S48</f>
        <v>-154824.95451169007</v>
      </c>
      <c r="Y54" s="284">
        <f>'3x8'!S48</f>
        <v>-294554.82697653148</v>
      </c>
      <c r="Z54" s="284">
        <f>'3x9'!S48</f>
        <v>-519898.37063988141</v>
      </c>
      <c r="AA54" s="284">
        <f>'3x10'!S24</f>
        <v>-119325.59291219487</v>
      </c>
    </row>
    <row r="55" spans="1:27" x14ac:dyDescent="0.2">
      <c r="A55">
        <v>5</v>
      </c>
      <c r="B55" s="1">
        <f>'1x2'!S49</f>
        <v>2028.7198056476313</v>
      </c>
      <c r="C55" s="1">
        <f>'1x3'!S49</f>
        <v>14260.85763226818</v>
      </c>
      <c r="D55" s="1">
        <f>'1x4'!S49</f>
        <v>64852.749827442291</v>
      </c>
      <c r="E55" s="1">
        <f>'1x5'!S49</f>
        <v>220150.09819084086</v>
      </c>
      <c r="F55" s="1">
        <f>'1x6'!S49</f>
        <v>611015.63745682756</v>
      </c>
      <c r="G55" s="1">
        <f>'1x7'!S49</f>
        <v>1465947.4456641711</v>
      </c>
      <c r="H55" s="1">
        <f>'1x8'!S49</f>
        <v>3151055.6425649477</v>
      </c>
      <c r="I55" s="1">
        <f>'1x9'!S49</f>
        <v>6216782.8521561008</v>
      </c>
      <c r="J55" s="1">
        <f>'1x10'!S49</f>
        <v>11451327.39992002</v>
      </c>
      <c r="K55">
        <v>5</v>
      </c>
      <c r="L55" s="1">
        <f>'2x3'!S49</f>
        <v>-44349.733853132668</v>
      </c>
      <c r="M55" s="1">
        <f>'2x4'!S49</f>
        <v>-318476.01329817961</v>
      </c>
      <c r="N55" s="1">
        <f>'2x5'!S49</f>
        <v>-1499220.0651390727</v>
      </c>
      <c r="O55" s="1">
        <f>'2x6'!S49</f>
        <v>-5224428.191162142</v>
      </c>
      <c r="P55" s="1">
        <f>'2x7'!S49</f>
        <v>-14566629.079451516</v>
      </c>
      <c r="Q55" s="1">
        <f>'2x8'!S49</f>
        <v>-34409407.432586119</v>
      </c>
      <c r="R55" s="1">
        <f>'2x9'!S49</f>
        <v>-71872212.844101563</v>
      </c>
      <c r="S55" s="1">
        <f>'2x10'!S49</f>
        <v>-136913631.54974982</v>
      </c>
      <c r="T55">
        <v>5</v>
      </c>
      <c r="U55" s="284">
        <f>'3x4'!S49</f>
        <v>-84430.147764338602</v>
      </c>
      <c r="V55" s="284">
        <f>'3x5'!S49</f>
        <v>-307501.66423407593</v>
      </c>
      <c r="W55" s="284">
        <f>'3x6'!S49</f>
        <v>-886055.49174215563</v>
      </c>
      <c r="X55" s="284">
        <f>'3x7'!S49</f>
        <v>-2170050.7520733369</v>
      </c>
      <c r="Y55" s="284">
        <f>'3x8'!S49</f>
        <v>-4718368.0025693355</v>
      </c>
      <c r="Z55" s="284">
        <f>'3x9'!S49</f>
        <v>-9369141.6073399764</v>
      </c>
      <c r="AA55" s="284">
        <f>'3x10'!S25</f>
        <v>-1195051.6123178797</v>
      </c>
    </row>
    <row r="56" spans="1:27" x14ac:dyDescent="0.2">
      <c r="A56">
        <v>6</v>
      </c>
      <c r="B56" s="1">
        <f>'1x2'!S50</f>
        <v>7552.9208037594872</v>
      </c>
      <c r="C56" s="1">
        <f>'1x3'!S50</f>
        <v>80190.417251682869</v>
      </c>
      <c r="D56" s="1">
        <f>'1x4'!S50</f>
        <v>489334.9175768228</v>
      </c>
      <c r="E56" s="1">
        <f>'1x5'!S50</f>
        <v>2084548.4787657254</v>
      </c>
      <c r="F56" s="1">
        <f>'1x6'!S50</f>
        <v>6958362.701380928</v>
      </c>
      <c r="G56" s="1">
        <f>'1x7'!S50</f>
        <v>19501826.665217433</v>
      </c>
      <c r="H56" s="1">
        <f>'1x8'!S50</f>
        <v>47942287.747658089</v>
      </c>
      <c r="I56" s="1">
        <f>'1x9'!S50</f>
        <v>106453096.13945606</v>
      </c>
      <c r="J56" s="1">
        <f>'1x10'!S50</f>
        <v>217924593.73148903</v>
      </c>
      <c r="K56">
        <v>6</v>
      </c>
      <c r="L56" s="1">
        <f>'2x3'!S50</f>
        <v>-269117.31641271838</v>
      </c>
      <c r="M56" s="1">
        <f>'2x4'!S50</f>
        <v>-2611381.3962853518</v>
      </c>
      <c r="N56" s="1">
        <f>'2x5'!S50</f>
        <v>-15623419.022660872</v>
      </c>
      <c r="O56" s="1">
        <f>'2x6'!S50</f>
        <v>-66411804.39944154</v>
      </c>
      <c r="P56" s="1">
        <f>'2x7'!S50</f>
        <v>-218985360.8906194</v>
      </c>
      <c r="Q56" s="1">
        <f>'2x8'!S50</f>
        <v>-597055587.18359518</v>
      </c>
      <c r="R56" s="1">
        <f>'2x9'!S50</f>
        <v>-1412176037.0483925</v>
      </c>
      <c r="S56" s="1">
        <f>'2x10'!S50</f>
        <v>-3001210997.718606</v>
      </c>
      <c r="T56">
        <v>6</v>
      </c>
      <c r="U56" s="284">
        <f>'3x4'!S50</f>
        <v>-675597.35072680924</v>
      </c>
      <c r="V56" s="284">
        <f>'3x5'!S50</f>
        <v>-3075679.434192569</v>
      </c>
      <c r="W56" s="284">
        <f>'3x6'!S50</f>
        <v>-10635079.432963351</v>
      </c>
      <c r="X56" s="284">
        <f>'3x7'!S50</f>
        <v>-30387974.431868281</v>
      </c>
      <c r="Y56" s="284">
        <f>'3x8'!S50</f>
        <v>-75512582.687100977</v>
      </c>
      <c r="Z56" s="284">
        <f>'3x9'!S50</f>
        <v>-168687211.39442378</v>
      </c>
      <c r="AA56" s="284">
        <f>'3x10'!S26</f>
        <v>-11954061.879247038</v>
      </c>
    </row>
    <row r="57" spans="1:27" x14ac:dyDescent="0.2">
      <c r="A57">
        <v>7</v>
      </c>
      <c r="B57" s="1">
        <f>'1x2'!S51</f>
        <v>28724.565639914843</v>
      </c>
      <c r="C57" s="1">
        <f>'1x3'!S51</f>
        <v>459526.14390375186</v>
      </c>
      <c r="D57" s="1">
        <f>'1x4'!S51</f>
        <v>3758781.9203580967</v>
      </c>
      <c r="E57" s="1">
        <f>'1x5'!S51</f>
        <v>20082586.874330953</v>
      </c>
      <c r="F57" s="1">
        <f>'1x6'!S51</f>
        <v>80599427.249251097</v>
      </c>
      <c r="G57" s="1">
        <f>'1x7'!S51</f>
        <v>263826735.56630886</v>
      </c>
      <c r="H57" s="1">
        <f>'1x8'!S51</f>
        <v>741686048.45945966</v>
      </c>
      <c r="I57" s="1">
        <f>'1x9'!S51</f>
        <v>1853370336.8312185</v>
      </c>
      <c r="J57" s="1">
        <f>'1x10'!S51</f>
        <v>4216503000.860641</v>
      </c>
      <c r="K57">
        <v>7</v>
      </c>
      <c r="L57" s="1">
        <f>'2x3'!S51</f>
        <v>-1621681.7843389791</v>
      </c>
      <c r="M57" s="1">
        <f>'2x4'!S51</f>
        <v>-21112525.959848356</v>
      </c>
      <c r="N57" s="1">
        <f>'2x5'!S51</f>
        <v>-159193805.08427191</v>
      </c>
      <c r="O57" s="1">
        <f>'2x6'!S51</f>
        <v>-818955096.67078578</v>
      </c>
      <c r="P57" s="1">
        <f>'2x7'!S51</f>
        <v>-3173463762.619143</v>
      </c>
      <c r="Q57" s="1">
        <f>'2x8'!S51</f>
        <v>-9941973804.8633099</v>
      </c>
      <c r="R57" s="1">
        <f>'2x9'!S51</f>
        <v>-26550706188.190224</v>
      </c>
      <c r="S57" s="1">
        <f>'2x10'!S51</f>
        <v>-62839292476.764053</v>
      </c>
      <c r="T57">
        <v>7</v>
      </c>
      <c r="U57" s="284">
        <f>'3x4'!S51</f>
        <v>-5404998.1525244089</v>
      </c>
      <c r="V57" s="284">
        <f>'3x5'!S51</f>
        <v>-30758075.24572001</v>
      </c>
      <c r="W57" s="284">
        <f>'3x6'!S51</f>
        <v>-127626931.16322674</v>
      </c>
      <c r="X57" s="284">
        <f>'3x7'!S51</f>
        <v>-425453347.93688554</v>
      </c>
      <c r="Y57" s="284">
        <f>'3x8'!S51</f>
        <v>-1208266276.8294735</v>
      </c>
      <c r="Z57" s="284">
        <f>'3x9'!S51</f>
        <v>-3036538110.7363367</v>
      </c>
      <c r="AA57" s="284">
        <f>'3x10'!S27</f>
        <v>-119547935.12536636</v>
      </c>
    </row>
    <row r="58" spans="1:27" x14ac:dyDescent="0.2">
      <c r="A58">
        <v>8</v>
      </c>
      <c r="B58" s="1">
        <f>'1x2'!S52</f>
        <v>110714.86494461367</v>
      </c>
      <c r="C58" s="1">
        <f>'1x3'!S52</f>
        <v>2664499.1542130387</v>
      </c>
      <c r="D58" s="1">
        <f>'1x4'!S52</f>
        <v>29194684.405697662</v>
      </c>
      <c r="E58" s="1">
        <f>'1x5'!S52</f>
        <v>195554460.87948051</v>
      </c>
      <c r="F58" s="1">
        <f>'1x6'!S52</f>
        <v>943391261.95408022</v>
      </c>
      <c r="G58" s="1">
        <f>'1x7'!S52</f>
        <v>3606078740.8030143</v>
      </c>
      <c r="H58" s="1">
        <f>'1x8'!S52</f>
        <v>11591999909.05776</v>
      </c>
      <c r="I58" s="1">
        <f>'1x9'!S52</f>
        <v>32597356249.111679</v>
      </c>
      <c r="J58" s="1">
        <f>'1x10'!S52</f>
        <v>82414393562.220245</v>
      </c>
      <c r="K58">
        <v>8</v>
      </c>
      <c r="L58" s="1">
        <f>'2x3'!S52</f>
        <v>-9746219.4277828839</v>
      </c>
      <c r="M58" s="1">
        <f>'2x4'!S52</f>
        <v>-169659829.11576509</v>
      </c>
      <c r="N58" s="1">
        <f>'2x5'!S52</f>
        <v>-1605420499.5902748</v>
      </c>
      <c r="O58" s="1">
        <f>'2x6'!S52</f>
        <v>-9952556548.8408699</v>
      </c>
      <c r="P58" s="1">
        <f>'2x7'!S52</f>
        <v>-45160642670.978523</v>
      </c>
      <c r="Q58" s="1">
        <f>'2x8'!S52</f>
        <v>-162144808957.26138</v>
      </c>
      <c r="R58" s="1">
        <f>'2x9'!S52</f>
        <v>-488068928873.74188</v>
      </c>
      <c r="S58" s="1">
        <f>'2x10'!S52</f>
        <v>-1285029764648.134</v>
      </c>
      <c r="T58">
        <v>8</v>
      </c>
      <c r="U58" s="284">
        <f>'3x4'!S52</f>
        <v>-43240299.265040137</v>
      </c>
      <c r="V58" s="284">
        <f>'3x5'!S52</f>
        <v>-307583306.37312871</v>
      </c>
      <c r="W58" s="284">
        <f>'3x6'!S52</f>
        <v>-1531538289.5276871</v>
      </c>
      <c r="X58" s="284">
        <f>'3x7'!S52</f>
        <v>-5956412532.5197945</v>
      </c>
      <c r="Y58" s="284">
        <f>'3x8'!S52</f>
        <v>-19332487777.244122</v>
      </c>
      <c r="Z58" s="284">
        <f>'3x9'!S52</f>
        <v>-54658353006.56086</v>
      </c>
      <c r="AA58" s="284">
        <f>'3x10'!S28</f>
        <v>-1195494908.4805315</v>
      </c>
    </row>
    <row r="59" spans="1:27" x14ac:dyDescent="0.2">
      <c r="A59">
        <v>9</v>
      </c>
      <c r="B59" s="1">
        <f>'1x2'!S53</f>
        <v>430552.97207842936</v>
      </c>
      <c r="C59" s="1">
        <f>'1x3'!S53</f>
        <v>15571001.223281654</v>
      </c>
      <c r="D59" s="1">
        <f>'1x4'!S53</f>
        <v>228426206.14000717</v>
      </c>
      <c r="E59" s="1">
        <f>'1x5'!S53</f>
        <v>1917647000.7959235</v>
      </c>
      <c r="F59" s="1">
        <f>'1x6'!S53</f>
        <v>11117860827.236931</v>
      </c>
      <c r="G59" s="1">
        <f>'1x7'!S53</f>
        <v>49621629884.459572</v>
      </c>
      <c r="H59" s="1">
        <f>'1x8'!S53</f>
        <v>182384019566.31418</v>
      </c>
      <c r="I59" s="1">
        <f>'1x9'!S53</f>
        <v>577132919659.9679</v>
      </c>
      <c r="J59" s="1">
        <f>'1x10'!S53</f>
        <v>1621501600874.7341</v>
      </c>
      <c r="K59">
        <v>9</v>
      </c>
      <c r="L59" s="1">
        <f>'2x3'!S53</f>
        <v>-58514633.410273604</v>
      </c>
      <c r="M59" s="1">
        <f>'2x4'!S53</f>
        <v>-1359866150.6284699</v>
      </c>
      <c r="N59" s="1">
        <f>'2x5'!S53</f>
        <v>-16114810280.700493</v>
      </c>
      <c r="O59" s="1">
        <f>'2x6'!S53</f>
        <v>-120127753522.92978</v>
      </c>
      <c r="P59" s="1">
        <f>'2x7'!S53</f>
        <v>-637105135529.30298</v>
      </c>
      <c r="Q59" s="1">
        <f>'2x8'!S53</f>
        <v>-2617901217591.2446</v>
      </c>
      <c r="R59" s="1">
        <f>'2x9'!S53</f>
        <v>-8873575460938.2441</v>
      </c>
      <c r="S59" s="1">
        <f>'2x10'!S53</f>
        <v>-25974741663367.898</v>
      </c>
      <c r="T59">
        <v>9</v>
      </c>
      <c r="U59" s="284">
        <f>'3x4'!S53</f>
        <v>-345922853.08588672</v>
      </c>
      <c r="V59" s="284">
        <f>'3x5'!S53</f>
        <v>-3075838259.4966016</v>
      </c>
      <c r="W59" s="284">
        <f>'3x6'!S53</f>
        <v>-18378498080.355499</v>
      </c>
      <c r="X59" s="284">
        <f>'3x7'!S53</f>
        <v>-83389975058.61618</v>
      </c>
      <c r="Y59" s="284">
        <f>'3x8'!S53</f>
        <v>-309320602196.40582</v>
      </c>
      <c r="Z59" s="284">
        <f>'3x9'!S53</f>
        <v>-983853001203.16089</v>
      </c>
      <c r="AA59" s="284">
        <f>'3x10'!S29</f>
        <v>-11954982770.760498</v>
      </c>
    </row>
    <row r="60" spans="1:27" x14ac:dyDescent="0.2">
      <c r="A60">
        <v>10</v>
      </c>
      <c r="B60" s="1">
        <f>'1x2'!S54</f>
        <v>1684760.8211910741</v>
      </c>
      <c r="C60" s="1">
        <f>'1x3'!S54</f>
        <v>91492193.277461678</v>
      </c>
      <c r="D60" s="1">
        <f>'1x4'!S54</f>
        <v>1796387524.9311459</v>
      </c>
      <c r="E60" s="1">
        <f>'1x5'!S54</f>
        <v>18896165324.095547</v>
      </c>
      <c r="F60" s="1">
        <f>'1x6'!S54</f>
        <v>131638907795.15349</v>
      </c>
      <c r="G60" s="1">
        <f>'1x7'!S54</f>
        <v>685958251331.37219</v>
      </c>
      <c r="H60" s="1">
        <f>'1x8'!S54</f>
        <v>2882576941979.4302</v>
      </c>
      <c r="I60" s="1">
        <f>'1x9'!S54</f>
        <v>10264091803893.33</v>
      </c>
      <c r="J60" s="1">
        <f>'1x10'!S54</f>
        <v>32046057977567.477</v>
      </c>
      <c r="K60">
        <v>10</v>
      </c>
      <c r="L60" s="1">
        <f>'2x3'!S54</f>
        <v>-351174212.05181283</v>
      </c>
      <c r="M60" s="1">
        <f>'2x4'!S54</f>
        <v>-10887716834.798037</v>
      </c>
      <c r="N60" s="1">
        <f>'2x5'!S54</f>
        <v>-161418890258.6124</v>
      </c>
      <c r="O60" s="1">
        <f>'2x6'!S54</f>
        <v>-1445381961167.1125</v>
      </c>
      <c r="P60" s="1">
        <f>'2x7'!S54</f>
        <v>-8951300735093.625</v>
      </c>
      <c r="Q60" s="1">
        <f>'2x8'!S54</f>
        <v>-42064902884135.055</v>
      </c>
      <c r="R60" s="1">
        <f>'2x9'!S54</f>
        <v>-160480973035264.41</v>
      </c>
      <c r="S60" s="1">
        <f>'2x10'!S54</f>
        <v>-522113032149868.19</v>
      </c>
      <c r="T60">
        <v>10</v>
      </c>
      <c r="U60" s="284">
        <f>'3x4'!S54</f>
        <v>-2767383508.5735211</v>
      </c>
      <c r="V60" s="284">
        <f>'3x5'!S54</f>
        <v>-30758393293.513504</v>
      </c>
      <c r="W60" s="284">
        <f>'3x6'!S54</f>
        <v>-220542076023.83414</v>
      </c>
      <c r="X60" s="284">
        <f>'3x7'!S54</f>
        <v>-1167460258732.1863</v>
      </c>
      <c r="Y60" s="284">
        <f>'3x8'!S54</f>
        <v>-4949132436809.3799</v>
      </c>
      <c r="Z60" s="284">
        <f>'3x9'!S54</f>
        <v>-17709364531010.035</v>
      </c>
      <c r="AA60" s="284">
        <f>'3x10'!S30</f>
        <v>-119549901392.0722</v>
      </c>
    </row>
    <row r="61" spans="1:27" x14ac:dyDescent="0.2">
      <c r="B61" s="357" t="s">
        <v>158</v>
      </c>
      <c r="C61" s="357"/>
      <c r="D61" s="357"/>
      <c r="E61" s="357"/>
      <c r="F61" s="357"/>
      <c r="G61" s="357"/>
      <c r="H61" s="357"/>
      <c r="I61" s="357"/>
      <c r="J61" s="357"/>
      <c r="L61" s="357" t="s">
        <v>158</v>
      </c>
      <c r="M61" s="357"/>
      <c r="N61" s="357"/>
      <c r="O61" s="357"/>
      <c r="P61" s="357"/>
      <c r="Q61" s="357"/>
      <c r="R61" s="357"/>
      <c r="S61" s="357"/>
      <c r="U61" s="357" t="s">
        <v>183</v>
      </c>
      <c r="V61" s="357"/>
      <c r="W61" s="357"/>
      <c r="X61" s="357"/>
      <c r="Y61" s="357"/>
      <c r="Z61" s="357"/>
      <c r="AA61" s="357"/>
    </row>
    <row r="62" spans="1:27" x14ac:dyDescent="0.2">
      <c r="A62" s="279" t="s">
        <v>57</v>
      </c>
      <c r="B62" s="280" t="s">
        <v>142</v>
      </c>
      <c r="C62" s="280" t="s">
        <v>143</v>
      </c>
      <c r="D62" s="280" t="s">
        <v>144</v>
      </c>
      <c r="E62" s="280" t="s">
        <v>145</v>
      </c>
      <c r="F62" s="280" t="s">
        <v>146</v>
      </c>
      <c r="G62" s="280" t="s">
        <v>147</v>
      </c>
      <c r="H62" s="280" t="s">
        <v>148</v>
      </c>
      <c r="I62" s="280" t="s">
        <v>149</v>
      </c>
      <c r="J62" s="280" t="s">
        <v>150</v>
      </c>
      <c r="K62" s="279" t="s">
        <v>57</v>
      </c>
      <c r="L62" s="280" t="s">
        <v>165</v>
      </c>
      <c r="M62" s="280" t="s">
        <v>166</v>
      </c>
      <c r="N62" s="280" t="s">
        <v>167</v>
      </c>
      <c r="O62" s="280" t="s">
        <v>168</v>
      </c>
      <c r="P62" s="280" t="s">
        <v>169</v>
      </c>
      <c r="Q62" s="280" t="s">
        <v>170</v>
      </c>
      <c r="R62" s="280" t="s">
        <v>171</v>
      </c>
      <c r="S62" s="280" t="s">
        <v>172</v>
      </c>
      <c r="T62" s="279" t="s">
        <v>57</v>
      </c>
      <c r="U62" s="280" t="s">
        <v>176</v>
      </c>
      <c r="V62" s="280" t="s">
        <v>177</v>
      </c>
      <c r="W62" s="280" t="s">
        <v>178</v>
      </c>
      <c r="X62" s="280" t="s">
        <v>179</v>
      </c>
      <c r="Y62" s="280" t="s">
        <v>180</v>
      </c>
      <c r="Z62" s="280" t="s">
        <v>181</v>
      </c>
      <c r="AA62" s="280" t="s">
        <v>182</v>
      </c>
    </row>
    <row r="63" spans="1:27" x14ac:dyDescent="0.2">
      <c r="A63" s="279">
        <v>1</v>
      </c>
      <c r="B63" s="1">
        <f t="shared" ref="B63:J63" si="0">B3/B27</f>
        <v>1.721842515201164E-3</v>
      </c>
      <c r="C63" s="1">
        <f t="shared" si="0"/>
        <v>3.483737721124416E-4</v>
      </c>
      <c r="D63" s="1">
        <f t="shared" si="0"/>
        <v>1.7761950746557201E-3</v>
      </c>
      <c r="E63" s="182">
        <f t="shared" si="0"/>
        <v>2.6473663622128413E-3</v>
      </c>
      <c r="F63" s="182">
        <f t="shared" si="0"/>
        <v>2.9861787789289629E-3</v>
      </c>
      <c r="G63" s="1">
        <f t="shared" si="0"/>
        <v>3.0321505764537874E-3</v>
      </c>
      <c r="H63" s="1">
        <f t="shared" si="0"/>
        <v>2.9402002598090211E-3</v>
      </c>
      <c r="I63" s="1">
        <f t="shared" si="0"/>
        <v>2.7922402384902129E-3</v>
      </c>
      <c r="J63" s="1">
        <f t="shared" si="0"/>
        <v>2.6283860761339051E-3</v>
      </c>
      <c r="K63" s="279">
        <v>1</v>
      </c>
      <c r="L63" s="1">
        <f t="shared" ref="L63:S72" si="1">L3/L27</f>
        <v>0.12152665233479128</v>
      </c>
      <c r="M63" s="1">
        <f t="shared" si="1"/>
        <v>8.4200602498797614E-2</v>
      </c>
      <c r="N63" s="1">
        <f t="shared" si="1"/>
        <v>6.5041876649336194E-2</v>
      </c>
      <c r="O63" s="1">
        <f t="shared" si="1"/>
        <v>5.3722751364650517E-2</v>
      </c>
      <c r="P63" s="1">
        <f t="shared" si="1"/>
        <v>4.6278911989446052E-2</v>
      </c>
      <c r="Q63" s="1">
        <f t="shared" si="1"/>
        <v>4.0963333193762066E-2</v>
      </c>
      <c r="R63" s="1">
        <f t="shared" si="1"/>
        <v>3.6923543736757783E-2</v>
      </c>
      <c r="S63" s="1">
        <f t="shared" si="1"/>
        <v>3.3708337632254351E-2</v>
      </c>
      <c r="T63" s="279">
        <v>1</v>
      </c>
      <c r="U63" s="1">
        <f t="shared" ref="U63:AA72" si="2">U3/U27</f>
        <v>0.40555757115533109</v>
      </c>
      <c r="V63" s="1">
        <f t="shared" si="2"/>
        <v>0.33650086998456391</v>
      </c>
      <c r="W63" s="1">
        <f t="shared" si="2"/>
        <v>0.28910031113292567</v>
      </c>
      <c r="X63" s="1">
        <f t="shared" si="2"/>
        <v>0.25429333042166136</v>
      </c>
      <c r="Y63" s="1">
        <f t="shared" si="2"/>
        <v>0.2274511798046116</v>
      </c>
      <c r="Z63" s="1">
        <f t="shared" si="2"/>
        <v>0.20599114708782251</v>
      </c>
      <c r="AA63" s="1">
        <f t="shared" si="2"/>
        <v>0.18836406230774858</v>
      </c>
    </row>
    <row r="64" spans="1:27" x14ac:dyDescent="0.2">
      <c r="A64">
        <v>2</v>
      </c>
      <c r="B64" s="1">
        <f t="shared" ref="B64:J64" si="3">B4/B28</f>
        <v>-4.4300743907624172E-3</v>
      </c>
      <c r="C64" s="1">
        <f t="shared" si="3"/>
        <v>1.7393072000361862E-3</v>
      </c>
      <c r="D64" s="1">
        <f t="shared" si="3"/>
        <v>3.4000099713473874E-3</v>
      </c>
      <c r="E64" s="182">
        <f t="shared" si="3"/>
        <v>3.4528301514979358E-3</v>
      </c>
      <c r="F64" s="182">
        <f t="shared" si="3"/>
        <v>3.0723222654755692E-3</v>
      </c>
      <c r="G64" s="1">
        <f t="shared" si="3"/>
        <v>2.6279057595391909E-3</v>
      </c>
      <c r="H64" s="1">
        <f t="shared" si="3"/>
        <v>2.2259585994149501E-3</v>
      </c>
      <c r="I64" s="1">
        <f t="shared" si="3"/>
        <v>1.888770950984069E-3</v>
      </c>
      <c r="J64" s="1">
        <f t="shared" si="3"/>
        <v>1.6128996339264303E-3</v>
      </c>
      <c r="K64">
        <v>2</v>
      </c>
      <c r="L64" s="1">
        <f t="shared" si="1"/>
        <v>3.9746501381285465E-2</v>
      </c>
      <c r="M64" s="1">
        <f t="shared" si="1"/>
        <v>1.9794976682625372E-2</v>
      </c>
      <c r="N64" s="1">
        <f t="shared" si="1"/>
        <v>1.1885185861508394E-2</v>
      </c>
      <c r="O64" s="1">
        <f t="shared" si="1"/>
        <v>8.0707665841258276E-3</v>
      </c>
      <c r="P64" s="1">
        <f t="shared" si="1"/>
        <v>5.9454835719737979E-3</v>
      </c>
      <c r="Q64" s="1">
        <f t="shared" si="1"/>
        <v>4.6251668402632522E-3</v>
      </c>
      <c r="R64" s="1">
        <f t="shared" si="1"/>
        <v>3.7350476021606751E-3</v>
      </c>
      <c r="S64" s="1">
        <f t="shared" si="1"/>
        <v>3.0973107058818255E-3</v>
      </c>
      <c r="T64">
        <v>2</v>
      </c>
      <c r="U64" s="1">
        <f t="shared" si="2"/>
        <v>0.1847278169724528</v>
      </c>
      <c r="V64" s="1">
        <f t="shared" si="2"/>
        <v>9.8123601517199455E-2</v>
      </c>
      <c r="W64" s="1">
        <f t="shared" si="2"/>
        <v>7.2523313296071715E-2</v>
      </c>
      <c r="X64" s="1">
        <f t="shared" si="2"/>
        <v>5.6091001730459153E-2</v>
      </c>
      <c r="Y64" s="1">
        <f t="shared" si="2"/>
        <v>4.4827505185193559E-2</v>
      </c>
      <c r="Z64" s="1">
        <f t="shared" si="2"/>
        <v>3.6722957630607726E-2</v>
      </c>
      <c r="AA64" s="1">
        <f t="shared" si="2"/>
        <v>3.0671959913343688E-2</v>
      </c>
    </row>
    <row r="65" spans="1:27" x14ac:dyDescent="0.2">
      <c r="A65">
        <v>3</v>
      </c>
      <c r="B65" s="1">
        <f t="shared" ref="B65:J65" si="4">B5/B29</f>
        <v>-4.3696153592133581E-3</v>
      </c>
      <c r="C65" s="1">
        <f t="shared" si="4"/>
        <v>1.0893551987662363E-3</v>
      </c>
      <c r="D65" s="1">
        <f t="shared" si="4"/>
        <v>1.583173087105252E-3</v>
      </c>
      <c r="E65" s="182">
        <f t="shared" si="4"/>
        <v>1.2853496387792557E-3</v>
      </c>
      <c r="F65" s="182">
        <f t="shared" si="4"/>
        <v>9.5521017448495747E-4</v>
      </c>
      <c r="G65" s="1">
        <f t="shared" si="4"/>
        <v>7.0261308377139058E-4</v>
      </c>
      <c r="H65" s="1">
        <f t="shared" si="4"/>
        <v>5.2256542651681601E-4</v>
      </c>
      <c r="I65" s="1">
        <f t="shared" si="4"/>
        <v>3.9543887629496012E-4</v>
      </c>
      <c r="J65" s="1">
        <f t="shared" si="4"/>
        <v>3.0481085033387724E-4</v>
      </c>
      <c r="K65">
        <v>3</v>
      </c>
      <c r="L65" s="1">
        <f t="shared" si="1"/>
        <v>1.5428339004385207E-2</v>
      </c>
      <c r="M65" s="1">
        <f t="shared" si="1"/>
        <v>5.5180957228141512E-3</v>
      </c>
      <c r="N65" s="1">
        <f t="shared" si="1"/>
        <v>2.5238926765713118E-3</v>
      </c>
      <c r="O65" s="1">
        <f t="shared" si="1"/>
        <v>1.3736813204619327E-3</v>
      </c>
      <c r="P65" s="1">
        <f t="shared" si="1"/>
        <v>8.4511485886167579E-4</v>
      </c>
      <c r="Q65" s="1">
        <f t="shared" si="1"/>
        <v>5.6645236748963177E-4</v>
      </c>
      <c r="R65" s="1">
        <f t="shared" si="1"/>
        <v>4.0326949046285711E-4</v>
      </c>
      <c r="S65" s="1">
        <f t="shared" si="1"/>
        <v>2.9980762621466842E-4</v>
      </c>
      <c r="T65">
        <v>3</v>
      </c>
      <c r="U65" s="1">
        <f t="shared" si="2"/>
        <v>8.3681743025657077E-2</v>
      </c>
      <c r="V65" s="1">
        <f t="shared" si="2"/>
        <v>2.7981154784138977E-2</v>
      </c>
      <c r="W65" s="1">
        <f t="shared" si="2"/>
        <v>1.7505730716323571E-2</v>
      </c>
      <c r="X65" s="1">
        <f t="shared" si="2"/>
        <v>1.1728540333420169E-2</v>
      </c>
      <c r="Y65" s="1">
        <f t="shared" si="2"/>
        <v>8.2636490718477028E-3</v>
      </c>
      <c r="Z65" s="1">
        <f t="shared" si="2"/>
        <v>6.0509824469520612E-3</v>
      </c>
      <c r="AA65" s="1">
        <f t="shared" si="2"/>
        <v>4.5677942408654465E-3</v>
      </c>
    </row>
    <row r="66" spans="1:27" x14ac:dyDescent="0.2">
      <c r="A66">
        <v>4</v>
      </c>
      <c r="B66" s="1">
        <f t="shared" ref="B66:J66" si="5">B6/B30</f>
        <v>-3.2461998271501114E-3</v>
      </c>
      <c r="C66" s="1">
        <f t="shared" si="5"/>
        <v>5.3905503506237247E-4</v>
      </c>
      <c r="D66" s="1">
        <f t="shared" si="5"/>
        <v>5.8260568456847139E-4</v>
      </c>
      <c r="E66" s="1">
        <f t="shared" si="5"/>
        <v>3.7589005442545083E-4</v>
      </c>
      <c r="F66" s="1">
        <f t="shared" si="5"/>
        <v>2.3184633514306476E-4</v>
      </c>
      <c r="G66" s="1">
        <f t="shared" si="5"/>
        <v>1.4585613825878843E-4</v>
      </c>
      <c r="H66" s="1">
        <f t="shared" si="5"/>
        <v>9.4820481016405747E-5</v>
      </c>
      <c r="I66" s="1">
        <f t="shared" si="5"/>
        <v>6.3754071693904773E-5</v>
      </c>
      <c r="J66" s="1">
        <f t="shared" si="5"/>
        <v>4.4224715142713808E-5</v>
      </c>
      <c r="K66">
        <v>4</v>
      </c>
      <c r="L66" s="1">
        <f t="shared" si="1"/>
        <v>6.3092107095189722E-3</v>
      </c>
      <c r="M66" s="1">
        <f t="shared" si="1"/>
        <v>1.6463770935432514E-3</v>
      </c>
      <c r="N66" s="1">
        <f t="shared" si="1"/>
        <v>5.7783328987906903E-4</v>
      </c>
      <c r="O66" s="1">
        <f t="shared" si="1"/>
        <v>2.5209255782992265E-4</v>
      </c>
      <c r="P66" s="1">
        <f t="shared" si="1"/>
        <v>1.2906369080079987E-4</v>
      </c>
      <c r="Q66" s="1">
        <f t="shared" si="1"/>
        <v>7.4201829737166497E-5</v>
      </c>
      <c r="R66" s="1">
        <f t="shared" si="1"/>
        <v>4.6377667915315293E-5</v>
      </c>
      <c r="S66" s="1">
        <f t="shared" si="1"/>
        <v>3.08042356556697E-5</v>
      </c>
      <c r="T66">
        <v>4</v>
      </c>
      <c r="U66" s="1">
        <f t="shared" si="2"/>
        <v>3.6250751754310799E-2</v>
      </c>
      <c r="V66" s="1">
        <f t="shared" si="2"/>
        <v>7.4677573658821338E-3</v>
      </c>
      <c r="W66" s="1">
        <f t="shared" si="2"/>
        <v>3.917355037751263E-3</v>
      </c>
      <c r="X66" s="1">
        <f t="shared" si="2"/>
        <v>2.2575318247923062E-3</v>
      </c>
      <c r="Y66" s="1">
        <f t="shared" si="2"/>
        <v>1.3947658810372953E-3</v>
      </c>
      <c r="Z66" s="1">
        <f t="shared" si="2"/>
        <v>9.0908313064635786E-4</v>
      </c>
      <c r="AA66" s="1">
        <f t="shared" si="2"/>
        <v>6.1820337955466158E-4</v>
      </c>
    </row>
    <row r="67" spans="1:27" x14ac:dyDescent="0.2">
      <c r="A67">
        <v>5</v>
      </c>
      <c r="B67" s="1">
        <f t="shared" ref="B67:J67" si="6">B7/B31</f>
        <v>-2.1788692024389544E-3</v>
      </c>
      <c r="C67" s="1">
        <f t="shared" si="6"/>
        <v>2.4029563562788246E-4</v>
      </c>
      <c r="D67" s="1">
        <f t="shared" si="6"/>
        <v>1.9174503770145828E-4</v>
      </c>
      <c r="E67" s="1">
        <f t="shared" si="6"/>
        <v>9.7845986573087449E-5</v>
      </c>
      <c r="F67" s="1">
        <f t="shared" si="6"/>
        <v>4.9942120314053802E-5</v>
      </c>
      <c r="G67" s="1">
        <f t="shared" si="6"/>
        <v>2.6821143980450287E-5</v>
      </c>
      <c r="H67" s="1">
        <f t="shared" si="6"/>
        <v>1.5221401295063945E-5</v>
      </c>
      <c r="I67" s="1">
        <f t="shared" si="6"/>
        <v>9.085315683861803E-6</v>
      </c>
      <c r="J67" s="1">
        <f t="shared" si="6"/>
        <v>5.667913504180309E-6</v>
      </c>
      <c r="K67">
        <v>5</v>
      </c>
      <c r="L67" s="1">
        <f t="shared" si="1"/>
        <v>2.5774967668789808E-3</v>
      </c>
      <c r="M67" s="1">
        <f t="shared" si="1"/>
        <v>4.9757720846815444E-4</v>
      </c>
      <c r="N67" s="1">
        <f t="shared" si="1"/>
        <v>1.3611620077351946E-4</v>
      </c>
      <c r="O67" s="1">
        <f t="shared" si="1"/>
        <v>4.818183977749451E-5</v>
      </c>
      <c r="P67" s="1">
        <f t="shared" si="1"/>
        <v>2.0687293696327868E-5</v>
      </c>
      <c r="Q67" s="1">
        <f t="shared" si="1"/>
        <v>1.0246745742554772E-5</v>
      </c>
      <c r="R67" s="1">
        <f t="shared" si="1"/>
        <v>5.6357601864045638E-6</v>
      </c>
      <c r="S67" s="1">
        <f t="shared" si="1"/>
        <v>3.3482099647650911E-6</v>
      </c>
      <c r="T67">
        <v>5</v>
      </c>
      <c r="U67" s="1">
        <f t="shared" si="2"/>
        <v>1.504625412586378E-2</v>
      </c>
      <c r="V67" s="1">
        <f t="shared" si="2"/>
        <v>1.8832998742354197E-3</v>
      </c>
      <c r="W67" s="1">
        <f t="shared" si="2"/>
        <v>8.2507115916661308E-4</v>
      </c>
      <c r="X67" s="1">
        <f t="shared" si="2"/>
        <v>4.0799594039198349E-4</v>
      </c>
      <c r="Y67" s="1">
        <f t="shared" si="2"/>
        <v>2.20690197339061E-4</v>
      </c>
      <c r="Z67" s="1">
        <f t="shared" si="2"/>
        <v>1.279015639069873E-4</v>
      </c>
      <c r="AA67" s="1">
        <f t="shared" si="2"/>
        <v>7.8294533945664897E-5</v>
      </c>
    </row>
    <row r="68" spans="1:27" x14ac:dyDescent="0.2">
      <c r="A68">
        <v>6</v>
      </c>
      <c r="B68" s="1">
        <f t="shared" ref="B68:J68" si="7">B8/B32</f>
        <v>-1.3844077234828108E-3</v>
      </c>
      <c r="C68" s="1">
        <f t="shared" si="7"/>
        <v>1.0059548710955271E-4</v>
      </c>
      <c r="D68" s="1">
        <f t="shared" si="7"/>
        <v>5.8995445667482119E-5</v>
      </c>
      <c r="E68" s="1">
        <f t="shared" si="7"/>
        <v>2.3765657756530344E-5</v>
      </c>
      <c r="F68" s="1">
        <f t="shared" si="7"/>
        <v>1.003017779801542E-5</v>
      </c>
      <c r="G68" s="1">
        <f t="shared" si="7"/>
        <v>4.596634092698065E-6</v>
      </c>
      <c r="H68" s="1">
        <f t="shared" si="7"/>
        <v>2.276822628634594E-6</v>
      </c>
      <c r="I68" s="1">
        <f t="shared" si="7"/>
        <v>1.2062614307815758E-6</v>
      </c>
      <c r="J68" s="1">
        <f t="shared" si="7"/>
        <v>6.7673097992953624E-7</v>
      </c>
      <c r="K68">
        <v>6</v>
      </c>
      <c r="L68" s="1">
        <f t="shared" si="1"/>
        <v>1.0332126224595348E-3</v>
      </c>
      <c r="M68" s="1">
        <f t="shared" si="1"/>
        <v>1.4874141602013173E-4</v>
      </c>
      <c r="N68" s="1">
        <f t="shared" si="1"/>
        <v>3.2107267883227837E-5</v>
      </c>
      <c r="O68" s="1">
        <f t="shared" si="1"/>
        <v>9.3290614579627525E-6</v>
      </c>
      <c r="P68" s="1">
        <f t="shared" si="1"/>
        <v>3.3891097760877354E-6</v>
      </c>
      <c r="Q68" s="1">
        <f t="shared" si="1"/>
        <v>1.4548966038725014E-6</v>
      </c>
      <c r="R68" s="1">
        <f t="shared" si="1"/>
        <v>7.0678584305744562E-7</v>
      </c>
      <c r="S68" s="1">
        <f t="shared" si="1"/>
        <v>3.7641788470947472E-7</v>
      </c>
      <c r="T68">
        <v>6</v>
      </c>
      <c r="U68" s="1">
        <f t="shared" si="2"/>
        <v>6.0334636701509861E-3</v>
      </c>
      <c r="V68" s="1">
        <f t="shared" si="2"/>
        <v>4.5564102290847629E-4</v>
      </c>
      <c r="W68" s="1">
        <f t="shared" si="2"/>
        <v>1.664811620436749E-4</v>
      </c>
      <c r="X68" s="1">
        <f t="shared" si="2"/>
        <v>7.0590437460970348E-5</v>
      </c>
      <c r="Y68" s="1">
        <f t="shared" si="2"/>
        <v>3.3416692070024484E-5</v>
      </c>
      <c r="Z68" s="1">
        <f t="shared" si="2"/>
        <v>1.7216608017911842E-5</v>
      </c>
      <c r="AA68" s="1">
        <f t="shared" si="2"/>
        <v>9.4857116584486236E-6</v>
      </c>
    </row>
    <row r="69" spans="1:27" x14ac:dyDescent="0.2">
      <c r="A69">
        <v>7</v>
      </c>
      <c r="B69" s="1">
        <f t="shared" ref="B69:J69" si="8">B9/B33</f>
        <v>-8.4831710448060116E-4</v>
      </c>
      <c r="C69" s="1">
        <f t="shared" si="8"/>
        <v>4.0354305751731699E-5</v>
      </c>
      <c r="D69" s="1">
        <f t="shared" si="8"/>
        <v>1.7356253335716274E-5</v>
      </c>
      <c r="E69" s="1">
        <f t="shared" si="8"/>
        <v>5.5167903219980346E-6</v>
      </c>
      <c r="F69" s="1">
        <f t="shared" si="8"/>
        <v>1.9251412220886499E-6</v>
      </c>
      <c r="G69" s="1">
        <f t="shared" si="8"/>
        <v>7.5289980467799498E-7</v>
      </c>
      <c r="H69" s="1">
        <f t="shared" si="8"/>
        <v>3.2550745188844489E-7</v>
      </c>
      <c r="I69" s="1">
        <f t="shared" si="8"/>
        <v>1.5307902849243596E-7</v>
      </c>
      <c r="J69" s="1">
        <f t="shared" si="8"/>
        <v>7.7230931065363309E-8</v>
      </c>
      <c r="K69">
        <v>7</v>
      </c>
      <c r="L69" s="1">
        <f t="shared" si="1"/>
        <v>4.0518440231187712E-4</v>
      </c>
      <c r="M69" s="1">
        <f t="shared" si="1"/>
        <v>4.3669130158549999E-5</v>
      </c>
      <c r="N69" s="1">
        <f t="shared" si="1"/>
        <v>7.4925843824591032E-6</v>
      </c>
      <c r="O69" s="1">
        <f t="shared" si="1"/>
        <v>1.8004310271362818E-6</v>
      </c>
      <c r="P69" s="1">
        <f t="shared" si="1"/>
        <v>5.5682544082077288E-7</v>
      </c>
      <c r="Q69" s="1">
        <f t="shared" si="1"/>
        <v>2.0808214879809628E-7</v>
      </c>
      <c r="R69" s="1">
        <f t="shared" si="1"/>
        <v>8.9540917226328829E-8</v>
      </c>
      <c r="S69" s="1">
        <f t="shared" si="1"/>
        <v>4.2824300853587735E-8</v>
      </c>
      <c r="T69">
        <v>7</v>
      </c>
      <c r="U69" s="1">
        <f t="shared" si="2"/>
        <v>2.3554810402419426E-3</v>
      </c>
      <c r="V69" s="1">
        <f t="shared" si="2"/>
        <v>1.0698659358059591E-4</v>
      </c>
      <c r="W69" s="1">
        <f t="shared" si="2"/>
        <v>3.2587163050186923E-5</v>
      </c>
      <c r="X69" s="1">
        <f t="shared" si="2"/>
        <v>1.1845574708429274E-5</v>
      </c>
      <c r="Y69" s="1">
        <f t="shared" si="2"/>
        <v>4.9070584182496601E-6</v>
      </c>
      <c r="Z69" s="1">
        <f t="shared" si="2"/>
        <v>2.2473681074015761E-6</v>
      </c>
      <c r="AA69" s="1">
        <f t="shared" si="2"/>
        <v>1.114425039133735E-6</v>
      </c>
    </row>
    <row r="70" spans="1:27" x14ac:dyDescent="0.2">
      <c r="A70">
        <v>8</v>
      </c>
      <c r="B70" s="1">
        <f t="shared" ref="B70:J70" si="9">B10/B34</f>
        <v>-5.0616616505816403E-4</v>
      </c>
      <c r="C70" s="1">
        <f t="shared" si="9"/>
        <v>1.5698542348742018E-5</v>
      </c>
      <c r="D70" s="1">
        <f t="shared" si="9"/>
        <v>4.9474209057597693E-6</v>
      </c>
      <c r="E70" s="1">
        <f t="shared" si="9"/>
        <v>1.2408735627602803E-6</v>
      </c>
      <c r="F70" s="1">
        <f t="shared" si="9"/>
        <v>3.5809968327652759E-7</v>
      </c>
      <c r="G70" s="1">
        <f t="shared" si="9"/>
        <v>1.195338676880534E-7</v>
      </c>
      <c r="H70" s="1">
        <f t="shared" si="9"/>
        <v>4.5112331023076165E-8</v>
      </c>
      <c r="I70" s="1">
        <f t="shared" si="9"/>
        <v>1.8833056469817665E-8</v>
      </c>
      <c r="J70" s="1">
        <f t="shared" si="9"/>
        <v>8.5450385895307527E-9</v>
      </c>
      <c r="K70">
        <v>8</v>
      </c>
      <c r="L70" s="1">
        <f t="shared" si="1"/>
        <v>1.5577440109832143E-4</v>
      </c>
      <c r="M70" s="1">
        <f t="shared" si="1"/>
        <v>1.2590832494520234E-5</v>
      </c>
      <c r="N70" s="1">
        <f t="shared" si="1"/>
        <v>1.7235997835118837E-6</v>
      </c>
      <c r="O70" s="1">
        <f t="shared" si="1"/>
        <v>3.4392498679009143E-7</v>
      </c>
      <c r="P70" s="1">
        <f t="shared" si="1"/>
        <v>9.0869513914128213E-8</v>
      </c>
      <c r="Q70" s="1">
        <f t="shared" si="1"/>
        <v>2.9636184336390715E-8</v>
      </c>
      <c r="R70" s="1">
        <f t="shared" si="1"/>
        <v>1.1315829478871774E-8</v>
      </c>
      <c r="S70" s="1">
        <f t="shared" si="1"/>
        <v>4.8652788948552456E-9</v>
      </c>
      <c r="T70">
        <v>8</v>
      </c>
      <c r="U70" s="1">
        <f t="shared" si="2"/>
        <v>9.0070831815846687E-4</v>
      </c>
      <c r="V70" s="1">
        <f t="shared" si="2"/>
        <v>2.4572487951192965E-5</v>
      </c>
      <c r="W70" s="1">
        <f t="shared" si="2"/>
        <v>6.2384117500733259E-6</v>
      </c>
      <c r="X70" s="1">
        <f t="shared" si="2"/>
        <v>1.943943123511538E-6</v>
      </c>
      <c r="Y70" s="1">
        <f t="shared" si="2"/>
        <v>7.0466442389213598E-7</v>
      </c>
      <c r="Z70" s="1">
        <f t="shared" si="2"/>
        <v>2.8687791751908683E-7</v>
      </c>
      <c r="AA70" s="1">
        <f t="shared" si="2"/>
        <v>1.2803370664869196E-7</v>
      </c>
    </row>
    <row r="71" spans="1:27" x14ac:dyDescent="0.2">
      <c r="A71">
        <v>9</v>
      </c>
      <c r="B71" s="1">
        <f t="shared" ref="B71:J71" si="10">B11/B35</f>
        <v>-2.9582873168147727E-4</v>
      </c>
      <c r="C71" s="1">
        <f t="shared" si="10"/>
        <v>5.9682498013835242E-6</v>
      </c>
      <c r="D71" s="1">
        <f t="shared" si="10"/>
        <v>1.3778558163048851E-6</v>
      </c>
      <c r="E71" s="1">
        <f t="shared" si="10"/>
        <v>2.7275528538759149E-7</v>
      </c>
      <c r="F71" s="1">
        <f t="shared" si="10"/>
        <v>6.5112619713478182E-8</v>
      </c>
      <c r="G71" s="1">
        <f t="shared" si="10"/>
        <v>1.855444010838034E-8</v>
      </c>
      <c r="H71" s="1">
        <f t="shared" si="10"/>
        <v>6.1134361543834715E-9</v>
      </c>
      <c r="I71" s="1">
        <f t="shared" si="10"/>
        <v>2.2657567493998028E-9</v>
      </c>
      <c r="J71" s="1">
        <f t="shared" si="10"/>
        <v>9.2457594081629216E-10</v>
      </c>
      <c r="K71">
        <v>9</v>
      </c>
      <c r="L71" s="1">
        <f t="shared" si="1"/>
        <v>5.8899888329005468E-5</v>
      </c>
      <c r="M71" s="1">
        <f t="shared" si="1"/>
        <v>3.5728168176320846E-6</v>
      </c>
      <c r="N71" s="1">
        <f t="shared" si="1"/>
        <v>3.9093274208769577E-7</v>
      </c>
      <c r="O71" s="1">
        <f t="shared" si="1"/>
        <v>6.4908335807818748E-8</v>
      </c>
      <c r="P71" s="1">
        <f t="shared" si="1"/>
        <v>1.4677488349180826E-8</v>
      </c>
      <c r="Q71" s="1">
        <f t="shared" si="1"/>
        <v>4.1834623155608235E-9</v>
      </c>
      <c r="R71" s="1">
        <f t="shared" si="1"/>
        <v>1.4186580629656968E-9</v>
      </c>
      <c r="S71" s="1">
        <f t="shared" si="1"/>
        <v>5.4866098025039995E-10</v>
      </c>
      <c r="T71">
        <v>9</v>
      </c>
      <c r="U71" s="1">
        <f t="shared" si="2"/>
        <v>3.3886689192920357E-4</v>
      </c>
      <c r="V71" s="1">
        <f t="shared" si="2"/>
        <v>5.5497178197763344E-6</v>
      </c>
      <c r="W71" s="1">
        <f t="shared" si="2"/>
        <v>1.1742914700019955E-6</v>
      </c>
      <c r="X71" s="1">
        <f t="shared" si="2"/>
        <v>3.1366973773641095E-7</v>
      </c>
      <c r="Y71" s="1">
        <f t="shared" si="2"/>
        <v>9.9494392946735114E-8</v>
      </c>
      <c r="Z71" s="1">
        <f t="shared" si="2"/>
        <v>3.6005735073125218E-8</v>
      </c>
      <c r="AA71" s="1">
        <f t="shared" si="2"/>
        <v>1.4462638047090999E-8</v>
      </c>
    </row>
    <row r="72" spans="1:27" x14ac:dyDescent="0.2">
      <c r="A72">
        <v>10</v>
      </c>
      <c r="B72" s="1">
        <f t="shared" ref="B72:J72" si="11">B12/B36</f>
        <v>-1.7004715705619023E-4</v>
      </c>
      <c r="C72" s="1">
        <f t="shared" si="11"/>
        <v>2.2291665452103503E-6</v>
      </c>
      <c r="D72" s="1">
        <f t="shared" si="11"/>
        <v>3.7698840942786619E-7</v>
      </c>
      <c r="E72" s="1">
        <f t="shared" si="11"/>
        <v>5.891903531454916E-8</v>
      </c>
      <c r="F72" s="1">
        <f t="shared" si="11"/>
        <v>1.1638420630162312E-8</v>
      </c>
      <c r="G72" s="1">
        <f t="shared" si="11"/>
        <v>2.8318035722412273E-9</v>
      </c>
      <c r="H72" s="1">
        <f t="shared" si="11"/>
        <v>8.1468626305941837E-10</v>
      </c>
      <c r="I72" s="1">
        <f t="shared" si="11"/>
        <v>2.6807372494447662E-10</v>
      </c>
      <c r="J72" s="1">
        <f t="shared" si="11"/>
        <v>9.8387327676201381E-11</v>
      </c>
      <c r="K72">
        <v>10</v>
      </c>
      <c r="L72" s="1">
        <f t="shared" si="1"/>
        <v>2.1968995293681789E-5</v>
      </c>
      <c r="M72" s="1">
        <f t="shared" si="1"/>
        <v>1.0003174394837988E-6</v>
      </c>
      <c r="N72" s="1">
        <f t="shared" si="1"/>
        <v>8.7556608185006913E-8</v>
      </c>
      <c r="O72" s="1">
        <f t="shared" si="1"/>
        <v>1.2108242592455902E-8</v>
      </c>
      <c r="P72" s="1">
        <f t="shared" si="1"/>
        <v>2.3453873619922634E-9</v>
      </c>
      <c r="Q72" s="1">
        <f t="shared" si="1"/>
        <v>5.8462144610909082E-10</v>
      </c>
      <c r="R72" s="1">
        <f t="shared" si="1"/>
        <v>1.7615578882884507E-10</v>
      </c>
      <c r="S72" s="1">
        <f t="shared" si="1"/>
        <v>6.1299481418746513E-11</v>
      </c>
      <c r="T72">
        <v>10</v>
      </c>
      <c r="U72" s="1">
        <f t="shared" si="2"/>
        <v>1.2584902605875203E-4</v>
      </c>
      <c r="V72" s="1">
        <f t="shared" si="2"/>
        <v>1.2369971950669896E-6</v>
      </c>
      <c r="W72" s="1">
        <f t="shared" si="2"/>
        <v>2.1814203948510088E-7</v>
      </c>
      <c r="X72" s="1">
        <f t="shared" si="2"/>
        <v>4.9947743874416966E-8</v>
      </c>
      <c r="Y72" s="1">
        <f t="shared" si="2"/>
        <v>1.3863248928044412E-8</v>
      </c>
      <c r="Z72" s="1">
        <f t="shared" si="2"/>
        <v>4.459581980713867E-9</v>
      </c>
      <c r="AA72" s="1">
        <f t="shared" si="2"/>
        <v>1.6121942318602335E-9</v>
      </c>
    </row>
  </sheetData>
  <sheetProtection sheet="1" objects="1" scenarios="1"/>
  <mergeCells count="18">
    <mergeCell ref="B1:J1"/>
    <mergeCell ref="L1:S1"/>
    <mergeCell ref="U1:AA1"/>
    <mergeCell ref="B13:J13"/>
    <mergeCell ref="L13:S13"/>
    <mergeCell ref="U13:AA13"/>
    <mergeCell ref="B25:J25"/>
    <mergeCell ref="L25:S25"/>
    <mergeCell ref="U25:AA25"/>
    <mergeCell ref="B37:J37"/>
    <mergeCell ref="L37:S37"/>
    <mergeCell ref="U37:AA37"/>
    <mergeCell ref="B49:J49"/>
    <mergeCell ref="L49:S49"/>
    <mergeCell ref="U49:AA49"/>
    <mergeCell ref="B61:J61"/>
    <mergeCell ref="L61:S61"/>
    <mergeCell ref="U61:AA61"/>
  </mergeCells>
  <conditionalFormatting sqref="B15:J24">
    <cfRule type="colorScale" priority="12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B3:J12">
    <cfRule type="colorScale" priority="13">
      <colorScale>
        <cfvo type="num" val="0"/>
        <cfvo type="percentile" val="0"/>
        <cfvo type="max"/>
        <color rgb="FFFF0000"/>
        <color rgb="FFFFEB84"/>
        <color rgb="FF00B050"/>
      </colorScale>
    </cfRule>
  </conditionalFormatting>
  <conditionalFormatting sqref="B27:J36">
    <cfRule type="colorScale" priority="11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B39:J48">
    <cfRule type="colorScale" priority="10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B51:J60">
    <cfRule type="colorScale" priority="9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L15:S24">
    <cfRule type="colorScale" priority="14">
      <colorScale>
        <cfvo type="num" val="0"/>
        <cfvo type="percentile" val="0"/>
        <cfvo type="max"/>
        <color rgb="FFFF0000"/>
        <color rgb="FFFFEB84"/>
        <color rgb="FF00B050"/>
      </colorScale>
    </cfRule>
  </conditionalFormatting>
  <conditionalFormatting sqref="L3:S12">
    <cfRule type="colorScale" priority="15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L27:S36">
    <cfRule type="cellIs" dxfId="107" priority="8" operator="lessThanOrEqual">
      <formula>0</formula>
    </cfRule>
    <cfRule type="colorScale" priority="16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L39:S48">
    <cfRule type="cellIs" dxfId="106" priority="6" operator="lessThanOrEqual">
      <formula>0</formula>
    </cfRule>
    <cfRule type="colorScale" priority="17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L51:S60">
    <cfRule type="cellIs" dxfId="105" priority="4" operator="lessThanOrEqual">
      <formula>0</formula>
    </cfRule>
    <cfRule type="colorScale" priority="18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U15:AA24">
    <cfRule type="colorScale" priority="19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U3:AA12">
    <cfRule type="colorScale" priority="20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U27:AA36">
    <cfRule type="cellIs" dxfId="104" priority="7" operator="lessThanOrEqual">
      <formula>0</formula>
    </cfRule>
    <cfRule type="colorScale" priority="21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U39:AA48">
    <cfRule type="cellIs" dxfId="103" priority="5" operator="lessThanOrEqual">
      <formula>0</formula>
    </cfRule>
    <cfRule type="colorScale" priority="22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U51:AA60">
    <cfRule type="colorScale" priority="23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B63:J72">
    <cfRule type="cellIs" dxfId="102" priority="1" operator="equal">
      <formula>MAX($B$63:$J$72)</formula>
    </cfRule>
    <cfRule type="colorScale" priority="24">
      <colorScale>
        <cfvo type="num" val="0"/>
        <cfvo type="percentile" val="50"/>
        <cfvo type="num" val="MAX($B$64:$J$72)"/>
        <color rgb="FFFF0000"/>
        <color rgb="FFFFEB84"/>
        <color rgb="FF00B050"/>
      </colorScale>
    </cfRule>
  </conditionalFormatting>
  <conditionalFormatting sqref="L63:S72">
    <cfRule type="colorScale" priority="3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U63:AA72">
    <cfRule type="colorScale" priority="2">
      <colorScale>
        <cfvo type="num" val="0"/>
        <cfvo type="num" val="0"/>
        <cfvo type="max"/>
        <color rgb="FFFF0000"/>
        <color rgb="FFFFEB84"/>
        <color rgb="FF00B050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>
    <pageSetUpPr fitToPage="1"/>
  </sheetPr>
  <dimension ref="A1:AH46"/>
  <sheetViews>
    <sheetView view="pageLayout" zoomScale="90" zoomScaleNormal="70" zoomScaleSheetLayoutView="75" zoomScalePageLayoutView="90" workbookViewId="0">
      <selection activeCell="T1" sqref="T1:AH1"/>
    </sheetView>
  </sheetViews>
  <sheetFormatPr baseColWidth="10" defaultColWidth="11" defaultRowHeight="16" x14ac:dyDescent="0.2"/>
  <cols>
    <col min="1" max="1" width="5.83203125" style="31" bestFit="1" customWidth="1"/>
    <col min="2" max="11" width="3.6640625" customWidth="1"/>
    <col min="12" max="12" width="4.83203125" customWidth="1"/>
    <col min="13" max="13" width="6.83203125" customWidth="1"/>
    <col min="14" max="22" width="7.83203125" customWidth="1"/>
    <col min="23" max="23" width="5.33203125" customWidth="1"/>
    <col min="24" max="34" width="6.5" customWidth="1"/>
  </cols>
  <sheetData>
    <row r="1" spans="1:34" ht="21" x14ac:dyDescent="0.25">
      <c r="A1" s="358" t="str">
        <f>Rules!B18</f>
        <v>20190918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8"/>
      <c r="S1" s="358"/>
      <c r="T1" s="358" t="str">
        <f>Rules!B19</f>
        <v>Bet Construct</v>
      </c>
      <c r="U1" s="358"/>
      <c r="V1" s="358"/>
      <c r="W1" s="358"/>
      <c r="X1" s="358"/>
      <c r="Y1" s="358"/>
      <c r="Z1" s="358"/>
      <c r="AA1" s="358"/>
      <c r="AB1" s="358"/>
      <c r="AC1" s="358"/>
      <c r="AD1" s="358"/>
      <c r="AE1" s="358"/>
      <c r="AF1" s="358"/>
      <c r="AG1" s="358"/>
      <c r="AH1" s="358"/>
    </row>
    <row r="2" spans="1:34" ht="21" x14ac:dyDescent="0.25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3"/>
      <c r="AH2" s="253"/>
    </row>
    <row r="3" spans="1:34" ht="21" x14ac:dyDescent="0.25">
      <c r="A3" s="364" t="s">
        <v>208</v>
      </c>
      <c r="B3" s="364"/>
      <c r="C3" s="364"/>
      <c r="D3" s="364"/>
      <c r="E3" s="368">
        <f>'WL Prob'!P15</f>
        <v>0.36155785529229473</v>
      </c>
      <c r="F3" s="368"/>
      <c r="G3" s="368"/>
      <c r="H3" s="364" t="s">
        <v>209</v>
      </c>
      <c r="I3" s="364"/>
      <c r="J3" s="364"/>
      <c r="K3" s="364"/>
      <c r="L3" s="364"/>
      <c r="M3" s="368">
        <f>'WL Prob'!R15</f>
        <v>0.63844214470770522</v>
      </c>
      <c r="N3" s="368"/>
      <c r="O3" s="364" t="s">
        <v>210</v>
      </c>
      <c r="P3" s="364"/>
      <c r="Q3" s="364"/>
      <c r="R3" s="365">
        <f>Analysis!K2</f>
        <v>-4.8487754019161805E-3</v>
      </c>
      <c r="S3" s="365"/>
      <c r="T3" s="364" t="s">
        <v>195</v>
      </c>
      <c r="U3" s="364"/>
      <c r="V3" s="259">
        <v>1</v>
      </c>
      <c r="W3" s="364" t="s">
        <v>211</v>
      </c>
      <c r="X3" s="364"/>
      <c r="Y3" s="364"/>
      <c r="Z3" s="364"/>
      <c r="AA3" s="364"/>
      <c r="AB3" s="365">
        <f>Analysis!G2</f>
        <v>1.7523982954085515</v>
      </c>
      <c r="AC3" s="365"/>
      <c r="AD3" s="364" t="s">
        <v>196</v>
      </c>
      <c r="AE3" s="364"/>
      <c r="AF3" s="364"/>
      <c r="AG3" s="365" t="s">
        <v>212</v>
      </c>
      <c r="AH3" s="365"/>
    </row>
    <row r="4" spans="1:34" ht="21" x14ac:dyDescent="0.25">
      <c r="A4" s="364" t="s">
        <v>63</v>
      </c>
      <c r="B4" s="364"/>
      <c r="C4" s="364"/>
      <c r="D4" s="364"/>
      <c r="E4" s="365" t="str">
        <f>Rules!B3</f>
        <v>Pay 3 to 2</v>
      </c>
      <c r="F4" s="365"/>
      <c r="G4" s="365"/>
      <c r="H4" s="365"/>
      <c r="I4" s="364" t="s">
        <v>197</v>
      </c>
      <c r="J4" s="364"/>
      <c r="K4" s="364"/>
      <c r="L4" s="365" t="str">
        <f>Rules!B4</f>
        <v>Stand</v>
      </c>
      <c r="M4" s="365"/>
      <c r="N4" s="366" t="s">
        <v>54</v>
      </c>
      <c r="O4" s="366"/>
      <c r="P4" s="365" t="str">
        <f>Rules!B6</f>
        <v>Any 2 Cards</v>
      </c>
      <c r="Q4" s="365"/>
      <c r="R4" s="364" t="s">
        <v>198</v>
      </c>
      <c r="S4" s="364"/>
      <c r="T4" s="364"/>
      <c r="U4" s="259" t="str">
        <f>Rules!B7</f>
        <v>Yes</v>
      </c>
      <c r="V4" s="364" t="s">
        <v>73</v>
      </c>
      <c r="W4" s="364"/>
      <c r="X4" s="364"/>
      <c r="Y4" s="364"/>
      <c r="Z4" s="259" t="str">
        <f>Rules!B9</f>
        <v>Yes</v>
      </c>
      <c r="AA4" s="258" t="s">
        <v>50</v>
      </c>
      <c r="AB4" s="365" t="str">
        <f>Rules!B10</f>
        <v>American</v>
      </c>
      <c r="AC4" s="365"/>
      <c r="AD4" s="364" t="s">
        <v>199</v>
      </c>
      <c r="AE4" s="364"/>
      <c r="AF4" s="259">
        <f>Rules!B11</f>
        <v>2</v>
      </c>
      <c r="AG4" s="359"/>
      <c r="AH4" s="360"/>
    </row>
    <row r="5" spans="1:34" ht="21" x14ac:dyDescent="0.25">
      <c r="A5" s="252"/>
      <c r="B5" s="252"/>
      <c r="C5" s="252"/>
      <c r="D5" s="252"/>
      <c r="E5" s="252"/>
      <c r="F5" s="252"/>
      <c r="G5" s="252"/>
      <c r="H5" s="252"/>
      <c r="I5" s="252"/>
      <c r="J5" s="252"/>
      <c r="K5" s="252"/>
      <c r="L5" s="252"/>
      <c r="M5" s="257"/>
      <c r="N5" s="257"/>
      <c r="O5" s="257"/>
      <c r="P5" s="257"/>
      <c r="Q5" s="257"/>
      <c r="R5" s="257"/>
      <c r="S5" s="257"/>
      <c r="T5" s="257"/>
      <c r="U5" s="257"/>
      <c r="V5" s="257"/>
      <c r="W5" s="252"/>
      <c r="X5" s="257"/>
      <c r="Y5" s="257"/>
      <c r="Z5" s="257"/>
      <c r="AA5" s="257"/>
      <c r="AB5" s="257"/>
      <c r="AC5" s="257"/>
      <c r="AD5" s="257"/>
      <c r="AE5" s="257"/>
      <c r="AF5" s="257"/>
      <c r="AG5" s="257"/>
      <c r="AH5" s="257"/>
    </row>
    <row r="6" spans="1:34" x14ac:dyDescent="0.2">
      <c r="A6" s="367" t="str">
        <f>Rules!I2</f>
        <v>My Basic Strategy</v>
      </c>
      <c r="B6" s="367"/>
      <c r="C6" s="367"/>
      <c r="D6" s="367"/>
      <c r="E6" s="367"/>
      <c r="F6" s="367"/>
      <c r="G6" s="367"/>
      <c r="H6" s="367"/>
      <c r="I6" s="367"/>
      <c r="J6" s="367"/>
      <c r="K6" s="367"/>
      <c r="M6" s="361" t="s">
        <v>187</v>
      </c>
      <c r="N6" s="362"/>
      <c r="O6" s="362"/>
      <c r="P6" s="362"/>
      <c r="Q6" s="362"/>
      <c r="R6" s="362"/>
      <c r="S6" s="362"/>
      <c r="T6" s="362"/>
      <c r="U6" s="362"/>
      <c r="V6" s="363"/>
      <c r="X6" s="361" t="s">
        <v>153</v>
      </c>
      <c r="Y6" s="362"/>
      <c r="Z6" s="362"/>
      <c r="AA6" s="362"/>
      <c r="AB6" s="362"/>
      <c r="AC6" s="362"/>
      <c r="AD6" s="362"/>
      <c r="AE6" s="362"/>
      <c r="AF6" s="362"/>
      <c r="AG6" s="362"/>
      <c r="AH6" s="362"/>
    </row>
    <row r="7" spans="1:34" x14ac:dyDescent="0.2">
      <c r="A7" s="174" t="str">
        <f>Rules!I3</f>
        <v>Hard</v>
      </c>
      <c r="B7" s="48" t="str">
        <f>Rules!J3</f>
        <v>A</v>
      </c>
      <c r="C7" s="48">
        <f>Rules!K3</f>
        <v>2</v>
      </c>
      <c r="D7" s="48">
        <f>Rules!L3</f>
        <v>3</v>
      </c>
      <c r="E7" s="48">
        <f>Rules!M3</f>
        <v>4</v>
      </c>
      <c r="F7" s="48">
        <f>Rules!N3</f>
        <v>5</v>
      </c>
      <c r="G7" s="48">
        <f>Rules!O3</f>
        <v>6</v>
      </c>
      <c r="H7" s="48">
        <f>Rules!P3</f>
        <v>7</v>
      </c>
      <c r="I7" s="48">
        <f>Rules!Q3</f>
        <v>8</v>
      </c>
      <c r="J7" s="48">
        <f>Rules!R3</f>
        <v>9</v>
      </c>
      <c r="K7" s="48">
        <f>Rules!S3</f>
        <v>10</v>
      </c>
      <c r="M7" s="178" t="s">
        <v>135</v>
      </c>
      <c r="N7" s="178" t="str">
        <f>'Strategy Summary'!B2</f>
        <v>1x2</v>
      </c>
      <c r="O7" s="178" t="str">
        <f>'Strategy Summary'!C2</f>
        <v>1x3</v>
      </c>
      <c r="P7" s="178" t="str">
        <f>'Strategy Summary'!D2</f>
        <v>1x4</v>
      </c>
      <c r="Q7" s="178" t="str">
        <f>'Strategy Summary'!E2</f>
        <v>1x5</v>
      </c>
      <c r="R7" s="178" t="str">
        <f>'Strategy Summary'!F2</f>
        <v>1x6</v>
      </c>
      <c r="S7" s="178" t="str">
        <f>'Strategy Summary'!G2</f>
        <v>1x7</v>
      </c>
      <c r="T7" s="178" t="str">
        <f>'Strategy Summary'!H2</f>
        <v>1x8</v>
      </c>
      <c r="U7" s="178" t="str">
        <f>'Strategy Summary'!I2</f>
        <v>1x9</v>
      </c>
      <c r="V7" s="178" t="str">
        <f>'Strategy Summary'!J2</f>
        <v>1x10</v>
      </c>
      <c r="X7" s="254" t="str">
        <f>ER!A2</f>
        <v>Hard</v>
      </c>
      <c r="Y7" s="255" t="str">
        <f>ER!B2</f>
        <v>Ace</v>
      </c>
      <c r="Z7" s="255">
        <f>ER!C2</f>
        <v>2</v>
      </c>
      <c r="AA7" s="255">
        <f>ER!D2</f>
        <v>3</v>
      </c>
      <c r="AB7" s="255">
        <f>ER!E2</f>
        <v>4</v>
      </c>
      <c r="AC7" s="255">
        <f>ER!F2</f>
        <v>5</v>
      </c>
      <c r="AD7" s="255">
        <f>ER!G2</f>
        <v>6</v>
      </c>
      <c r="AE7" s="255">
        <f>ER!H2</f>
        <v>7</v>
      </c>
      <c r="AF7" s="255">
        <f>ER!I2</f>
        <v>8</v>
      </c>
      <c r="AG7" s="256">
        <f>ER!J2</f>
        <v>9</v>
      </c>
      <c r="AH7" s="181">
        <f>ER!K2</f>
        <v>10</v>
      </c>
    </row>
    <row r="8" spans="1:34" x14ac:dyDescent="0.2">
      <c r="A8" s="174" t="str">
        <f>Rules!I4</f>
        <v>5-8</v>
      </c>
      <c r="B8" s="49" t="str">
        <f>Rules!J4</f>
        <v>H</v>
      </c>
      <c r="C8" s="49" t="str">
        <f>Rules!K4</f>
        <v>H</v>
      </c>
      <c r="D8" s="49" t="str">
        <f>Rules!L4</f>
        <v>H</v>
      </c>
      <c r="E8" s="49" t="str">
        <f>Rules!M4</f>
        <v>H</v>
      </c>
      <c r="F8" s="49" t="str">
        <f>Rules!N4</f>
        <v>H</v>
      </c>
      <c r="G8" s="49" t="str">
        <f>Rules!O4</f>
        <v>H</v>
      </c>
      <c r="H8" s="49" t="str">
        <f>Rules!P4</f>
        <v>H</v>
      </c>
      <c r="I8" s="49" t="str">
        <f>Rules!Q4</f>
        <v>H</v>
      </c>
      <c r="J8" s="49" t="str">
        <f>Rules!R4</f>
        <v>H</v>
      </c>
      <c r="K8" s="49" t="str">
        <f>Rules!S4</f>
        <v>H</v>
      </c>
      <c r="M8" s="178">
        <v>1</v>
      </c>
      <c r="N8" s="1">
        <f>'Strategy Summary'!B3</f>
        <v>-8.627806172452579E-2</v>
      </c>
      <c r="O8" s="1">
        <f>'Strategy Summary'!C3</f>
        <v>6.2990515324159002E-2</v>
      </c>
      <c r="P8" s="1">
        <f>'Strategy Summary'!D3</f>
        <v>0.22489879193941786</v>
      </c>
      <c r="Q8" s="1">
        <f>'Strategy Summary'!E3</f>
        <v>0.38539833900542586</v>
      </c>
      <c r="R8" s="1">
        <f>'Strategy Summary'!F3</f>
        <v>0.54007226280476051</v>
      </c>
      <c r="S8" s="1">
        <f>'Strategy Summary'!G3</f>
        <v>0.68828102600183128</v>
      </c>
      <c r="T8" s="1">
        <f>'Strategy Summary'!H3</f>
        <v>0.8308425759549789</v>
      </c>
      <c r="U8" s="1">
        <f>'Strategy Summary'!I3</f>
        <v>0.96898654563276132</v>
      </c>
      <c r="V8" s="1">
        <f>'Strategy Summary'!J3</f>
        <v>1.1038959403643753</v>
      </c>
      <c r="X8" s="181">
        <f>ER!A3</f>
        <v>5</v>
      </c>
      <c r="Y8" s="34">
        <f>ER!B3</f>
        <v>-0.27857459755181968</v>
      </c>
      <c r="Z8" s="34">
        <f>ER!C3</f>
        <v>-0.12821556706374745</v>
      </c>
      <c r="AA8" s="34">
        <f>ER!D3</f>
        <v>-9.5310227261489883E-2</v>
      </c>
      <c r="AB8" s="34">
        <f>ER!E3</f>
        <v>-6.1479464199694238E-2</v>
      </c>
      <c r="AC8" s="34">
        <f>ER!F3</f>
        <v>-2.397897039185962E-2</v>
      </c>
      <c r="AD8" s="34">
        <f>ER!G3</f>
        <v>-1.1863378384401623E-3</v>
      </c>
      <c r="AE8" s="34">
        <f>ER!H3</f>
        <v>-0.11944744188414852</v>
      </c>
      <c r="AF8" s="34">
        <f>ER!I3</f>
        <v>-0.18809330390318524</v>
      </c>
      <c r="AG8" s="34">
        <f>ER!J3</f>
        <v>-0.26661505335795899</v>
      </c>
      <c r="AH8" s="34">
        <f>ER!K3</f>
        <v>-0.31341164336497107</v>
      </c>
    </row>
    <row r="9" spans="1:34" x14ac:dyDescent="0.2">
      <c r="A9" s="174">
        <f>Rules!I5</f>
        <v>9</v>
      </c>
      <c r="B9" s="49" t="str">
        <f>Rules!J5</f>
        <v>H</v>
      </c>
      <c r="C9" s="49" t="str">
        <f>Rules!K5</f>
        <v>H</v>
      </c>
      <c r="D9" s="49" t="str">
        <f>Rules!L5</f>
        <v>D</v>
      </c>
      <c r="E9" s="49" t="str">
        <f>Rules!M5</f>
        <v>D</v>
      </c>
      <c r="F9" s="49" t="str">
        <f>Rules!N5</f>
        <v>D</v>
      </c>
      <c r="G9" s="49" t="str">
        <f>Rules!O5</f>
        <v>D</v>
      </c>
      <c r="H9" s="49" t="str">
        <f>Rules!P5</f>
        <v>H</v>
      </c>
      <c r="I9" s="49" t="str">
        <f>Rules!Q5</f>
        <v>H</v>
      </c>
      <c r="J9" s="49" t="str">
        <f>Rules!R5</f>
        <v>H</v>
      </c>
      <c r="K9" s="49" t="str">
        <f>Rules!S5</f>
        <v>H</v>
      </c>
      <c r="M9" s="178">
        <f>'Strategy Summary'!A4</f>
        <v>2</v>
      </c>
      <c r="N9" s="1">
        <f>'Strategy Summary'!B4</f>
        <v>-0.17578976899459353</v>
      </c>
      <c r="O9" s="1">
        <f>'Strategy Summary'!C4</f>
        <v>0.12454182284198678</v>
      </c>
      <c r="P9" s="1">
        <f>'Strategy Summary'!D4</f>
        <v>0.43704759587136754</v>
      </c>
      <c r="Q9" s="1">
        <f>'Strategy Summary'!E4</f>
        <v>0.74169821020308779</v>
      </c>
      <c r="R9" s="1">
        <f>'Strategy Summary'!F4</f>
        <v>1.033692478955027</v>
      </c>
      <c r="S9" s="1">
        <f>'Strategy Summary'!G4</f>
        <v>1.313301067329899</v>
      </c>
      <c r="T9" s="1">
        <f>'Strategy Summary'!H4</f>
        <v>1.5825586478386988</v>
      </c>
      <c r="U9" s="1">
        <f>'Strategy Summary'!I4</f>
        <v>1.8438710292374054</v>
      </c>
      <c r="V9" s="1">
        <f>'Strategy Summary'!J4</f>
        <v>2.099416521705928</v>
      </c>
      <c r="X9" s="181">
        <f>ER!A4</f>
        <v>6</v>
      </c>
      <c r="Y9" s="34">
        <f>ER!B4</f>
        <v>-0.30414663097569933</v>
      </c>
      <c r="Z9" s="34">
        <f>ER!C4</f>
        <v>-0.14075911746001987</v>
      </c>
      <c r="AA9" s="34">
        <f>ER!D4</f>
        <v>-0.10729107800860836</v>
      </c>
      <c r="AB9" s="34">
        <f>ER!E4</f>
        <v>-7.2917141926387305E-2</v>
      </c>
      <c r="AC9" s="34">
        <f>ER!F4</f>
        <v>-3.4915973330102178E-2</v>
      </c>
      <c r="AD9" s="34">
        <f>ER!G4</f>
        <v>-1.3005835529874294E-2</v>
      </c>
      <c r="AE9" s="34">
        <f>ER!H4</f>
        <v>-0.15193270723669944</v>
      </c>
      <c r="AF9" s="34">
        <f>ER!I4</f>
        <v>-0.21724188132078476</v>
      </c>
      <c r="AG9" s="34">
        <f>ER!J4</f>
        <v>-0.29264070019772598</v>
      </c>
      <c r="AH9" s="34">
        <f>ER!K4</f>
        <v>-0.33774944037840804</v>
      </c>
    </row>
    <row r="10" spans="1:34" x14ac:dyDescent="0.2">
      <c r="A10" s="174">
        <f>Rules!I6</f>
        <v>10</v>
      </c>
      <c r="B10" s="49" t="str">
        <f>Rules!J6</f>
        <v>H</v>
      </c>
      <c r="C10" s="49" t="str">
        <f>Rules!K6</f>
        <v>D</v>
      </c>
      <c r="D10" s="49" t="str">
        <f>Rules!L6</f>
        <v>D</v>
      </c>
      <c r="E10" s="49" t="str">
        <f>Rules!M6</f>
        <v>D</v>
      </c>
      <c r="F10" s="49" t="str">
        <f>Rules!N6</f>
        <v>D</v>
      </c>
      <c r="G10" s="49" t="str">
        <f>Rules!O6</f>
        <v>D</v>
      </c>
      <c r="H10" s="49" t="str">
        <f>Rules!P6</f>
        <v>D</v>
      </c>
      <c r="I10" s="49" t="str">
        <f>Rules!Q6</f>
        <v>D</v>
      </c>
      <c r="J10" s="49" t="str">
        <f>Rules!R6</f>
        <v>D</v>
      </c>
      <c r="K10" s="49" t="str">
        <f>Rules!S6</f>
        <v>H</v>
      </c>
      <c r="M10" s="178">
        <f>'Strategy Summary'!A5</f>
        <v>3</v>
      </c>
      <c r="N10" s="1">
        <f>'Strategy Summary'!B5</f>
        <v>-0.26851202260338125</v>
      </c>
      <c r="O10" s="1">
        <f>'Strategy Summary'!C5</f>
        <v>0.18465708860972363</v>
      </c>
      <c r="P10" s="1">
        <f>'Strategy Summary'!D5</f>
        <v>0.63660448067465492</v>
      </c>
      <c r="Q10" s="1">
        <f>'Strategy Summary'!E5</f>
        <v>1.0695109842149506</v>
      </c>
      <c r="R10" s="1">
        <f>'Strategy Summary'!F5</f>
        <v>1.4820965534837072</v>
      </c>
      <c r="S10" s="1">
        <f>'Strategy Summary'!G5</f>
        <v>1.8769563657318598</v>
      </c>
      <c r="T10" s="1">
        <f>'Strategy Summary'!H5</f>
        <v>2.2576756579831194</v>
      </c>
      <c r="U10" s="1">
        <f>'Strategy Summary'!I5</f>
        <v>2.6277657570091826</v>
      </c>
      <c r="V10" s="1">
        <f>'Strategy Summary'!J5</f>
        <v>2.9902162042994807</v>
      </c>
      <c r="X10" s="181">
        <f>ER!A5</f>
        <v>7</v>
      </c>
      <c r="Y10" s="34">
        <f>ER!B5</f>
        <v>-0.31007165033163697</v>
      </c>
      <c r="Z10" s="34">
        <f>ER!C5</f>
        <v>-0.10918342786661633</v>
      </c>
      <c r="AA10" s="34">
        <f>ER!D5</f>
        <v>-7.658298190446361E-2</v>
      </c>
      <c r="AB10" s="34">
        <f>ER!E5</f>
        <v>-4.3021794004341876E-2</v>
      </c>
      <c r="AC10" s="34">
        <f>ER!F5</f>
        <v>-7.2713609029408845E-3</v>
      </c>
      <c r="AD10" s="34">
        <f>ER!G5</f>
        <v>2.9185342353860864E-2</v>
      </c>
      <c r="AE10" s="34">
        <f>ER!H5</f>
        <v>-6.8807799580427764E-2</v>
      </c>
      <c r="AF10" s="34">
        <f>ER!I5</f>
        <v>-0.21060476872434969</v>
      </c>
      <c r="AG10" s="34">
        <f>ER!J5</f>
        <v>-0.28536544048687656</v>
      </c>
      <c r="AH10" s="34">
        <f>ER!K5</f>
        <v>-0.31905479139833842</v>
      </c>
    </row>
    <row r="11" spans="1:34" x14ac:dyDescent="0.2">
      <c r="A11" s="174">
        <f>Rules!I7</f>
        <v>11</v>
      </c>
      <c r="B11" s="49" t="str">
        <f>Rules!J7</f>
        <v>H</v>
      </c>
      <c r="C11" s="49" t="str">
        <f>Rules!K7</f>
        <v>D</v>
      </c>
      <c r="D11" s="49" t="str">
        <f>Rules!L7</f>
        <v>D</v>
      </c>
      <c r="E11" s="49" t="str">
        <f>Rules!M7</f>
        <v>D</v>
      </c>
      <c r="F11" s="49" t="str">
        <f>Rules!N7</f>
        <v>D</v>
      </c>
      <c r="G11" s="49" t="str">
        <f>Rules!O7</f>
        <v>D</v>
      </c>
      <c r="H11" s="49" t="str">
        <f>Rules!P7</f>
        <v>D</v>
      </c>
      <c r="I11" s="49" t="str">
        <f>Rules!Q7</f>
        <v>D</v>
      </c>
      <c r="J11" s="49" t="str">
        <f>Rules!R7</f>
        <v>D</v>
      </c>
      <c r="K11" s="49" t="str">
        <f>Rules!S7</f>
        <v>D</v>
      </c>
      <c r="M11" s="178">
        <f>'Strategy Summary'!A6</f>
        <v>4</v>
      </c>
      <c r="N11" s="1">
        <f>'Strategy Summary'!B6</f>
        <v>-0.36441281264094183</v>
      </c>
      <c r="O11" s="1">
        <f>'Strategy Summary'!C6</f>
        <v>0.24334073118981436</v>
      </c>
      <c r="P11" s="1">
        <f>'Strategy Summary'!D6</f>
        <v>0.82378684469928753</v>
      </c>
      <c r="Q11" s="1">
        <f>'Strategy Summary'!E6</f>
        <v>1.3696671248703671</v>
      </c>
      <c r="R11" s="1">
        <f>'Strategy Summary'!F6</f>
        <v>1.8869497490444314</v>
      </c>
      <c r="S11" s="1">
        <f>'Strategy Summary'!G6</f>
        <v>2.3817894594867255</v>
      </c>
      <c r="T11" s="1">
        <f>'Strategy Summary'!H6</f>
        <v>2.8595728003385368</v>
      </c>
      <c r="U11" s="1">
        <f>'Strategy Summary'!I6</f>
        <v>3.3248250380058835</v>
      </c>
      <c r="V11" s="1">
        <f>'Strategy Summary'!J6</f>
        <v>3.7811683743050519</v>
      </c>
      <c r="X11" s="181">
        <f>ER!A6</f>
        <v>8</v>
      </c>
      <c r="Y11" s="34">
        <f>ER!B6</f>
        <v>-0.1970288105741636</v>
      </c>
      <c r="Z11" s="34">
        <f>ER!C6</f>
        <v>-2.1798188008805668E-2</v>
      </c>
      <c r="AA11" s="34">
        <f>ER!D6</f>
        <v>8.0052625306546825E-3</v>
      </c>
      <c r="AB11" s="34">
        <f>ER!E6</f>
        <v>3.8784473277208811E-2</v>
      </c>
      <c r="AC11" s="34">
        <f>ER!F6</f>
        <v>7.0804635983033826E-2</v>
      </c>
      <c r="AD11" s="34">
        <f>ER!G6</f>
        <v>0.11496015009622321</v>
      </c>
      <c r="AE11" s="34">
        <f>ER!H6</f>
        <v>8.2207439363742862E-2</v>
      </c>
      <c r="AF11" s="34">
        <f>ER!I6</f>
        <v>-5.9898275658656304E-2</v>
      </c>
      <c r="AG11" s="34">
        <f>ER!J6</f>
        <v>-0.21018633199821757</v>
      </c>
      <c r="AH11" s="34">
        <f>ER!K6</f>
        <v>-0.24937508055334259</v>
      </c>
    </row>
    <row r="12" spans="1:34" x14ac:dyDescent="0.2">
      <c r="A12" s="174">
        <f>Rules!I8</f>
        <v>12</v>
      </c>
      <c r="B12" s="49" t="str">
        <f>Rules!J8</f>
        <v>H</v>
      </c>
      <c r="C12" s="49" t="str">
        <f>Rules!K8</f>
        <v>H</v>
      </c>
      <c r="D12" s="49" t="str">
        <f>Rules!L8</f>
        <v>H</v>
      </c>
      <c r="E12" s="49" t="str">
        <f>Rules!M8</f>
        <v>S</v>
      </c>
      <c r="F12" s="49" t="str">
        <f>Rules!N8</f>
        <v>S</v>
      </c>
      <c r="G12" s="49" t="str">
        <f>Rules!O8</f>
        <v>S</v>
      </c>
      <c r="H12" s="49" t="str">
        <f>Rules!P8</f>
        <v>H</v>
      </c>
      <c r="I12" s="49" t="str">
        <f>Rules!Q8</f>
        <v>H</v>
      </c>
      <c r="J12" s="49" t="str">
        <f>Rules!R8</f>
        <v>H</v>
      </c>
      <c r="K12" s="49" t="str">
        <f>Rules!S8</f>
        <v>H</v>
      </c>
      <c r="M12" s="361" t="s">
        <v>188</v>
      </c>
      <c r="N12" s="362"/>
      <c r="O12" s="362"/>
      <c r="P12" s="362"/>
      <c r="Q12" s="362"/>
      <c r="R12" s="362"/>
      <c r="S12" s="362"/>
      <c r="T12" s="362"/>
      <c r="U12" s="362"/>
      <c r="V12" s="363"/>
      <c r="X12" s="181">
        <f>ER!A7</f>
        <v>9</v>
      </c>
      <c r="Y12" s="34">
        <f>ER!B7</f>
        <v>-6.5680778778066204E-2</v>
      </c>
      <c r="Z12" s="34">
        <f>ER!C7</f>
        <v>7.4446037576340524E-2</v>
      </c>
      <c r="AA12" s="34">
        <f>ER!D7</f>
        <v>0.12081635332999649</v>
      </c>
      <c r="AB12" s="34">
        <f>ER!E7</f>
        <v>0.18194893405242166</v>
      </c>
      <c r="AC12" s="34">
        <f>ER!F7</f>
        <v>0.24305722487303633</v>
      </c>
      <c r="AD12" s="34">
        <f>ER!G7</f>
        <v>0.31705474570166692</v>
      </c>
      <c r="AE12" s="34">
        <f>ER!H7</f>
        <v>0.17186785993695267</v>
      </c>
      <c r="AF12" s="34">
        <f>ER!I7</f>
        <v>9.8376217435392516E-2</v>
      </c>
      <c r="AG12" s="34">
        <f>ER!J7</f>
        <v>-5.2178053462651669E-2</v>
      </c>
      <c r="AH12" s="34">
        <f>ER!K7</f>
        <v>-0.15295298487455075</v>
      </c>
    </row>
    <row r="13" spans="1:34" x14ac:dyDescent="0.2">
      <c r="A13" s="174">
        <f>Rules!I9</f>
        <v>13</v>
      </c>
      <c r="B13" s="49" t="str">
        <f>Rules!J9</f>
        <v>H</v>
      </c>
      <c r="C13" s="49" t="str">
        <f>Rules!K9</f>
        <v>S</v>
      </c>
      <c r="D13" s="49" t="str">
        <f>Rules!L9</f>
        <v>S</v>
      </c>
      <c r="E13" s="49" t="str">
        <f>Rules!M9</f>
        <v>S</v>
      </c>
      <c r="F13" s="49" t="str">
        <f>Rules!N9</f>
        <v>S</v>
      </c>
      <c r="G13" s="49" t="str">
        <f>Rules!O9</f>
        <v>S</v>
      </c>
      <c r="H13" s="49" t="str">
        <f>Rules!P9</f>
        <v>H</v>
      </c>
      <c r="I13" s="49" t="str">
        <f>Rules!Q9</f>
        <v>H</v>
      </c>
      <c r="J13" s="49" t="str">
        <f>Rules!R9</f>
        <v>H</v>
      </c>
      <c r="K13" s="49" t="str">
        <f>Rules!S9</f>
        <v>H</v>
      </c>
      <c r="M13" s="178" t="s">
        <v>135</v>
      </c>
      <c r="N13" s="178" t="str">
        <f>'Strategy Summary'!B14</f>
        <v>1x2</v>
      </c>
      <c r="O13" s="178" t="str">
        <f>'Strategy Summary'!C14</f>
        <v>1x3</v>
      </c>
      <c r="P13" s="178" t="str">
        <f>'Strategy Summary'!D14</f>
        <v>1x4</v>
      </c>
      <c r="Q13" s="178" t="str">
        <f>'Strategy Summary'!E14</f>
        <v>1x5</v>
      </c>
      <c r="R13" s="178" t="str">
        <f>'Strategy Summary'!F14</f>
        <v>1x6</v>
      </c>
      <c r="S13" s="178" t="str">
        <f>'Strategy Summary'!G14</f>
        <v>1x7</v>
      </c>
      <c r="T13" s="178" t="str">
        <f>'Strategy Summary'!H14</f>
        <v>1x8</v>
      </c>
      <c r="U13" s="178" t="str">
        <f>'Strategy Summary'!I14</f>
        <v>1x9</v>
      </c>
      <c r="V13" s="178" t="str">
        <f>'Strategy Summary'!J14</f>
        <v>1x10</v>
      </c>
      <c r="X13" s="181">
        <f>ER!A8</f>
        <v>10</v>
      </c>
      <c r="Y13" s="34">
        <f>ER!B8</f>
        <v>8.1449707945275923E-2</v>
      </c>
      <c r="Z13" s="34">
        <f>ER!C8</f>
        <v>0.3589394124422991</v>
      </c>
      <c r="AA13" s="34">
        <f>ER!D8</f>
        <v>0.40932067017593915</v>
      </c>
      <c r="AB13" s="34">
        <f>ER!E8</f>
        <v>0.460940243794354</v>
      </c>
      <c r="AC13" s="34">
        <f>ER!F8</f>
        <v>0.51251710900326775</v>
      </c>
      <c r="AD13" s="34">
        <f>ER!G8</f>
        <v>0.57559016859776857</v>
      </c>
      <c r="AE13" s="34">
        <f>ER!H8</f>
        <v>0.39241245528243773</v>
      </c>
      <c r="AF13" s="34">
        <f>ER!I8</f>
        <v>0.28663571688628381</v>
      </c>
      <c r="AG13" s="34">
        <f>ER!J8</f>
        <v>0.1443283683807712</v>
      </c>
      <c r="AH13" s="34">
        <f>ER!K8</f>
        <v>2.5308523040868145E-2</v>
      </c>
    </row>
    <row r="14" spans="1:34" x14ac:dyDescent="0.2">
      <c r="A14" s="174">
        <f>Rules!I10</f>
        <v>14</v>
      </c>
      <c r="B14" s="49" t="str">
        <f>Rules!J10</f>
        <v>H</v>
      </c>
      <c r="C14" s="49" t="str">
        <f>Rules!K10</f>
        <v>S</v>
      </c>
      <c r="D14" s="49" t="str">
        <f>Rules!L10</f>
        <v>S</v>
      </c>
      <c r="E14" s="49" t="str">
        <f>Rules!M10</f>
        <v>S</v>
      </c>
      <c r="F14" s="49" t="str">
        <f>Rules!N10</f>
        <v>S</v>
      </c>
      <c r="G14" s="49" t="str">
        <f>Rules!O10</f>
        <v>S</v>
      </c>
      <c r="H14" s="49" t="str">
        <f>Rules!P10</f>
        <v>H</v>
      </c>
      <c r="I14" s="49" t="str">
        <f>Rules!Q10</f>
        <v>H</v>
      </c>
      <c r="J14" s="49" t="str">
        <f>Rules!R10</f>
        <v>H</v>
      </c>
      <c r="K14" s="49" t="str">
        <f>Rules!S10</f>
        <v>H</v>
      </c>
      <c r="M14" s="178">
        <f>'Strategy Summary'!A16</f>
        <v>2</v>
      </c>
      <c r="N14" s="1">
        <f>'Strategy Summary'!B16</f>
        <v>0.25200979648017313</v>
      </c>
      <c r="O14" s="1">
        <f>'Strategy Summary'!C16</f>
        <v>0.37707248319754771</v>
      </c>
      <c r="P14" s="1">
        <f>'Strategy Summary'!D16</f>
        <v>0.4356517692674659</v>
      </c>
      <c r="Q14" s="1">
        <f>'Strategy Summary'!E16</f>
        <v>0.46553033349676015</v>
      </c>
      <c r="R14" s="1">
        <f>'Strategy Summary'!F16</f>
        <v>0.48149349747633829</v>
      </c>
      <c r="S14" s="1">
        <f>'Strategy Summary'!G16</f>
        <v>0.4902431948799833</v>
      </c>
      <c r="T14" s="1">
        <f>'Strategy Summary'!H16</f>
        <v>0.49510798734956196</v>
      </c>
      <c r="U14" s="1">
        <f>'Strategy Summary'!I16</f>
        <v>0.49783453811186751</v>
      </c>
      <c r="V14" s="1">
        <f>'Strategy Summary'!J16</f>
        <v>0.49936958731766634</v>
      </c>
      <c r="X14" s="181">
        <f>ER!A9</f>
        <v>11</v>
      </c>
      <c r="Y14" s="34">
        <f>ER!B9</f>
        <v>0.14300128216153027</v>
      </c>
      <c r="Z14" s="34">
        <f>ER!C9</f>
        <v>0.47064092333946889</v>
      </c>
      <c r="AA14" s="34">
        <f>ER!D9</f>
        <v>0.51779525312221675</v>
      </c>
      <c r="AB14" s="34">
        <f>ER!E9</f>
        <v>0.56604055041797607</v>
      </c>
      <c r="AC14" s="34">
        <f>ER!F9</f>
        <v>0.61469901790902803</v>
      </c>
      <c r="AD14" s="34">
        <f>ER!G9</f>
        <v>0.66738009490756944</v>
      </c>
      <c r="AE14" s="34">
        <f>ER!H9</f>
        <v>0.46288894886429077</v>
      </c>
      <c r="AF14" s="34">
        <f>ER!I9</f>
        <v>0.35069259087031501</v>
      </c>
      <c r="AG14" s="34">
        <f>ER!J9</f>
        <v>0.22778342315245487</v>
      </c>
      <c r="AH14" s="34">
        <f>ER!K9</f>
        <v>0.1796887274111463</v>
      </c>
    </row>
    <row r="15" spans="1:34" x14ac:dyDescent="0.2">
      <c r="A15" s="174">
        <f>Rules!I11</f>
        <v>15</v>
      </c>
      <c r="B15" s="49" t="str">
        <f>Rules!J11</f>
        <v>H</v>
      </c>
      <c r="C15" s="49" t="str">
        <f>Rules!K11</f>
        <v>S</v>
      </c>
      <c r="D15" s="49" t="str">
        <f>Rules!L11</f>
        <v>S</v>
      </c>
      <c r="E15" s="49" t="str">
        <f>Rules!M11</f>
        <v>S</v>
      </c>
      <c r="F15" s="49" t="str">
        <f>Rules!N11</f>
        <v>S</v>
      </c>
      <c r="G15" s="49" t="str">
        <f>Rules!O11</f>
        <v>S</v>
      </c>
      <c r="H15" s="49" t="str">
        <f>Rules!P11</f>
        <v>H</v>
      </c>
      <c r="I15" s="49" t="str">
        <f>Rules!Q11</f>
        <v>H</v>
      </c>
      <c r="J15" s="49" t="str">
        <f>Rules!R11</f>
        <v>H</v>
      </c>
      <c r="K15" s="49" t="str">
        <f>Rules!S11</f>
        <v>R</v>
      </c>
      <c r="M15" s="178">
        <f>'Strategy Summary'!A17</f>
        <v>3</v>
      </c>
      <c r="N15" s="1">
        <f>'Strategy Summary'!B17</f>
        <v>0.40683609963227901</v>
      </c>
      <c r="O15" s="1">
        <f>'Strategy Summary'!C17</f>
        <v>0.54863874573144988</v>
      </c>
      <c r="P15" s="1">
        <f>'Strategy Summary'!D17</f>
        <v>0.61177794258556428</v>
      </c>
      <c r="Q15" s="1">
        <f>'Strategy Summary'!E17</f>
        <v>0.64296867156690674</v>
      </c>
      <c r="R15" s="1">
        <f>'Strategy Summary'!F17</f>
        <v>0.659322772326286</v>
      </c>
      <c r="S15" s="1">
        <f>'Strategy Summary'!G17</f>
        <v>0.66819046911775726</v>
      </c>
      <c r="T15" s="1">
        <f>'Strategy Summary'!H17</f>
        <v>0.67309059870382115</v>
      </c>
      <c r="U15" s="1">
        <f>'Strategy Summary'!I17</f>
        <v>0.67582735968899377</v>
      </c>
      <c r="V15" s="1">
        <f>'Strategy Summary'!J17</f>
        <v>0.67736510074298173</v>
      </c>
      <c r="X15" s="181">
        <f>ER!A10</f>
        <v>12</v>
      </c>
      <c r="Y15" s="34">
        <f>ER!B10</f>
        <v>-0.35054034044008009</v>
      </c>
      <c r="Z15" s="34">
        <f>ER!C10</f>
        <v>-0.25338998596663809</v>
      </c>
      <c r="AA15" s="34">
        <f>ER!D10</f>
        <v>-0.2336908997980866</v>
      </c>
      <c r="AB15" s="34">
        <f>ER!E10</f>
        <v>-0.21106310899491437</v>
      </c>
      <c r="AC15" s="34">
        <f>ER!F10</f>
        <v>-0.16719266083547524</v>
      </c>
      <c r="AD15" s="34">
        <f>ER!G10</f>
        <v>-0.1536990158300045</v>
      </c>
      <c r="AE15" s="34">
        <f>ER!H10</f>
        <v>-0.21284771451731424</v>
      </c>
      <c r="AF15" s="34">
        <f>ER!I10</f>
        <v>-0.27157480502428616</v>
      </c>
      <c r="AG15" s="34">
        <f>ER!J10</f>
        <v>-0.3400132806089356</v>
      </c>
      <c r="AH15" s="34">
        <f>ER!K10</f>
        <v>-0.38104299284808768</v>
      </c>
    </row>
    <row r="16" spans="1:34" x14ac:dyDescent="0.2">
      <c r="A16" s="174">
        <f>Rules!I12</f>
        <v>16</v>
      </c>
      <c r="B16" s="49" t="str">
        <f>Rules!J12</f>
        <v>R</v>
      </c>
      <c r="C16" s="49" t="str">
        <f>Rules!K12</f>
        <v>S</v>
      </c>
      <c r="D16" s="49" t="str">
        <f>Rules!L12</f>
        <v>S</v>
      </c>
      <c r="E16" s="49" t="str">
        <f>Rules!M12</f>
        <v>S</v>
      </c>
      <c r="F16" s="49" t="str">
        <f>Rules!N12</f>
        <v>S</v>
      </c>
      <c r="G16" s="49" t="str">
        <f>Rules!O12</f>
        <v>S</v>
      </c>
      <c r="H16" s="49" t="str">
        <f>Rules!P12</f>
        <v>H</v>
      </c>
      <c r="I16" s="49" t="str">
        <f>Rules!Q12</f>
        <v>H</v>
      </c>
      <c r="J16" s="49" t="str">
        <f>Rules!R12</f>
        <v>R</v>
      </c>
      <c r="K16" s="49" t="str">
        <f>Rules!S12</f>
        <v>R</v>
      </c>
      <c r="M16" s="178">
        <f>'Strategy Summary'!A18</f>
        <v>4</v>
      </c>
      <c r="N16" s="1">
        <f>'Strategy Summary'!B18</f>
        <v>0.49884961234752812</v>
      </c>
      <c r="O16" s="1">
        <f>'Strategy Summary'!C18</f>
        <v>0.65127683118826418</v>
      </c>
      <c r="P16" s="1">
        <f>'Strategy Summary'!D18</f>
        <v>0.71571542635949426</v>
      </c>
      <c r="Q16" s="1">
        <f>'Strategy Summary'!E18</f>
        <v>0.74647403699201287</v>
      </c>
      <c r="R16" s="1">
        <f>'Strategy Summary'!F18</f>
        <v>0.76227502293369487</v>
      </c>
      <c r="S16" s="1">
        <f>'Strategy Summary'!G18</f>
        <v>0.77074207748014534</v>
      </c>
      <c r="T16" s="1">
        <f>'Strategy Summary'!H18</f>
        <v>0.77538929165403103</v>
      </c>
      <c r="U16" s="1">
        <f>'Strategy Summary'!I18</f>
        <v>0.77797483091515596</v>
      </c>
      <c r="V16" s="1">
        <f>'Strategy Summary'!J18</f>
        <v>0.7794244332354302</v>
      </c>
      <c r="X16" s="181">
        <f>ER!A11</f>
        <v>13</v>
      </c>
      <c r="Y16" s="34">
        <f>ER!B11</f>
        <v>-0.3969303161229315</v>
      </c>
      <c r="Z16" s="34">
        <f>ER!C11</f>
        <v>-0.29278372720927726</v>
      </c>
      <c r="AA16" s="34">
        <f>ER!D11</f>
        <v>-0.2522502292357135</v>
      </c>
      <c r="AB16" s="34">
        <f>ER!E11</f>
        <v>-0.21106310899491437</v>
      </c>
      <c r="AC16" s="34">
        <f>ER!F11</f>
        <v>-0.16719266083547524</v>
      </c>
      <c r="AD16" s="34">
        <f>ER!G11</f>
        <v>-0.1536990158300045</v>
      </c>
      <c r="AE16" s="34">
        <f>ER!H11</f>
        <v>-0.26907287776607752</v>
      </c>
      <c r="AF16" s="34">
        <f>ER!I11</f>
        <v>-0.32360517609397998</v>
      </c>
      <c r="AG16" s="34">
        <f>ER!J11</f>
        <v>-0.38715518913686875</v>
      </c>
      <c r="AH16" s="34">
        <f>ER!K11</f>
        <v>-0.42525420764465277</v>
      </c>
    </row>
    <row r="17" spans="1:34" x14ac:dyDescent="0.2">
      <c r="A17" s="174" t="str">
        <f>Rules!I13</f>
        <v>17-21</v>
      </c>
      <c r="B17" s="49" t="str">
        <f>Rules!J13</f>
        <v>S</v>
      </c>
      <c r="C17" s="49" t="str">
        <f>Rules!K13</f>
        <v>S</v>
      </c>
      <c r="D17" s="49" t="str">
        <f>Rules!L13</f>
        <v>S</v>
      </c>
      <c r="E17" s="49" t="str">
        <f>Rules!M13</f>
        <v>S</v>
      </c>
      <c r="F17" s="49" t="str">
        <f>Rules!N13</f>
        <v>S</v>
      </c>
      <c r="G17" s="49" t="str">
        <f>Rules!O13</f>
        <v>S</v>
      </c>
      <c r="H17" s="49" t="str">
        <f>Rules!P13</f>
        <v>S</v>
      </c>
      <c r="I17" s="49" t="str">
        <f>Rules!Q13</f>
        <v>S</v>
      </c>
      <c r="J17" s="49" t="str">
        <f>Rules!R13</f>
        <v>S</v>
      </c>
      <c r="K17" s="49" t="str">
        <f>Rules!S13</f>
        <v>S</v>
      </c>
      <c r="M17" s="361" t="s">
        <v>202</v>
      </c>
      <c r="N17" s="362"/>
      <c r="O17" s="362"/>
      <c r="P17" s="362"/>
      <c r="Q17" s="362"/>
      <c r="R17" s="362"/>
      <c r="S17" s="362"/>
      <c r="T17" s="362"/>
      <c r="U17" s="362"/>
      <c r="V17" s="363"/>
      <c r="X17" s="181">
        <f>ER!A12</f>
        <v>14</v>
      </c>
      <c r="Y17" s="34">
        <f>ER!B12</f>
        <v>-0.44000672211415065</v>
      </c>
      <c r="Z17" s="34">
        <f>ER!C12</f>
        <v>-0.29278372720927726</v>
      </c>
      <c r="AA17" s="34">
        <f>ER!D12</f>
        <v>-0.2522502292357135</v>
      </c>
      <c r="AB17" s="34">
        <f>ER!E12</f>
        <v>-0.21106310899491437</v>
      </c>
      <c r="AC17" s="34">
        <f>ER!F12</f>
        <v>-0.16719266083547524</v>
      </c>
      <c r="AD17" s="34">
        <f>ER!G12</f>
        <v>-0.1536990158300045</v>
      </c>
      <c r="AE17" s="34">
        <f>ER!H12</f>
        <v>-0.3212819579256434</v>
      </c>
      <c r="AF17" s="34">
        <f>ER!I12</f>
        <v>-0.37191909208726714</v>
      </c>
      <c r="AG17" s="34">
        <f>ER!J12</f>
        <v>-0.43092981848423528</v>
      </c>
      <c r="AH17" s="34">
        <f>ER!K12</f>
        <v>-0.46630747852717758</v>
      </c>
    </row>
    <row r="18" spans="1:34" x14ac:dyDescent="0.2">
      <c r="A18" s="174" t="str">
        <f>Rules!I14</f>
        <v>Soft</v>
      </c>
      <c r="B18" s="174" t="str">
        <f>Rules!J14</f>
        <v>A</v>
      </c>
      <c r="C18" s="174">
        <f>Rules!K14</f>
        <v>2</v>
      </c>
      <c r="D18" s="174">
        <f>Rules!L14</f>
        <v>3</v>
      </c>
      <c r="E18" s="174">
        <f>Rules!M14</f>
        <v>4</v>
      </c>
      <c r="F18" s="174">
        <f>Rules!N14</f>
        <v>5</v>
      </c>
      <c r="G18" s="174">
        <f>Rules!O14</f>
        <v>6</v>
      </c>
      <c r="H18" s="174">
        <f>Rules!P14</f>
        <v>7</v>
      </c>
      <c r="I18" s="174">
        <f>Rules!Q14</f>
        <v>8</v>
      </c>
      <c r="J18" s="174">
        <f>Rules!R14</f>
        <v>9</v>
      </c>
      <c r="K18" s="174">
        <f>Rules!S14</f>
        <v>10</v>
      </c>
      <c r="M18" s="178" t="s">
        <v>135</v>
      </c>
      <c r="N18" s="178" t="str">
        <f>'Strategy Summary'!B26</f>
        <v>1x2</v>
      </c>
      <c r="O18" s="178" t="str">
        <f>'Strategy Summary'!C26</f>
        <v>1x3</v>
      </c>
      <c r="P18" s="178" t="str">
        <f>'Strategy Summary'!D26</f>
        <v>1x4</v>
      </c>
      <c r="Q18" s="178" t="str">
        <f>'Strategy Summary'!E26</f>
        <v>1x5</v>
      </c>
      <c r="R18" s="178" t="str">
        <f>'Strategy Summary'!F26</f>
        <v>1x6</v>
      </c>
      <c r="S18" s="178" t="str">
        <f>'Strategy Summary'!G26</f>
        <v>1x7</v>
      </c>
      <c r="T18" s="178" t="str">
        <f>'Strategy Summary'!H26</f>
        <v>1x8</v>
      </c>
      <c r="U18" s="178" t="str">
        <f>'Strategy Summary'!I26</f>
        <v>1x9</v>
      </c>
      <c r="V18" s="178" t="str">
        <f>'Strategy Summary'!J26</f>
        <v>1x10</v>
      </c>
      <c r="X18" s="181">
        <f>ER!A13</f>
        <v>15</v>
      </c>
      <c r="Y18" s="34">
        <f>ER!B13</f>
        <v>-0.4800062419631399</v>
      </c>
      <c r="Z18" s="34">
        <f>ER!C13</f>
        <v>-0.29278372720927726</v>
      </c>
      <c r="AA18" s="34">
        <f>ER!D13</f>
        <v>-0.2522502292357135</v>
      </c>
      <c r="AB18" s="34">
        <f>ER!E13</f>
        <v>-0.21106310899491437</v>
      </c>
      <c r="AC18" s="34">
        <f>ER!F13</f>
        <v>-0.16719266083547524</v>
      </c>
      <c r="AD18" s="34">
        <f>ER!G13</f>
        <v>-0.1536990158300045</v>
      </c>
      <c r="AE18" s="34">
        <f>ER!H13</f>
        <v>-0.36976181807381175</v>
      </c>
      <c r="AF18" s="34">
        <f>ER!I13</f>
        <v>-0.41678201408103371</v>
      </c>
      <c r="AG18" s="34">
        <f>ER!J13</f>
        <v>-0.47157768859250415</v>
      </c>
      <c r="AH18" s="34">
        <f>ER!K13</f>
        <v>-0.5</v>
      </c>
    </row>
    <row r="19" spans="1:34" x14ac:dyDescent="0.2">
      <c r="A19" s="174">
        <f>Rules!I15</f>
        <v>13</v>
      </c>
      <c r="B19" s="49" t="str">
        <f>Rules!J15</f>
        <v>H</v>
      </c>
      <c r="C19" s="49" t="str">
        <f>Rules!K15</f>
        <v>H</v>
      </c>
      <c r="D19" s="49" t="str">
        <f>Rules!L15</f>
        <v>H</v>
      </c>
      <c r="E19" s="49" t="str">
        <f>Rules!M15</f>
        <v>H</v>
      </c>
      <c r="F19" s="49" t="str">
        <f>Rules!N15</f>
        <v>H</v>
      </c>
      <c r="G19" s="49" t="str">
        <f>Rules!O15</f>
        <v>D</v>
      </c>
      <c r="H19" s="49" t="str">
        <f>Rules!P15</f>
        <v>H</v>
      </c>
      <c r="I19" s="49" t="str">
        <f>Rules!Q15</f>
        <v>H</v>
      </c>
      <c r="J19" s="49" t="str">
        <f>Rules!R15</f>
        <v>H</v>
      </c>
      <c r="K19" s="49" t="str">
        <f>Rules!S15</f>
        <v>H</v>
      </c>
      <c r="M19" s="178">
        <f>'Strategy Summary'!A28</f>
        <v>2</v>
      </c>
      <c r="N19" s="1">
        <f>'Strategy Summary'!B28</f>
        <v>23.808598252139973</v>
      </c>
      <c r="O19" s="1">
        <f>'Strategy Summary'!C28</f>
        <v>31.82412012205414</v>
      </c>
      <c r="P19" s="1">
        <f>'Strategy Summary'!D28</f>
        <v>45.90822627354261</v>
      </c>
      <c r="Q19" s="1">
        <f>'Strategy Summary'!E28</f>
        <v>64.442632072242361</v>
      </c>
      <c r="R19" s="1">
        <f>'Strategy Summary'!F28</f>
        <v>87.228592328111304</v>
      </c>
      <c r="S19" s="1">
        <f>'Strategy Summary'!G28</f>
        <v>114.22902058581229</v>
      </c>
      <c r="T19" s="1">
        <f>'Strategy Summary'!H28</f>
        <v>145.42282055564115</v>
      </c>
      <c r="U19" s="1">
        <f>'Strategy Summary'!I28</f>
        <v>180.78295720771439</v>
      </c>
      <c r="V19" s="1">
        <f>'Strategy Summary'!J28</f>
        <v>220.27773175146362</v>
      </c>
      <c r="X19" s="181">
        <f>ER!A14</f>
        <v>16</v>
      </c>
      <c r="Y19" s="34">
        <f>ER!B14</f>
        <v>-0.5</v>
      </c>
      <c r="Z19" s="34">
        <f>ER!C14</f>
        <v>-0.29278372720927726</v>
      </c>
      <c r="AA19" s="34">
        <f>ER!D14</f>
        <v>-0.2522502292357135</v>
      </c>
      <c r="AB19" s="34">
        <f>ER!E14</f>
        <v>-0.21106310899491437</v>
      </c>
      <c r="AC19" s="34">
        <f>ER!F14</f>
        <v>-0.16719266083547524</v>
      </c>
      <c r="AD19" s="34">
        <f>ER!G14</f>
        <v>-0.1536990158300045</v>
      </c>
      <c r="AE19" s="34">
        <f>ER!H14</f>
        <v>-0.41477883106853947</v>
      </c>
      <c r="AF19" s="34">
        <f>ER!I14</f>
        <v>-0.45844044164667419</v>
      </c>
      <c r="AG19" s="34">
        <f>ER!J14</f>
        <v>-0.5</v>
      </c>
      <c r="AH19" s="34">
        <f>ER!K14</f>
        <v>-0.5</v>
      </c>
    </row>
    <row r="20" spans="1:34" x14ac:dyDescent="0.2">
      <c r="A20" s="174">
        <f>Rules!I16</f>
        <v>14</v>
      </c>
      <c r="B20" s="49" t="str">
        <f>Rules!J16</f>
        <v>H</v>
      </c>
      <c r="C20" s="49" t="str">
        <f>Rules!K16</f>
        <v>H</v>
      </c>
      <c r="D20" s="49" t="str">
        <f>Rules!L16</f>
        <v>H</v>
      </c>
      <c r="E20" s="49" t="str">
        <f>Rules!M16</f>
        <v>H</v>
      </c>
      <c r="F20" s="49" t="str">
        <f>Rules!N16</f>
        <v>D</v>
      </c>
      <c r="G20" s="49" t="str">
        <f>Rules!O16</f>
        <v>D</v>
      </c>
      <c r="H20" s="49" t="str">
        <f>Rules!P16</f>
        <v>H</v>
      </c>
      <c r="I20" s="49" t="str">
        <f>Rules!Q16</f>
        <v>H</v>
      </c>
      <c r="J20" s="49" t="str">
        <f>Rules!R16</f>
        <v>H</v>
      </c>
      <c r="K20" s="49" t="str">
        <f>Rules!S16</f>
        <v>H</v>
      </c>
      <c r="M20" s="178">
        <f>'Strategy Summary'!A29</f>
        <v>3</v>
      </c>
      <c r="N20" s="1">
        <f>'Strategy Summary'!B29</f>
        <v>34.411892191115719</v>
      </c>
      <c r="O20" s="1">
        <f>'Strategy Summary'!C29</f>
        <v>71.085026902365172</v>
      </c>
      <c r="P20" s="1">
        <f>'Strategy Summary'!D29</f>
        <v>137.30472145659553</v>
      </c>
      <c r="Q20" s="1">
        <f>'Strategy Summary'!E29</f>
        <v>241.06928821627795</v>
      </c>
      <c r="R20" s="1">
        <f>'Strategy Summary'!F29</f>
        <v>391.31061572422198</v>
      </c>
      <c r="S20" s="1">
        <f>'Strategy Summary'!G29</f>
        <v>597.13512604694608</v>
      </c>
      <c r="T20" s="1">
        <f>'Strategy Summary'!H29</f>
        <v>867.63951409307447</v>
      </c>
      <c r="U20" s="1">
        <f>'Strategy Summary'!I29</f>
        <v>1211.8479494184614</v>
      </c>
      <c r="V20" s="1">
        <f>'Strategy Summary'!J29</f>
        <v>1638.7026712514032</v>
      </c>
      <c r="X20" s="181">
        <f>ER!A15</f>
        <v>17</v>
      </c>
      <c r="Y20" s="34">
        <f>ER!B15</f>
        <v>-0.47803347499473703</v>
      </c>
      <c r="Z20" s="34">
        <f>ER!C15</f>
        <v>-0.15297458768154204</v>
      </c>
      <c r="AA20" s="34">
        <f>ER!D15</f>
        <v>-0.11721624142457365</v>
      </c>
      <c r="AB20" s="34">
        <f>ER!E15</f>
        <v>-8.0573373145316152E-2</v>
      </c>
      <c r="AC20" s="34">
        <f>ER!F15</f>
        <v>-4.4941375564924446E-2</v>
      </c>
      <c r="AD20" s="34">
        <f>ER!G15</f>
        <v>1.1739160673341853E-2</v>
      </c>
      <c r="AE20" s="34">
        <f>ER!H15</f>
        <v>-0.10680898948269468</v>
      </c>
      <c r="AF20" s="34">
        <f>ER!I15</f>
        <v>-0.38195097104844711</v>
      </c>
      <c r="AG20" s="34">
        <f>ER!J15</f>
        <v>-0.42315423964521737</v>
      </c>
      <c r="AH20" s="34">
        <f>ER!K15</f>
        <v>-0.41972063392881986</v>
      </c>
    </row>
    <row r="21" spans="1:34" x14ac:dyDescent="0.2">
      <c r="A21" s="174">
        <f>Rules!I17</f>
        <v>15</v>
      </c>
      <c r="B21" s="49" t="str">
        <f>Rules!J17</f>
        <v>H</v>
      </c>
      <c r="C21" s="49" t="str">
        <f>Rules!K17</f>
        <v>H</v>
      </c>
      <c r="D21" s="49" t="str">
        <f>Rules!L17</f>
        <v>H</v>
      </c>
      <c r="E21" s="49" t="str">
        <f>Rules!M17</f>
        <v>H</v>
      </c>
      <c r="F21" s="49" t="str">
        <f>Rules!N17</f>
        <v>D</v>
      </c>
      <c r="G21" s="49" t="str">
        <f>Rules!O17</f>
        <v>D</v>
      </c>
      <c r="H21" s="49" t="str">
        <f>Rules!P17</f>
        <v>H</v>
      </c>
      <c r="I21" s="49" t="str">
        <f>Rules!Q17</f>
        <v>H</v>
      </c>
      <c r="J21" s="49" t="str">
        <f>Rules!R17</f>
        <v>H</v>
      </c>
      <c r="K21" s="49" t="str">
        <f>Rules!S17</f>
        <v>H</v>
      </c>
      <c r="M21" s="178">
        <f>'Strategy Summary'!A30</f>
        <v>4</v>
      </c>
      <c r="N21" s="1">
        <f>'Strategy Summary'!B30</f>
        <v>60.13836486476054</v>
      </c>
      <c r="O21" s="1">
        <f>'Strategy Summary'!C30</f>
        <v>184.25344531458032</v>
      </c>
      <c r="P21" s="1">
        <f>'Strategy Summary'!D30</f>
        <v>475.04914310624702</v>
      </c>
      <c r="Q21" s="1">
        <f>'Strategy Summary'!E30</f>
        <v>1044.9124301001589</v>
      </c>
      <c r="R21" s="1">
        <f>'Strategy Summary'!F30</f>
        <v>2038.6342897859477</v>
      </c>
      <c r="S21" s="1">
        <f>'Strategy Summary'!G30</f>
        <v>3632.8625123910265</v>
      </c>
      <c r="T21" s="1">
        <f>'Strategy Summary'!H30</f>
        <v>6035.6778851263234</v>
      </c>
      <c r="U21" s="1">
        <f>'Strategy Summary'!I30</f>
        <v>9486.16806962595</v>
      </c>
      <c r="V21" s="1">
        <f>'Strategy Summary'!J30</f>
        <v>14254.107936906505</v>
      </c>
      <c r="X21" s="181">
        <f>ER!A16</f>
        <v>18</v>
      </c>
      <c r="Y21" s="34">
        <f>ER!B16</f>
        <v>-0.10019887561319057</v>
      </c>
      <c r="Z21" s="34">
        <f>ER!C16</f>
        <v>0.12174190222088771</v>
      </c>
      <c r="AA21" s="34">
        <f>ER!D16</f>
        <v>0.14830007284131119</v>
      </c>
      <c r="AB21" s="34">
        <f>ER!E16</f>
        <v>0.17585443719748528</v>
      </c>
      <c r="AC21" s="34">
        <f>ER!F16</f>
        <v>0.19956119497617719</v>
      </c>
      <c r="AD21" s="34">
        <f>ER!G16</f>
        <v>0.28344391604689856</v>
      </c>
      <c r="AE21" s="34">
        <f>ER!H16</f>
        <v>0.3995541673365518</v>
      </c>
      <c r="AF21" s="34">
        <f>ER!I16</f>
        <v>0.10595134861912359</v>
      </c>
      <c r="AG21" s="34">
        <f>ER!J16</f>
        <v>-0.18316335667343331</v>
      </c>
      <c r="AH21" s="34">
        <f>ER!K16</f>
        <v>-0.17830123379648949</v>
      </c>
    </row>
    <row r="22" spans="1:34" x14ac:dyDescent="0.2">
      <c r="A22" s="174">
        <f>Rules!I18</f>
        <v>16</v>
      </c>
      <c r="B22" s="49" t="str">
        <f>Rules!J18</f>
        <v>H</v>
      </c>
      <c r="C22" s="49" t="str">
        <f>Rules!K18</f>
        <v>H</v>
      </c>
      <c r="D22" s="49" t="str">
        <f>Rules!L18</f>
        <v>H</v>
      </c>
      <c r="E22" s="49" t="str">
        <f>Rules!M18</f>
        <v>D</v>
      </c>
      <c r="F22" s="49" t="str">
        <f>Rules!N18</f>
        <v>D</v>
      </c>
      <c r="G22" s="49" t="str">
        <f>Rules!O18</f>
        <v>D</v>
      </c>
      <c r="H22" s="49" t="str">
        <f>Rules!P18</f>
        <v>H</v>
      </c>
      <c r="I22" s="49" t="str">
        <f>Rules!Q18</f>
        <v>H</v>
      </c>
      <c r="J22" s="49" t="str">
        <f>Rules!R18</f>
        <v>H</v>
      </c>
      <c r="K22" s="49" t="str">
        <f>Rules!S18</f>
        <v>H</v>
      </c>
      <c r="M22" s="361" t="s">
        <v>203</v>
      </c>
      <c r="N22" s="362"/>
      <c r="O22" s="362"/>
      <c r="P22" s="362"/>
      <c r="Q22" s="362"/>
      <c r="R22" s="362"/>
      <c r="S22" s="362"/>
      <c r="T22" s="362"/>
      <c r="U22" s="362"/>
      <c r="V22" s="363"/>
      <c r="X22" s="181">
        <f>ER!A17</f>
        <v>19</v>
      </c>
      <c r="Y22" s="34">
        <f>ER!B17</f>
        <v>0.27763572376835594</v>
      </c>
      <c r="Z22" s="34">
        <f>ER!C17</f>
        <v>0.38630468602058993</v>
      </c>
      <c r="AA22" s="34">
        <f>ER!D17</f>
        <v>0.4043629365977599</v>
      </c>
      <c r="AB22" s="34">
        <f>ER!E17</f>
        <v>0.42317892482749653</v>
      </c>
      <c r="AC22" s="34">
        <f>ER!F17</f>
        <v>0.43951210416088371</v>
      </c>
      <c r="AD22" s="34">
        <f>ER!G17</f>
        <v>0.49597707378731914</v>
      </c>
      <c r="AE22" s="34">
        <f>ER!H17</f>
        <v>0.6159764957534315</v>
      </c>
      <c r="AF22" s="34">
        <f>ER!I17</f>
        <v>0.59385366828669439</v>
      </c>
      <c r="AG22" s="34">
        <f>ER!J17</f>
        <v>0.28759675706758148</v>
      </c>
      <c r="AH22" s="34">
        <f>ER!K17</f>
        <v>6.3118166335840831E-2</v>
      </c>
    </row>
    <row r="23" spans="1:34" x14ac:dyDescent="0.2">
      <c r="A23" s="174">
        <f>Rules!I19</f>
        <v>17</v>
      </c>
      <c r="B23" s="49" t="str">
        <f>Rules!J19</f>
        <v>H</v>
      </c>
      <c r="C23" s="49" t="str">
        <f>Rules!K19</f>
        <v>H</v>
      </c>
      <c r="D23" s="49" t="str">
        <f>Rules!L19</f>
        <v>D</v>
      </c>
      <c r="E23" s="49" t="str">
        <f>Rules!M19</f>
        <v>D</v>
      </c>
      <c r="F23" s="49" t="str">
        <f>Rules!N19</f>
        <v>D</v>
      </c>
      <c r="G23" s="49" t="str">
        <f>Rules!O19</f>
        <v>D</v>
      </c>
      <c r="H23" s="49" t="str">
        <f>Rules!P19</f>
        <v>H</v>
      </c>
      <c r="I23" s="49" t="str">
        <f>Rules!Q19</f>
        <v>H</v>
      </c>
      <c r="J23" s="49" t="str">
        <f>Rules!R19</f>
        <v>H</v>
      </c>
      <c r="K23" s="49" t="str">
        <f>Rules!S19</f>
        <v>H</v>
      </c>
      <c r="M23" s="178" t="s">
        <v>135</v>
      </c>
      <c r="N23" s="178" t="str">
        <f>'Strategy Summary'!B50</f>
        <v>1x2</v>
      </c>
      <c r="O23" s="178" t="str">
        <f>'Strategy Summary'!C50</f>
        <v>1x3</v>
      </c>
      <c r="P23" s="178" t="str">
        <f>'Strategy Summary'!D50</f>
        <v>1x4</v>
      </c>
      <c r="Q23" s="178" t="str">
        <f>'Strategy Summary'!E50</f>
        <v>1x5</v>
      </c>
      <c r="R23" s="178" t="str">
        <f>'Strategy Summary'!F50</f>
        <v>1x6</v>
      </c>
      <c r="S23" s="178" t="str">
        <f>'Strategy Summary'!G50</f>
        <v>1x7</v>
      </c>
      <c r="T23" s="178" t="str">
        <f>'Strategy Summary'!H50</f>
        <v>1x8</v>
      </c>
      <c r="U23" s="178" t="str">
        <f>'Strategy Summary'!I50</f>
        <v>1x9</v>
      </c>
      <c r="V23" s="178" t="str">
        <f>'Strategy Summary'!J50</f>
        <v>1x10</v>
      </c>
      <c r="X23" s="181" t="str">
        <f>ER!A18</f>
        <v>Soft</v>
      </c>
      <c r="Y23" s="181" t="str">
        <f>ER!B18</f>
        <v>Ace</v>
      </c>
      <c r="Z23" s="181">
        <f>ER!C18</f>
        <v>2</v>
      </c>
      <c r="AA23" s="181">
        <f>ER!D18</f>
        <v>3</v>
      </c>
      <c r="AB23" s="181">
        <f>ER!E18</f>
        <v>4</v>
      </c>
      <c r="AC23" s="181">
        <f>ER!F18</f>
        <v>5</v>
      </c>
      <c r="AD23" s="181">
        <f>ER!G18</f>
        <v>6</v>
      </c>
      <c r="AE23" s="181">
        <f>ER!H18</f>
        <v>7</v>
      </c>
      <c r="AF23" s="181">
        <f>ER!I18</f>
        <v>8</v>
      </c>
      <c r="AG23" s="181">
        <f>ER!J18</f>
        <v>9</v>
      </c>
      <c r="AH23" s="181">
        <f>ER!K18</f>
        <v>10</v>
      </c>
    </row>
    <row r="24" spans="1:34" x14ac:dyDescent="0.2">
      <c r="A24" s="174">
        <f>Rules!I20</f>
        <v>18</v>
      </c>
      <c r="B24" s="49" t="str">
        <f>Rules!J20</f>
        <v>H</v>
      </c>
      <c r="C24" s="49" t="str">
        <f>Rules!K20</f>
        <v>S</v>
      </c>
      <c r="D24" s="49" t="str">
        <f>Rules!L20</f>
        <v>D</v>
      </c>
      <c r="E24" s="49" t="str">
        <f>Rules!M20</f>
        <v>D</v>
      </c>
      <c r="F24" s="49" t="str">
        <f>Rules!N20</f>
        <v>D</v>
      </c>
      <c r="G24" s="49" t="str">
        <f>Rules!O20</f>
        <v>D</v>
      </c>
      <c r="H24" s="49" t="str">
        <f>Rules!P20</f>
        <v>S</v>
      </c>
      <c r="I24" s="49" t="str">
        <f>Rules!Q20</f>
        <v>S</v>
      </c>
      <c r="J24" s="49" t="str">
        <f>Rules!R20</f>
        <v>H</v>
      </c>
      <c r="K24" s="49" t="str">
        <f>Rules!S20</f>
        <v>H</v>
      </c>
      <c r="M24" s="178">
        <v>1</v>
      </c>
      <c r="N24" s="1">
        <f>'Strategy Summary (2)'!B27</f>
        <v>-50.107986626434226</v>
      </c>
      <c r="O24" s="1">
        <f>'Strategy Summary (2)'!C27</f>
        <v>180.81302430490689</v>
      </c>
      <c r="P24" s="1">
        <f>'Strategy Summary (2)'!D27</f>
        <v>126.61829499950055</v>
      </c>
      <c r="Q24" s="1">
        <f>'Strategy Summary (2)'!E27</f>
        <v>145.57801462857782</v>
      </c>
      <c r="R24" s="1">
        <f>'Strategy Summary (2)'!F27</f>
        <v>180.85731055876883</v>
      </c>
      <c r="S24" s="1">
        <f>'Strategy Summary (2)'!G27</f>
        <v>226.99434234786634</v>
      </c>
      <c r="T24" s="1">
        <f>'Strategy Summary (2)'!H27</f>
        <v>282.58026751175981</v>
      </c>
      <c r="U24" s="1">
        <f>'Strategy Summary (2)'!I27</f>
        <v>347.0283581890863</v>
      </c>
      <c r="V24" s="1">
        <f>'Strategy Summary (2)'!J27</f>
        <v>419.99002748793157</v>
      </c>
      <c r="X24" s="181">
        <f>ER!A19</f>
        <v>13</v>
      </c>
      <c r="Y24" s="34">
        <f>ER!B19</f>
        <v>-5.7308046666810254E-2</v>
      </c>
      <c r="Z24" s="34">
        <f>ER!C19</f>
        <v>4.6636132695309578E-2</v>
      </c>
      <c r="AA24" s="34">
        <f>ER!D19</f>
        <v>7.4118813392744051E-2</v>
      </c>
      <c r="AB24" s="34">
        <f>ER!E19</f>
        <v>0.10247714687203523</v>
      </c>
      <c r="AC24" s="34">
        <f>ER!F19</f>
        <v>0.13336273848321728</v>
      </c>
      <c r="AD24" s="34">
        <f>ER!G19</f>
        <v>0.17974820582791512</v>
      </c>
      <c r="AE24" s="34">
        <f>ER!H19</f>
        <v>0.12238569517899196</v>
      </c>
      <c r="AF24" s="34">
        <f>ER!I19</f>
        <v>5.4057070196311299E-2</v>
      </c>
      <c r="AG24" s="34">
        <f>ER!J19</f>
        <v>-3.7694688127479885E-2</v>
      </c>
      <c r="AH24" s="34">
        <f>ER!K19</f>
        <v>-0.10485135840627779</v>
      </c>
    </row>
    <row r="25" spans="1:34" x14ac:dyDescent="0.2">
      <c r="A25" s="174">
        <f>Rules!I21</f>
        <v>19</v>
      </c>
      <c r="B25" s="49" t="str">
        <f>Rules!J21</f>
        <v>S</v>
      </c>
      <c r="C25" s="49" t="str">
        <f>Rules!K21</f>
        <v>S</v>
      </c>
      <c r="D25" s="49" t="str">
        <f>Rules!L21</f>
        <v>S</v>
      </c>
      <c r="E25" s="49" t="str">
        <f>Rules!M21</f>
        <v>S</v>
      </c>
      <c r="F25" s="49" t="str">
        <f>Rules!N21</f>
        <v>S</v>
      </c>
      <c r="G25" s="49" t="str">
        <f>Rules!O21</f>
        <v>S</v>
      </c>
      <c r="H25" s="49" t="str">
        <f>Rules!P21</f>
        <v>S</v>
      </c>
      <c r="I25" s="49" t="str">
        <f>Rules!Q21</f>
        <v>S</v>
      </c>
      <c r="J25" s="49" t="str">
        <f>Rules!R21</f>
        <v>S</v>
      </c>
      <c r="K25" s="49" t="str">
        <f>Rules!S21</f>
        <v>S</v>
      </c>
      <c r="M25" s="178">
        <v>2</v>
      </c>
      <c r="N25" s="1">
        <f>'Strategy Summary (2)'!B28</f>
        <v>39.68099708689995</v>
      </c>
      <c r="O25" s="1">
        <f>'Strategy Summary (2)'!C28</f>
        <v>71.604270274621811</v>
      </c>
      <c r="P25" s="1">
        <f>'Strategy Summary (2)'!D28</f>
        <v>128.5430335659193</v>
      </c>
      <c r="Q25" s="1">
        <f>'Strategy Summary (2)'!E28</f>
        <v>214.80877357414121</v>
      </c>
      <c r="R25" s="1">
        <f>'Strategy Summary (2)'!F28</f>
        <v>336.45314183700071</v>
      </c>
      <c r="S25" s="1">
        <f>'Strategy Summary (2)'!G28</f>
        <v>499.75196506292878</v>
      </c>
      <c r="T25" s="1">
        <f>'Strategy Summary (2)'!H28</f>
        <v>710.95601160535671</v>
      </c>
      <c r="U25" s="1">
        <f>'Strategy Summary (2)'!I28</f>
        <v>976.22796892165763</v>
      </c>
      <c r="V25" s="1">
        <f>'Strategy Summary (2)'!J28</f>
        <v>1301.6411421677396</v>
      </c>
      <c r="X25" s="181">
        <f>ER!A20</f>
        <v>14</v>
      </c>
      <c r="Y25" s="34">
        <f>ER!B20</f>
        <v>-9.3874324768310105E-2</v>
      </c>
      <c r="Z25" s="34">
        <f>ER!C20</f>
        <v>2.2391856987839083E-2</v>
      </c>
      <c r="AA25" s="34">
        <f>ER!D20</f>
        <v>5.0806738919282814E-2</v>
      </c>
      <c r="AB25" s="34">
        <f>ER!E20</f>
        <v>8.0081414310110233E-2</v>
      </c>
      <c r="AC25" s="34">
        <f>ER!F20</f>
        <v>0.12595448524867925</v>
      </c>
      <c r="AD25" s="34">
        <f>ER!G20</f>
        <v>0.17974820582791512</v>
      </c>
      <c r="AE25" s="34">
        <f>ER!H20</f>
        <v>7.9507488494468148E-2</v>
      </c>
      <c r="AF25" s="34">
        <f>ER!I20</f>
        <v>1.3277219463208444E-2</v>
      </c>
      <c r="AG25" s="34">
        <f>ER!J20</f>
        <v>-7.516318944168382E-2</v>
      </c>
      <c r="AH25" s="34">
        <f>ER!K20</f>
        <v>-0.13946678217545452</v>
      </c>
    </row>
    <row r="26" spans="1:34" x14ac:dyDescent="0.2">
      <c r="A26" s="174" t="str">
        <f>Rules!I22</f>
        <v>Pair</v>
      </c>
      <c r="B26" s="174" t="str">
        <f>Rules!J22</f>
        <v>A</v>
      </c>
      <c r="C26" s="174">
        <f>Rules!K22</f>
        <v>2</v>
      </c>
      <c r="D26" s="174">
        <f>Rules!L22</f>
        <v>3</v>
      </c>
      <c r="E26" s="174">
        <f>Rules!M22</f>
        <v>4</v>
      </c>
      <c r="F26" s="174">
        <f>Rules!N22</f>
        <v>5</v>
      </c>
      <c r="G26" s="174">
        <f>Rules!O22</f>
        <v>6</v>
      </c>
      <c r="H26" s="174">
        <f>Rules!P22</f>
        <v>7</v>
      </c>
      <c r="I26" s="174">
        <f>Rules!Q22</f>
        <v>8</v>
      </c>
      <c r="J26" s="174">
        <f>Rules!R22</f>
        <v>9</v>
      </c>
      <c r="K26" s="174">
        <f>Rules!S22</f>
        <v>10</v>
      </c>
      <c r="M26" s="178">
        <v>3</v>
      </c>
      <c r="N26" s="1">
        <f>'Strategy Summary (2)'!B29</f>
        <v>61.449807484135221</v>
      </c>
      <c r="O26" s="1">
        <f>'Strategy Summary (2)'!C29</f>
        <v>169.51044876717847</v>
      </c>
      <c r="P26" s="1">
        <f>'Strategy Summary (2)'!D29</f>
        <v>402.10668426574409</v>
      </c>
      <c r="Q26" s="1">
        <f>'Strategy Summary (2)'!E29</f>
        <v>832.07786577876584</v>
      </c>
      <c r="R26" s="1">
        <f>'Strategy Summary (2)'!F29</f>
        <v>1551.5920925809266</v>
      </c>
      <c r="S26" s="1">
        <f>'Strategy Summary (2)'!G29</f>
        <v>2671.3939849468638</v>
      </c>
      <c r="T26" s="1">
        <f>'Strategy Summary (2)'!H29</f>
        <v>4320.3693612716797</v>
      </c>
      <c r="U26" s="1">
        <f>'Strategy Summary (2)'!I29</f>
        <v>6645.1882061517827</v>
      </c>
      <c r="V26" s="1">
        <f>'Strategy Summary (2)'!J29</f>
        <v>9810.0713968158325</v>
      </c>
      <c r="X26" s="181">
        <f>ER!A21</f>
        <v>15</v>
      </c>
      <c r="Y26" s="34">
        <f>ER!B21</f>
        <v>-0.13002650167843849</v>
      </c>
      <c r="Z26" s="34">
        <f>ER!C21</f>
        <v>-1.2068474052636583E-4</v>
      </c>
      <c r="AA26" s="34">
        <f>ER!D21</f>
        <v>2.9159812622497363E-2</v>
      </c>
      <c r="AB26" s="34">
        <f>ER!E21</f>
        <v>5.9285376931179926E-2</v>
      </c>
      <c r="AC26" s="34">
        <f>ER!F21</f>
        <v>0.12595448524867925</v>
      </c>
      <c r="AD26" s="34">
        <f>ER!G21</f>
        <v>0.17974820582791512</v>
      </c>
      <c r="AE26" s="34">
        <f>ER!H21</f>
        <v>3.7028282279269235E-2</v>
      </c>
      <c r="AF26" s="34">
        <f>ER!I21</f>
        <v>-2.7054780502901672E-2</v>
      </c>
      <c r="AG26" s="34">
        <f>ER!J21</f>
        <v>-0.11218876868994289</v>
      </c>
      <c r="AH26" s="34">
        <f>ER!K21</f>
        <v>-0.17370423031226784</v>
      </c>
    </row>
    <row r="27" spans="1:34" x14ac:dyDescent="0.2">
      <c r="A27" s="174" t="str">
        <f>Rules!I23</f>
        <v>A</v>
      </c>
      <c r="B27" s="49" t="str">
        <f>Rules!J23</f>
        <v>P</v>
      </c>
      <c r="C27" s="49" t="str">
        <f>Rules!K23</f>
        <v>P</v>
      </c>
      <c r="D27" s="49" t="str">
        <f>Rules!L23</f>
        <v>P</v>
      </c>
      <c r="E27" s="49" t="str">
        <f>Rules!M23</f>
        <v>P</v>
      </c>
      <c r="F27" s="49" t="str">
        <f>Rules!N23</f>
        <v>P</v>
      </c>
      <c r="G27" s="49" t="str">
        <f>Rules!O23</f>
        <v>P</v>
      </c>
      <c r="H27" s="49" t="str">
        <f>Rules!P23</f>
        <v>P</v>
      </c>
      <c r="I27" s="49" t="str">
        <f>Rules!Q23</f>
        <v>P</v>
      </c>
      <c r="J27" s="49" t="str">
        <f>Rules!R23</f>
        <v>P</v>
      </c>
      <c r="K27" s="49" t="str">
        <f>Rules!S23</f>
        <v>P</v>
      </c>
      <c r="M27" s="361" t="s">
        <v>204</v>
      </c>
      <c r="N27" s="362"/>
      <c r="O27" s="362"/>
      <c r="P27" s="362"/>
      <c r="Q27" s="362"/>
      <c r="R27" s="362"/>
      <c r="S27" s="362"/>
      <c r="T27" s="362"/>
      <c r="U27" s="362"/>
      <c r="V27" s="363"/>
      <c r="X27" s="181">
        <f>ER!A22</f>
        <v>16</v>
      </c>
      <c r="Y27" s="34">
        <f>ER!B22</f>
        <v>-0.16563717206687348</v>
      </c>
      <c r="Z27" s="34">
        <f>ER!C22</f>
        <v>-2.1025187774008566E-2</v>
      </c>
      <c r="AA27" s="34">
        <f>ER!D22</f>
        <v>9.0590953469108244E-3</v>
      </c>
      <c r="AB27" s="34">
        <f>ER!E22</f>
        <v>5.8426518743744951E-2</v>
      </c>
      <c r="AC27" s="34">
        <f>ER!F22</f>
        <v>0.12595448524867925</v>
      </c>
      <c r="AD27" s="34">
        <f>ER!G22</f>
        <v>0.17974820582791512</v>
      </c>
      <c r="AE27" s="34">
        <f>ER!H22</f>
        <v>-4.8901571730158942E-3</v>
      </c>
      <c r="AF27" s="34">
        <f>ER!I22</f>
        <v>-6.6794847920094103E-2</v>
      </c>
      <c r="AG27" s="34">
        <f>ER!J22</f>
        <v>-0.14864353463007471</v>
      </c>
      <c r="AH27" s="34">
        <f>ER!K22</f>
        <v>-0.20744109003068206</v>
      </c>
    </row>
    <row r="28" spans="1:34" x14ac:dyDescent="0.2">
      <c r="A28" s="174">
        <f>Rules!I24</f>
        <v>2</v>
      </c>
      <c r="B28" s="49" t="str">
        <f>Rules!J24</f>
        <v>H</v>
      </c>
      <c r="C28" s="49" t="str">
        <f>Rules!K24</f>
        <v>P</v>
      </c>
      <c r="D28" s="49" t="str">
        <f>Rules!L24</f>
        <v>P</v>
      </c>
      <c r="E28" s="49" t="str">
        <f>Rules!M24</f>
        <v>P</v>
      </c>
      <c r="F28" s="49" t="str">
        <f>Rules!N24</f>
        <v>P</v>
      </c>
      <c r="G28" s="49" t="str">
        <f>Rules!O24</f>
        <v>P</v>
      </c>
      <c r="H28" s="49" t="str">
        <f>Rules!P24</f>
        <v>P</v>
      </c>
      <c r="I28" s="49" t="str">
        <f>Rules!Q24</f>
        <v>H</v>
      </c>
      <c r="J28" s="49" t="str">
        <f>Rules!R24</f>
        <v>H</v>
      </c>
      <c r="K28" s="49" t="str">
        <f>Rules!S24</f>
        <v>H</v>
      </c>
      <c r="M28" s="178" t="s">
        <v>135</v>
      </c>
      <c r="N28" s="178" t="str">
        <f>'Strategy Summary'!B62</f>
        <v>1x2</v>
      </c>
      <c r="O28" s="178" t="str">
        <f>'Strategy Summary'!C62</f>
        <v>1x3</v>
      </c>
      <c r="P28" s="178" t="str">
        <f>'Strategy Summary'!D62</f>
        <v>1x4</v>
      </c>
      <c r="Q28" s="178" t="str">
        <f>'Strategy Summary'!E62</f>
        <v>1x5</v>
      </c>
      <c r="R28" s="178" t="str">
        <f>'Strategy Summary'!F62</f>
        <v>1x6</v>
      </c>
      <c r="S28" s="178" t="str">
        <f>'Strategy Summary'!G62</f>
        <v>1x7</v>
      </c>
      <c r="T28" s="178" t="str">
        <f>'Strategy Summary'!H62</f>
        <v>1x8</v>
      </c>
      <c r="U28" s="178" t="str">
        <f>'Strategy Summary'!I62</f>
        <v>1x9</v>
      </c>
      <c r="V28" s="178" t="str">
        <f>'Strategy Summary'!J62</f>
        <v>1x10</v>
      </c>
      <c r="X28" s="181">
        <f>ER!A23</f>
        <v>17</v>
      </c>
      <c r="Y28" s="34">
        <f>ER!B23</f>
        <v>-0.17956936979241733</v>
      </c>
      <c r="Z28" s="34">
        <f>ER!C23</f>
        <v>-4.9104358288912882E-4</v>
      </c>
      <c r="AA28" s="34">
        <f>ER!D23</f>
        <v>5.5095284479298338E-2</v>
      </c>
      <c r="AB28" s="34">
        <f>ER!E23</f>
        <v>0.11865255067432869</v>
      </c>
      <c r="AC28" s="34">
        <f>ER!F23</f>
        <v>0.18237815537354879</v>
      </c>
      <c r="AD28" s="34">
        <f>ER!G23</f>
        <v>0.2561042872909981</v>
      </c>
      <c r="AE28" s="34">
        <f>ER!H23</f>
        <v>5.3823463716116654E-2</v>
      </c>
      <c r="AF28" s="34">
        <f>ER!I23</f>
        <v>-7.2915398729642075E-2</v>
      </c>
      <c r="AG28" s="34">
        <f>ER!J23</f>
        <v>-0.1497868921821332</v>
      </c>
      <c r="AH28" s="34">
        <f>ER!K23</f>
        <v>-0.19686697623363469</v>
      </c>
    </row>
    <row r="29" spans="1:34" x14ac:dyDescent="0.2">
      <c r="A29" s="174">
        <f>Rules!I25</f>
        <v>3</v>
      </c>
      <c r="B29" s="49" t="str">
        <f>Rules!J25</f>
        <v>H</v>
      </c>
      <c r="C29" s="49" t="str">
        <f>Rules!K25</f>
        <v>P</v>
      </c>
      <c r="D29" s="49" t="str">
        <f>Rules!L25</f>
        <v>P</v>
      </c>
      <c r="E29" s="49" t="str">
        <f>Rules!M25</f>
        <v>P</v>
      </c>
      <c r="F29" s="49" t="str">
        <f>Rules!N25</f>
        <v>P</v>
      </c>
      <c r="G29" s="49" t="str">
        <f>Rules!O25</f>
        <v>P</v>
      </c>
      <c r="H29" s="49" t="str">
        <f>Rules!P25</f>
        <v>P</v>
      </c>
      <c r="I29" s="49" t="str">
        <f>Rules!Q25</f>
        <v>H</v>
      </c>
      <c r="J29" s="49" t="str">
        <f>Rules!R25</f>
        <v>H</v>
      </c>
      <c r="K29" s="49" t="str">
        <f>Rules!S25</f>
        <v>H</v>
      </c>
      <c r="M29" s="178">
        <f>'Strategy Summary'!A63</f>
        <v>2</v>
      </c>
      <c r="N29" s="1">
        <f>'Strategy Summary'!B63</f>
        <v>-7.3834573179373609E-3</v>
      </c>
      <c r="O29" s="1">
        <f>'Strategy Summary'!C63</f>
        <v>3.9134412000814186E-3</v>
      </c>
      <c r="P29" s="1">
        <f>'Strategy Summary'!D63</f>
        <v>9.5200279197726837E-3</v>
      </c>
      <c r="Q29" s="1">
        <f>'Strategy Summary'!E63</f>
        <v>1.1509433838326453E-2</v>
      </c>
      <c r="R29" s="1">
        <f>'Strategy Summary'!F63</f>
        <v>1.1850385881120052E-2</v>
      </c>
      <c r="S29" s="1">
        <f>'Strategy Summary'!G63</f>
        <v>1.149708769798396E-2</v>
      </c>
      <c r="T29" s="1">
        <f>'Strategy Summary'!H63</f>
        <v>1.0882464263806423E-2</v>
      </c>
      <c r="U29" s="1">
        <f>'Strategy Summary'!I63</f>
        <v>1.0199363135313971E-2</v>
      </c>
      <c r="V29" s="1">
        <f>'Strategy Summary'!J63</f>
        <v>9.5307705641107261E-3</v>
      </c>
      <c r="X29" s="181">
        <f>ER!A24</f>
        <v>18</v>
      </c>
      <c r="Y29" s="34">
        <f>ER!B24</f>
        <v>-9.2935491769284034E-2</v>
      </c>
      <c r="Z29" s="34">
        <f>ER!C24</f>
        <v>0.12174190222088771</v>
      </c>
      <c r="AA29" s="34">
        <f>ER!D24</f>
        <v>0.17764127567893753</v>
      </c>
      <c r="AB29" s="34">
        <f>ER!E24</f>
        <v>0.23700384775562167</v>
      </c>
      <c r="AC29" s="34">
        <f>ER!F24</f>
        <v>0.29522549562328804</v>
      </c>
      <c r="AD29" s="34">
        <f>ER!G24</f>
        <v>0.38150648207879345</v>
      </c>
      <c r="AE29" s="34">
        <f>ER!H24</f>
        <v>0.3995541673365518</v>
      </c>
      <c r="AF29" s="34">
        <f>ER!I24</f>
        <v>0.10595134861912359</v>
      </c>
      <c r="AG29" s="34">
        <f>ER!J24</f>
        <v>-0.10074430758041522</v>
      </c>
      <c r="AH29" s="34">
        <f>ER!K24</f>
        <v>-0.14380812317405353</v>
      </c>
    </row>
    <row r="30" spans="1:34" x14ac:dyDescent="0.2">
      <c r="A30" s="174">
        <f>Rules!I26</f>
        <v>4</v>
      </c>
      <c r="B30" s="49" t="str">
        <f>Rules!J26</f>
        <v>H</v>
      </c>
      <c r="C30" s="49" t="str">
        <f>Rules!K26</f>
        <v>H</v>
      </c>
      <c r="D30" s="49" t="str">
        <f>Rules!L26</f>
        <v>H</v>
      </c>
      <c r="E30" s="49" t="str">
        <f>Rules!M26</f>
        <v>H</v>
      </c>
      <c r="F30" s="49" t="str">
        <f>Rules!N26</f>
        <v>P</v>
      </c>
      <c r="G30" s="49" t="str">
        <f>Rules!O26</f>
        <v>P</v>
      </c>
      <c r="H30" s="49" t="str">
        <f>Rules!P26</f>
        <v>H</v>
      </c>
      <c r="I30" s="49" t="str">
        <f>Rules!Q26</f>
        <v>H</v>
      </c>
      <c r="J30" s="49" t="str">
        <f>Rules!R26</f>
        <v>H</v>
      </c>
      <c r="K30" s="49" t="str">
        <f>Rules!S26</f>
        <v>H</v>
      </c>
      <c r="M30" s="178">
        <f>'Strategy Summary'!A64</f>
        <v>3</v>
      </c>
      <c r="N30" s="1">
        <f>'Strategy Summary'!B64</f>
        <v>-7.8028845700238558E-3</v>
      </c>
      <c r="O30" s="1">
        <f>'Strategy Summary'!C64</f>
        <v>2.597693166288717E-3</v>
      </c>
      <c r="P30" s="1">
        <f>'Strategy Summary'!D64</f>
        <v>4.6364354693796666E-3</v>
      </c>
      <c r="Q30" s="1">
        <f>'Strategy Summary'!E64</f>
        <v>4.4365293983671082E-3</v>
      </c>
      <c r="R30" s="1">
        <f>'Strategy Summary'!F64</f>
        <v>3.7875194127833778E-3</v>
      </c>
      <c r="S30" s="1">
        <f>'Strategy Summary'!G64</f>
        <v>3.1432690589772733E-3</v>
      </c>
      <c r="T30" s="1">
        <f>'Strategy Summary'!H64</f>
        <v>2.6020894868337349E-3</v>
      </c>
      <c r="U30" s="1">
        <f>'Strategy Summary'!I64</f>
        <v>2.1683955963866493E-3</v>
      </c>
      <c r="V30" s="1">
        <f>'Strategy Summary'!J64</f>
        <v>1.8247460364582109E-3</v>
      </c>
      <c r="X30" s="181">
        <f>ER!A25</f>
        <v>19</v>
      </c>
      <c r="Y30" s="34">
        <f>ER!B25</f>
        <v>0.27763572376835594</v>
      </c>
      <c r="Z30" s="34">
        <f>ER!C25</f>
        <v>0.38630468602058993</v>
      </c>
      <c r="AA30" s="34">
        <f>ER!D25</f>
        <v>0.4043629365977599</v>
      </c>
      <c r="AB30" s="34">
        <f>ER!E25</f>
        <v>0.42317892482749653</v>
      </c>
      <c r="AC30" s="34">
        <f>ER!F25</f>
        <v>0.43951210416088371</v>
      </c>
      <c r="AD30" s="34">
        <f>ER!G25</f>
        <v>0.49597707378731914</v>
      </c>
      <c r="AE30" s="34">
        <f>ER!H25</f>
        <v>0.6159764957534315</v>
      </c>
      <c r="AF30" s="34">
        <f>ER!I25</f>
        <v>0.59385366828669439</v>
      </c>
      <c r="AG30" s="34">
        <f>ER!J25</f>
        <v>0.28759675706758148</v>
      </c>
      <c r="AH30" s="34">
        <f>ER!K25</f>
        <v>6.3118166335840831E-2</v>
      </c>
    </row>
    <row r="31" spans="1:34" x14ac:dyDescent="0.2">
      <c r="A31" s="174">
        <f>Rules!I27</f>
        <v>5</v>
      </c>
      <c r="B31" s="49" t="str">
        <f>Rules!J27</f>
        <v>H</v>
      </c>
      <c r="C31" s="49" t="str">
        <f>Rules!K27</f>
        <v>D</v>
      </c>
      <c r="D31" s="49" t="str">
        <f>Rules!L27</f>
        <v>D</v>
      </c>
      <c r="E31" s="49" t="str">
        <f>Rules!M27</f>
        <v>D</v>
      </c>
      <c r="F31" s="49" t="str">
        <f>Rules!N27</f>
        <v>D</v>
      </c>
      <c r="G31" s="49" t="str">
        <f>Rules!O27</f>
        <v>D</v>
      </c>
      <c r="H31" s="49" t="str">
        <f>Rules!P27</f>
        <v>D</v>
      </c>
      <c r="I31" s="49" t="str">
        <f>Rules!Q27</f>
        <v>D</v>
      </c>
      <c r="J31" s="49" t="str">
        <f>Rules!R27</f>
        <v>D</v>
      </c>
      <c r="K31" s="49" t="str">
        <f>Rules!S27</f>
        <v>H</v>
      </c>
      <c r="M31" s="178">
        <f>'Strategy Summary'!A65</f>
        <v>4</v>
      </c>
      <c r="N31" s="1">
        <f>'Strategy Summary'!B65</f>
        <v>-6.0595730106802071E-3</v>
      </c>
      <c r="O31" s="1">
        <f>'Strategy Summary'!C65</f>
        <v>1.3206848359028126E-3</v>
      </c>
      <c r="P31" s="1">
        <f>'Strategy Summary'!D65</f>
        <v>1.7341086846567443E-3</v>
      </c>
      <c r="Q31" s="1">
        <f>'Strategy Summary'!E65</f>
        <v>1.3107960872272132E-3</v>
      </c>
      <c r="R31" s="1">
        <f>'Strategy Summary'!F65</f>
        <v>9.2559502138196508E-4</v>
      </c>
      <c r="S31" s="1">
        <f>'Strategy Summary'!G65</f>
        <v>6.55623341473254E-4</v>
      </c>
      <c r="T31" s="1">
        <f>'Strategy Summary'!H65</f>
        <v>4.7377823249735725E-4</v>
      </c>
      <c r="U31" s="1">
        <f>'Strategy Summary'!I65</f>
        <v>3.5049189658063745E-4</v>
      </c>
      <c r="V31" s="1">
        <f>'Strategy Summary'!J65</f>
        <v>2.6526867840778111E-4</v>
      </c>
      <c r="X31" s="181">
        <f>ER!A26</f>
        <v>20</v>
      </c>
      <c r="Y31" s="34">
        <f>ER!B26</f>
        <v>0.65547032314990239</v>
      </c>
      <c r="Z31" s="34">
        <f>ER!C26</f>
        <v>0.63998657521683877</v>
      </c>
      <c r="AA31" s="34">
        <f>ER!D26</f>
        <v>0.65027209425148136</v>
      </c>
      <c r="AB31" s="34">
        <f>ER!E26</f>
        <v>0.66104996194807186</v>
      </c>
      <c r="AC31" s="34">
        <f>ER!F26</f>
        <v>0.67035969063279999</v>
      </c>
      <c r="AD31" s="34">
        <f>ER!G26</f>
        <v>0.70395857017134467</v>
      </c>
      <c r="AE31" s="34">
        <f>ER!H26</f>
        <v>0.77322722653717491</v>
      </c>
      <c r="AF31" s="34">
        <f>ER!I26</f>
        <v>0.79181515955189841</v>
      </c>
      <c r="AG31" s="34">
        <f>ER!J26</f>
        <v>0.75835687080859626</v>
      </c>
      <c r="AH31" s="34">
        <f>ER!K26</f>
        <v>0.55453756646817121</v>
      </c>
    </row>
    <row r="32" spans="1:34" x14ac:dyDescent="0.2">
      <c r="A32" s="174">
        <f>Rules!I28</f>
        <v>6</v>
      </c>
      <c r="B32" s="49" t="str">
        <f>Rules!J28</f>
        <v>H</v>
      </c>
      <c r="C32" s="49" t="str">
        <f>Rules!K28</f>
        <v>P</v>
      </c>
      <c r="D32" s="49" t="str">
        <f>Rules!L28</f>
        <v>P</v>
      </c>
      <c r="E32" s="49" t="str">
        <f>Rules!M28</f>
        <v>P</v>
      </c>
      <c r="F32" s="49" t="str">
        <f>Rules!N28</f>
        <v>P</v>
      </c>
      <c r="G32" s="49" t="str">
        <f>Rules!O28</f>
        <v>P</v>
      </c>
      <c r="H32" s="49" t="str">
        <f>Rules!P28</f>
        <v>H</v>
      </c>
      <c r="I32" s="49" t="str">
        <f>Rules!Q28</f>
        <v>H</v>
      </c>
      <c r="J32" s="49" t="str">
        <f>Rules!R28</f>
        <v>H</v>
      </c>
      <c r="K32" s="49" t="str">
        <f>Rules!S28</f>
        <v>H</v>
      </c>
      <c r="M32" s="361" t="s">
        <v>205</v>
      </c>
      <c r="N32" s="362"/>
      <c r="O32" s="362"/>
      <c r="P32" s="362"/>
      <c r="Q32" s="362"/>
      <c r="R32" s="362"/>
      <c r="S32" s="362"/>
      <c r="T32" s="362"/>
      <c r="U32" s="362"/>
      <c r="V32" s="363"/>
      <c r="X32" s="181">
        <f>ER!A27</f>
        <v>21</v>
      </c>
      <c r="Y32" s="34">
        <f>ER!B27</f>
        <v>1.5</v>
      </c>
      <c r="Z32" s="34">
        <f>ER!C27</f>
        <v>1.5</v>
      </c>
      <c r="AA32" s="34">
        <f>ER!D27</f>
        <v>1.5</v>
      </c>
      <c r="AB32" s="34">
        <f>ER!E27</f>
        <v>1.5</v>
      </c>
      <c r="AC32" s="34">
        <f>ER!F27</f>
        <v>1.5</v>
      </c>
      <c r="AD32" s="34">
        <f>ER!G27</f>
        <v>1.5</v>
      </c>
      <c r="AE32" s="34">
        <f>ER!H27</f>
        <v>1.5</v>
      </c>
      <c r="AF32" s="34">
        <f>ER!I27</f>
        <v>1.5</v>
      </c>
      <c r="AG32" s="34">
        <f>ER!J27</f>
        <v>1.5</v>
      </c>
      <c r="AH32" s="34">
        <f>ER!K27</f>
        <v>1.5</v>
      </c>
    </row>
    <row r="33" spans="1:34" x14ac:dyDescent="0.2">
      <c r="A33" s="174">
        <f>Rules!I29</f>
        <v>7</v>
      </c>
      <c r="B33" s="49" t="str">
        <f>Rules!J29</f>
        <v>H</v>
      </c>
      <c r="C33" s="49" t="str">
        <f>Rules!K29</f>
        <v>P</v>
      </c>
      <c r="D33" s="49" t="str">
        <f>Rules!L29</f>
        <v>P</v>
      </c>
      <c r="E33" s="49" t="str">
        <f>Rules!M29</f>
        <v>P</v>
      </c>
      <c r="F33" s="49" t="str">
        <f>Rules!N29</f>
        <v>P</v>
      </c>
      <c r="G33" s="49" t="str">
        <f>Rules!O29</f>
        <v>P</v>
      </c>
      <c r="H33" s="49" t="str">
        <f>Rules!P29</f>
        <v>P</v>
      </c>
      <c r="I33" s="49" t="str">
        <f>Rules!Q29</f>
        <v>H</v>
      </c>
      <c r="J33" s="49" t="str">
        <f>Rules!R29</f>
        <v>H</v>
      </c>
      <c r="K33" s="49" t="str">
        <f>Rules!S29</f>
        <v>H</v>
      </c>
      <c r="M33" s="178" t="s">
        <v>135</v>
      </c>
      <c r="N33" s="178" t="str">
        <f>N23</f>
        <v>1x2</v>
      </c>
      <c r="O33" s="178" t="str">
        <f t="shared" ref="O33:V33" si="0">O23</f>
        <v>1x3</v>
      </c>
      <c r="P33" s="178" t="str">
        <f t="shared" si="0"/>
        <v>1x4</v>
      </c>
      <c r="Q33" s="178" t="str">
        <f t="shared" si="0"/>
        <v>1x5</v>
      </c>
      <c r="R33" s="178" t="str">
        <f t="shared" si="0"/>
        <v>1x6</v>
      </c>
      <c r="S33" s="178" t="str">
        <f t="shared" si="0"/>
        <v>1x7</v>
      </c>
      <c r="T33" s="178" t="str">
        <f t="shared" si="0"/>
        <v>1x8</v>
      </c>
      <c r="U33" s="178" t="str">
        <f t="shared" si="0"/>
        <v>1x9</v>
      </c>
      <c r="V33" s="178" t="str">
        <f t="shared" si="0"/>
        <v>1x10</v>
      </c>
      <c r="X33" s="181" t="str">
        <f>ER!A28</f>
        <v>Pair</v>
      </c>
      <c r="Y33" s="181" t="str">
        <f>ER!B28</f>
        <v>Ace</v>
      </c>
      <c r="Z33" s="181">
        <f>ER!C28</f>
        <v>2</v>
      </c>
      <c r="AA33" s="181">
        <f>ER!D28</f>
        <v>3</v>
      </c>
      <c r="AB33" s="181">
        <f>ER!E28</f>
        <v>4</v>
      </c>
      <c r="AC33" s="181">
        <f>ER!F28</f>
        <v>5</v>
      </c>
      <c r="AD33" s="181">
        <f>ER!G28</f>
        <v>6</v>
      </c>
      <c r="AE33" s="181">
        <f>ER!H28</f>
        <v>7</v>
      </c>
      <c r="AF33" s="181">
        <f>ER!I28</f>
        <v>8</v>
      </c>
      <c r="AG33" s="181">
        <f>ER!J28</f>
        <v>9</v>
      </c>
      <c r="AH33" s="181">
        <f>ER!K28</f>
        <v>10</v>
      </c>
    </row>
    <row r="34" spans="1:34" x14ac:dyDescent="0.2">
      <c r="A34" s="174">
        <f>Rules!I30</f>
        <v>8</v>
      </c>
      <c r="B34" s="49" t="str">
        <f>Rules!J30</f>
        <v>P</v>
      </c>
      <c r="C34" s="49" t="str">
        <f>Rules!K30</f>
        <v>P</v>
      </c>
      <c r="D34" s="49" t="str">
        <f>Rules!L30</f>
        <v>P</v>
      </c>
      <c r="E34" s="49" t="str">
        <f>Rules!M30</f>
        <v>P</v>
      </c>
      <c r="F34" s="49" t="str">
        <f>Rules!N30</f>
        <v>P</v>
      </c>
      <c r="G34" s="49" t="str">
        <f>Rules!O30</f>
        <v>P</v>
      </c>
      <c r="H34" s="49" t="str">
        <f>Rules!P30</f>
        <v>P</v>
      </c>
      <c r="I34" s="49" t="str">
        <f>Rules!Q30</f>
        <v>P</v>
      </c>
      <c r="J34" s="49" t="str">
        <f>Rules!R30</f>
        <v>P</v>
      </c>
      <c r="K34" s="49" t="str">
        <f>Rules!S30</f>
        <v>P</v>
      </c>
      <c r="M34" s="178">
        <v>1</v>
      </c>
      <c r="N34" s="1">
        <f>'Strategy Summary (2)'!B63</f>
        <v>1.721842515201164E-3</v>
      </c>
      <c r="O34" s="1">
        <f>'Strategy Summary (2)'!C63</f>
        <v>3.483737721124416E-4</v>
      </c>
      <c r="P34" s="1">
        <f>'Strategy Summary (2)'!D63</f>
        <v>1.7761950746557201E-3</v>
      </c>
      <c r="Q34" s="1">
        <f>'Strategy Summary (2)'!E63</f>
        <v>2.6473663622128413E-3</v>
      </c>
      <c r="R34" s="1">
        <f>'Strategy Summary (2)'!F63</f>
        <v>2.9861787789289629E-3</v>
      </c>
      <c r="S34" s="1">
        <f>'Strategy Summary (2)'!G63</f>
        <v>3.0321505764537874E-3</v>
      </c>
      <c r="T34" s="1">
        <f>'Strategy Summary (2)'!H63</f>
        <v>2.9402002598090211E-3</v>
      </c>
      <c r="U34" s="1">
        <f>'Strategy Summary (2)'!I63</f>
        <v>2.7922402384902129E-3</v>
      </c>
      <c r="V34" s="1">
        <f>'Strategy Summary (2)'!J63</f>
        <v>2.6283860761339051E-3</v>
      </c>
      <c r="X34" s="181" t="str">
        <f>ER!A29</f>
        <v>Ace</v>
      </c>
      <c r="Y34" s="34">
        <f>ER!B29</f>
        <v>0.10906077977909699</v>
      </c>
      <c r="Z34" s="34">
        <f>ER!C29</f>
        <v>0.47064092333946894</v>
      </c>
      <c r="AA34" s="34">
        <f>ER!D29</f>
        <v>0.51779525312221664</v>
      </c>
      <c r="AB34" s="34">
        <f>ER!E29</f>
        <v>0.56604055041797596</v>
      </c>
      <c r="AC34" s="34">
        <f>ER!F29</f>
        <v>0.61469901790902803</v>
      </c>
      <c r="AD34" s="34">
        <f>ER!G29</f>
        <v>0.66738009490756944</v>
      </c>
      <c r="AE34" s="34">
        <f>ER!H29</f>
        <v>0.46288894886429088</v>
      </c>
      <c r="AF34" s="34">
        <f>ER!I29</f>
        <v>0.35069259087031512</v>
      </c>
      <c r="AG34" s="34">
        <f>ER!J29</f>
        <v>0.22778342315245487</v>
      </c>
      <c r="AH34" s="34">
        <f>ER!K29</f>
        <v>0.17968872741114625</v>
      </c>
    </row>
    <row r="35" spans="1:34" x14ac:dyDescent="0.2">
      <c r="A35" s="174">
        <f>Rules!I31</f>
        <v>9</v>
      </c>
      <c r="B35" s="49" t="str">
        <f>Rules!J31</f>
        <v>S</v>
      </c>
      <c r="C35" s="49" t="str">
        <f>Rules!K31</f>
        <v>P</v>
      </c>
      <c r="D35" s="49" t="str">
        <f>Rules!L31</f>
        <v>P</v>
      </c>
      <c r="E35" s="49" t="str">
        <f>Rules!M31</f>
        <v>P</v>
      </c>
      <c r="F35" s="49" t="str">
        <f>Rules!N31</f>
        <v>P</v>
      </c>
      <c r="G35" s="49" t="str">
        <f>Rules!O31</f>
        <v>P</v>
      </c>
      <c r="H35" s="49" t="str">
        <f>Rules!P31</f>
        <v>S</v>
      </c>
      <c r="I35" s="49" t="str">
        <f>Rules!Q31</f>
        <v>P</v>
      </c>
      <c r="J35" s="49" t="str">
        <f>Rules!R31</f>
        <v>P</v>
      </c>
      <c r="K35" s="49" t="str">
        <f>Rules!S31</f>
        <v>S</v>
      </c>
      <c r="M35" s="178">
        <v>2</v>
      </c>
      <c r="N35" s="1">
        <f>'Strategy Summary (2)'!B64</f>
        <v>-4.4300743907624172E-3</v>
      </c>
      <c r="O35" s="1">
        <f>'Strategy Summary (2)'!C64</f>
        <v>1.7393072000361862E-3</v>
      </c>
      <c r="P35" s="1">
        <f>'Strategy Summary (2)'!D64</f>
        <v>3.4000099713473874E-3</v>
      </c>
      <c r="Q35" s="1">
        <f>'Strategy Summary (2)'!E64</f>
        <v>3.4528301514979358E-3</v>
      </c>
      <c r="R35" s="1">
        <f>'Strategy Summary (2)'!F64</f>
        <v>3.0723222654755692E-3</v>
      </c>
      <c r="S35" s="1">
        <f>'Strategy Summary (2)'!G64</f>
        <v>2.6279057595391909E-3</v>
      </c>
      <c r="T35" s="1">
        <f>'Strategy Summary (2)'!H64</f>
        <v>2.2259585994149501E-3</v>
      </c>
      <c r="U35" s="1">
        <f>'Strategy Summary (2)'!I64</f>
        <v>1.888770950984069E-3</v>
      </c>
      <c r="V35" s="1">
        <f>'Strategy Summary (2)'!J64</f>
        <v>1.6128996339264303E-3</v>
      </c>
      <c r="X35" s="181">
        <f>ER!A30</f>
        <v>2</v>
      </c>
      <c r="Y35" s="34">
        <f>ER!B30</f>
        <v>-0.25307699440390863</v>
      </c>
      <c r="Z35" s="34">
        <f>ER!C30</f>
        <v>-8.8887240897114625E-2</v>
      </c>
      <c r="AA35" s="34">
        <f>ER!D30</f>
        <v>-2.561613047924638E-2</v>
      </c>
      <c r="AB35" s="34">
        <f>ER!E30</f>
        <v>4.2946629568768907E-2</v>
      </c>
      <c r="AC35" s="34">
        <f>ER!F30</f>
        <v>0.12724982334843896</v>
      </c>
      <c r="AD35" s="34">
        <f>ER!G30</f>
        <v>0.19477859816579254</v>
      </c>
      <c r="AE35" s="34">
        <f>ER!H30</f>
        <v>-7.3993244927046805E-3</v>
      </c>
      <c r="AF35" s="34">
        <f>ER!I30</f>
        <v>-0.15933415266020512</v>
      </c>
      <c r="AG35" s="34">
        <f>ER!J30</f>
        <v>-0.24066617915336547</v>
      </c>
      <c r="AH35" s="34">
        <f>ER!K30</f>
        <v>-0.28919791448567511</v>
      </c>
    </row>
    <row r="36" spans="1:34" x14ac:dyDescent="0.2">
      <c r="A36" s="174">
        <f>Rules!I32</f>
        <v>10</v>
      </c>
      <c r="B36" s="49" t="str">
        <f>Rules!J32</f>
        <v>S</v>
      </c>
      <c r="C36" s="49" t="str">
        <f>Rules!K32</f>
        <v>S</v>
      </c>
      <c r="D36" s="49" t="str">
        <f>Rules!L32</f>
        <v>S</v>
      </c>
      <c r="E36" s="49" t="str">
        <f>Rules!M32</f>
        <v>S</v>
      </c>
      <c r="F36" s="49" t="str">
        <f>Rules!N32</f>
        <v>S</v>
      </c>
      <c r="G36" s="49" t="str">
        <f>Rules!O32</f>
        <v>S</v>
      </c>
      <c r="H36" s="49" t="str">
        <f>Rules!P32</f>
        <v>S</v>
      </c>
      <c r="I36" s="49" t="str">
        <f>Rules!Q32</f>
        <v>S</v>
      </c>
      <c r="J36" s="49" t="str">
        <f>Rules!R32</f>
        <v>S</v>
      </c>
      <c r="K36" s="49" t="str">
        <f>Rules!S32</f>
        <v>S</v>
      </c>
      <c r="M36" s="178">
        <v>3</v>
      </c>
      <c r="N36" s="1">
        <f>'Strategy Summary (2)'!B65</f>
        <v>-4.3696153592133581E-3</v>
      </c>
      <c r="O36" s="1">
        <f>'Strategy Summary (2)'!C65</f>
        <v>1.0893551987662363E-3</v>
      </c>
      <c r="P36" s="1">
        <f>'Strategy Summary (2)'!D65</f>
        <v>1.583173087105252E-3</v>
      </c>
      <c r="Q36" s="1">
        <f>'Strategy Summary (2)'!E65</f>
        <v>1.2853496387792557E-3</v>
      </c>
      <c r="R36" s="1">
        <f>'Strategy Summary (2)'!F65</f>
        <v>9.5521017448495747E-4</v>
      </c>
      <c r="S36" s="1">
        <f>'Strategy Summary (2)'!G65</f>
        <v>7.0261308377139058E-4</v>
      </c>
      <c r="T36" s="1">
        <f>'Strategy Summary (2)'!H65</f>
        <v>5.2256542651681601E-4</v>
      </c>
      <c r="U36" s="1">
        <f>'Strategy Summary (2)'!I65</f>
        <v>3.9543887629496012E-4</v>
      </c>
      <c r="V36" s="1">
        <f>'Strategy Summary (2)'!J65</f>
        <v>3.0481085033387724E-4</v>
      </c>
      <c r="X36" s="181">
        <f>ER!A31</f>
        <v>3</v>
      </c>
      <c r="Y36" s="34">
        <f>ER!B31</f>
        <v>-0.30414663097569933</v>
      </c>
      <c r="Z36" s="34">
        <f>ER!C31</f>
        <v>-0.13816353305492138</v>
      </c>
      <c r="AA36" s="34">
        <f>ER!D31</f>
        <v>-6.3866434744217312E-2</v>
      </c>
      <c r="AB36" s="34">
        <f>ER!E31</f>
        <v>1.4624872422626991E-2</v>
      </c>
      <c r="AC36" s="34">
        <f>ER!F31</f>
        <v>0.10229274834073326</v>
      </c>
      <c r="AD36" s="34">
        <f>ER!G31</f>
        <v>0.16942022384102573</v>
      </c>
      <c r="AE36" s="34">
        <f>ER!H31</f>
        <v>-6.7760458821693514E-2</v>
      </c>
      <c r="AF36" s="34">
        <f>ER!I31</f>
        <v>-0.21724188132078476</v>
      </c>
      <c r="AG36" s="34">
        <f>ER!J31</f>
        <v>-0.29264070019772598</v>
      </c>
      <c r="AH36" s="34">
        <f>ER!K31</f>
        <v>-0.33774944037840804</v>
      </c>
    </row>
    <row r="37" spans="1:34" x14ac:dyDescent="0.2">
      <c r="A37" s="302" t="str">
        <f>Summary!B32</f>
        <v>EV = -0.00484877540191618</v>
      </c>
      <c r="B37" s="302"/>
      <c r="C37" s="302"/>
      <c r="D37" s="302"/>
      <c r="E37" s="302"/>
      <c r="F37" s="302"/>
      <c r="G37" s="302"/>
      <c r="H37" s="302"/>
      <c r="I37" s="302"/>
      <c r="J37" s="302"/>
      <c r="K37" s="302"/>
      <c r="M37" s="361" t="s">
        <v>206</v>
      </c>
      <c r="N37" s="362"/>
      <c r="O37" s="362"/>
      <c r="P37" s="362"/>
      <c r="Q37" s="362"/>
      <c r="R37" s="362"/>
      <c r="S37" s="362"/>
      <c r="T37" s="362"/>
      <c r="U37" s="362"/>
      <c r="V37" s="363"/>
      <c r="X37" s="181">
        <f>ER!A32</f>
        <v>4</v>
      </c>
      <c r="Y37" s="34">
        <f>ER!B32</f>
        <v>-0.1970288105741636</v>
      </c>
      <c r="Z37" s="34">
        <f>ER!C32</f>
        <v>-2.1798188008805668E-2</v>
      </c>
      <c r="AA37" s="34">
        <f>ER!D32</f>
        <v>8.0052625306546825E-3</v>
      </c>
      <c r="AB37" s="34">
        <f>ER!E32</f>
        <v>3.8784473277208811E-2</v>
      </c>
      <c r="AC37" s="34">
        <f>ER!F32</f>
        <v>8.0259872887869343E-2</v>
      </c>
      <c r="AD37" s="34">
        <f>ER!G32</f>
        <v>0.14595673491924663</v>
      </c>
      <c r="AE37" s="34">
        <f>ER!H32</f>
        <v>8.2207439363742862E-2</v>
      </c>
      <c r="AF37" s="34">
        <f>ER!I32</f>
        <v>-5.9898275658656304E-2</v>
      </c>
      <c r="AG37" s="34">
        <f>ER!J32</f>
        <v>-0.21018633199821757</v>
      </c>
      <c r="AH37" s="34">
        <f>ER!K32</f>
        <v>-0.24937508055334259</v>
      </c>
    </row>
    <row r="38" spans="1:34" x14ac:dyDescent="0.2">
      <c r="A38" s="302" t="str">
        <f>Summary!B33</f>
        <v>EV = -0.484877540191618 %</v>
      </c>
      <c r="B38" s="302"/>
      <c r="C38" s="302"/>
      <c r="D38" s="302"/>
      <c r="E38" s="302"/>
      <c r="F38" s="302"/>
      <c r="G38" s="302"/>
      <c r="H38" s="302"/>
      <c r="I38" s="302"/>
      <c r="J38" s="302"/>
      <c r="K38" s="302"/>
      <c r="M38" s="178" t="s">
        <v>135</v>
      </c>
      <c r="N38" s="178" t="str">
        <f>N28</f>
        <v>1x2</v>
      </c>
      <c r="O38" s="178" t="str">
        <f t="shared" ref="O38:V38" si="1">O28</f>
        <v>1x3</v>
      </c>
      <c r="P38" s="178" t="str">
        <f t="shared" si="1"/>
        <v>1x4</v>
      </c>
      <c r="Q38" s="178" t="str">
        <f t="shared" si="1"/>
        <v>1x5</v>
      </c>
      <c r="R38" s="178" t="str">
        <f t="shared" si="1"/>
        <v>1x6</v>
      </c>
      <c r="S38" s="178" t="str">
        <f t="shared" si="1"/>
        <v>1x7</v>
      </c>
      <c r="T38" s="178" t="str">
        <f t="shared" si="1"/>
        <v>1x8</v>
      </c>
      <c r="U38" s="178" t="str">
        <f t="shared" si="1"/>
        <v>1x9</v>
      </c>
      <c r="V38" s="178" t="str">
        <f t="shared" si="1"/>
        <v>1x10</v>
      </c>
      <c r="X38" s="181">
        <f>ER!A33</f>
        <v>5</v>
      </c>
      <c r="Y38" s="34">
        <f>ER!B33</f>
        <v>8.1449707945275923E-2</v>
      </c>
      <c r="Z38" s="34">
        <f>ER!C33</f>
        <v>0.3589394124422991</v>
      </c>
      <c r="AA38" s="34">
        <f>ER!D33</f>
        <v>0.40932067017593915</v>
      </c>
      <c r="AB38" s="34">
        <f>ER!E33</f>
        <v>0.460940243794354</v>
      </c>
      <c r="AC38" s="34">
        <f>ER!F33</f>
        <v>0.51251710900326775</v>
      </c>
      <c r="AD38" s="34">
        <f>ER!G33</f>
        <v>0.57559016859776857</v>
      </c>
      <c r="AE38" s="34">
        <f>ER!H33</f>
        <v>0.39241245528243773</v>
      </c>
      <c r="AF38" s="34">
        <f>ER!I33</f>
        <v>0.28663571688628381</v>
      </c>
      <c r="AG38" s="34">
        <f>ER!J33</f>
        <v>0.1443283683807712</v>
      </c>
      <c r="AH38" s="34">
        <f>ER!K33</f>
        <v>2.5308523040868145E-2</v>
      </c>
    </row>
    <row r="39" spans="1:34" x14ac:dyDescent="0.2">
      <c r="A39" s="306" t="str">
        <f>Summary!B34</f>
        <v>H = Hit</v>
      </c>
      <c r="B39" s="306"/>
      <c r="C39" s="306"/>
      <c r="D39" s="306"/>
      <c r="E39" s="306"/>
      <c r="F39" s="306"/>
      <c r="G39" s="306"/>
      <c r="H39" s="306"/>
      <c r="I39" s="306"/>
      <c r="J39" s="306"/>
      <c r="K39" s="306"/>
      <c r="M39" s="178">
        <v>2</v>
      </c>
      <c r="N39" s="1">
        <f>N9*N19</f>
        <v>-4.1853079868287688</v>
      </c>
      <c r="O39" s="1">
        <f t="shared" ref="O39:V39" si="2">O9*O19</f>
        <v>3.9634339303429735</v>
      </c>
      <c r="P39" s="1">
        <f t="shared" si="2"/>
        <v>20.064079923570549</v>
      </c>
      <c r="Q39" s="1">
        <f t="shared" si="2"/>
        <v>47.796984868758258</v>
      </c>
      <c r="R39" s="1">
        <f t="shared" si="2"/>
        <v>90.167539839402821</v>
      </c>
      <c r="S39" s="1">
        <f t="shared" si="2"/>
        <v>150.01709465539631</v>
      </c>
      <c r="T39" s="1">
        <f t="shared" si="2"/>
        <v>230.14014226342519</v>
      </c>
      <c r="U39" s="1">
        <f t="shared" si="2"/>
        <v>333.34045737517016</v>
      </c>
      <c r="V39" s="1">
        <f t="shared" si="2"/>
        <v>462.45470940292921</v>
      </c>
      <c r="X39" s="181">
        <f>ER!A34</f>
        <v>6</v>
      </c>
      <c r="Y39" s="34">
        <f>ER!B34</f>
        <v>-0.35054034044008009</v>
      </c>
      <c r="Z39" s="34">
        <f>ER!C34</f>
        <v>-0.21863675917925621</v>
      </c>
      <c r="AA39" s="34">
        <f>ER!D34</f>
        <v>-0.13667841243230397</v>
      </c>
      <c r="AB39" s="34">
        <f>ER!E34</f>
        <v>-4.9559710729696275E-2</v>
      </c>
      <c r="AC39" s="34">
        <f>ER!F34</f>
        <v>4.3986900993555816E-2</v>
      </c>
      <c r="AD39" s="34">
        <f>ER!G34</f>
        <v>0.10792266460833698</v>
      </c>
      <c r="AE39" s="34">
        <f>ER!H34</f>
        <v>-0.21284771451731424</v>
      </c>
      <c r="AF39" s="34">
        <f>ER!I34</f>
        <v>-0.27157480502428616</v>
      </c>
      <c r="AG39" s="34">
        <f>ER!J34</f>
        <v>-0.3400132806089356</v>
      </c>
      <c r="AH39" s="34">
        <f>ER!K34</f>
        <v>-0.38104299284808768</v>
      </c>
    </row>
    <row r="40" spans="1:34" x14ac:dyDescent="0.2">
      <c r="A40" s="307" t="str">
        <f>Summary!B35</f>
        <v>D = Double</v>
      </c>
      <c r="B40" s="307"/>
      <c r="C40" s="307"/>
      <c r="D40" s="307"/>
      <c r="E40" s="307"/>
      <c r="F40" s="307"/>
      <c r="G40" s="307"/>
      <c r="H40" s="307"/>
      <c r="I40" s="307"/>
      <c r="J40" s="307"/>
      <c r="K40" s="307"/>
      <c r="M40" s="178">
        <v>3</v>
      </c>
      <c r="N40" s="1">
        <f t="shared" ref="N40:V40" si="3">N10*N20</f>
        <v>-9.2400067738459821</v>
      </c>
      <c r="O40" s="1">
        <f t="shared" si="3"/>
        <v>13.126354111534633</v>
      </c>
      <c r="P40" s="1">
        <f t="shared" si="3"/>
        <v>87.408800897054149</v>
      </c>
      <c r="Q40" s="1">
        <f t="shared" si="3"/>
        <v>257.82625170418902</v>
      </c>
      <c r="R40" s="1">
        <f t="shared" si="3"/>
        <v>579.96011490645674</v>
      </c>
      <c r="S40" s="1">
        <f t="shared" si="3"/>
        <v>1120.7965760359118</v>
      </c>
      <c r="T40" s="1">
        <f t="shared" si="3"/>
        <v>1958.8486108722359</v>
      </c>
      <c r="U40" s="1">
        <f t="shared" si="3"/>
        <v>3184.452544183629</v>
      </c>
      <c r="V40" s="1">
        <f t="shared" si="3"/>
        <v>4900.0752816047907</v>
      </c>
      <c r="X40" s="181">
        <f>ER!A35</f>
        <v>7</v>
      </c>
      <c r="Y40" s="34">
        <f>ER!B35</f>
        <v>-0.44000672211415065</v>
      </c>
      <c r="Z40" s="34">
        <f>ER!C35</f>
        <v>-0.1554853799924491</v>
      </c>
      <c r="AA40" s="34">
        <f>ER!D35</f>
        <v>-7.4766650789560851E-2</v>
      </c>
      <c r="AB40" s="34">
        <f>ER!E35</f>
        <v>1.0511467456082583E-2</v>
      </c>
      <c r="AC40" s="34">
        <f>ER!F35</f>
        <v>9.9964621687930175E-2</v>
      </c>
      <c r="AD40" s="34">
        <f>ER!G35</f>
        <v>0.18769123920448363</v>
      </c>
      <c r="AE40" s="34">
        <f>ER!H35</f>
        <v>-9.0500880901835723E-2</v>
      </c>
      <c r="AF40" s="34">
        <f>ER!I35</f>
        <v>-0.37191909208726714</v>
      </c>
      <c r="AG40" s="34">
        <f>ER!J35</f>
        <v>-0.43092981848423528</v>
      </c>
      <c r="AH40" s="34">
        <f>ER!K35</f>
        <v>-0.46630747852717758</v>
      </c>
    </row>
    <row r="41" spans="1:34" x14ac:dyDescent="0.2">
      <c r="A41" s="303" t="str">
        <f>Summary!B36</f>
        <v>S = Stand</v>
      </c>
      <c r="B41" s="303"/>
      <c r="C41" s="303"/>
      <c r="D41" s="303"/>
      <c r="E41" s="303"/>
      <c r="F41" s="303"/>
      <c r="G41" s="303"/>
      <c r="H41" s="303"/>
      <c r="I41" s="303"/>
      <c r="J41" s="303"/>
      <c r="K41" s="303"/>
      <c r="M41" s="178">
        <v>4</v>
      </c>
      <c r="N41" s="1">
        <f t="shared" ref="N41:V41" si="4">N11*N21</f>
        <v>-21.915190687994581</v>
      </c>
      <c r="O41" s="1">
        <f t="shared" si="4"/>
        <v>44.836368107092447</v>
      </c>
      <c r="P41" s="1">
        <f t="shared" si="4"/>
        <v>391.33923467659554</v>
      </c>
      <c r="Q41" s="1">
        <f t="shared" si="4"/>
        <v>1431.1822038765931</v>
      </c>
      <c r="R41" s="1">
        <f t="shared" si="4"/>
        <v>3846.8004615049663</v>
      </c>
      <c r="S41" s="1">
        <f t="shared" si="4"/>
        <v>8652.7136397774102</v>
      </c>
      <c r="T41" s="1">
        <f t="shared" si="4"/>
        <v>17259.460311912058</v>
      </c>
      <c r="U41" s="1">
        <f t="shared" si="4"/>
        <v>31539.849112624299</v>
      </c>
      <c r="V41" s="1">
        <f t="shared" si="4"/>
        <v>53897.182134961506</v>
      </c>
      <c r="X41" s="181">
        <f>ER!A36</f>
        <v>8</v>
      </c>
      <c r="Y41" s="34">
        <f>ER!B36</f>
        <v>-0.39405762114832721</v>
      </c>
      <c r="Z41" s="34">
        <f>ER!C36</f>
        <v>1.9285099723172237E-2</v>
      </c>
      <c r="AA41" s="34">
        <f>ER!D36</f>
        <v>8.688786047625327E-2</v>
      </c>
      <c r="AB41" s="34">
        <f>ER!E36</f>
        <v>0.15656746918613532</v>
      </c>
      <c r="AC41" s="34">
        <f>ER!F36</f>
        <v>0.22831820480547502</v>
      </c>
      <c r="AD41" s="34">
        <f>ER!G36</f>
        <v>0.32553339738516479</v>
      </c>
      <c r="AE41" s="34">
        <f>ER!H36</f>
        <v>0.21152959698650559</v>
      </c>
      <c r="AF41" s="34">
        <f>ER!I36</f>
        <v>-8.7582327609523197E-2</v>
      </c>
      <c r="AG41" s="34">
        <f>ER!J36</f>
        <v>-0.40539957445661723</v>
      </c>
      <c r="AH41" s="34">
        <f>ER!K36</f>
        <v>-0.48948762316092631</v>
      </c>
    </row>
    <row r="42" spans="1:34" x14ac:dyDescent="0.2">
      <c r="A42" s="304" t="str">
        <f>Summary!B37</f>
        <v>P = Split</v>
      </c>
      <c r="B42" s="304"/>
      <c r="C42" s="304"/>
      <c r="D42" s="304"/>
      <c r="E42" s="304"/>
      <c r="F42" s="304"/>
      <c r="G42" s="304"/>
      <c r="H42" s="304"/>
      <c r="I42" s="304"/>
      <c r="J42" s="304"/>
      <c r="K42" s="304"/>
      <c r="M42" s="361" t="s">
        <v>207</v>
      </c>
      <c r="N42" s="362"/>
      <c r="O42" s="362"/>
      <c r="P42" s="362"/>
      <c r="Q42" s="362"/>
      <c r="R42" s="362"/>
      <c r="S42" s="362"/>
      <c r="T42" s="362"/>
      <c r="U42" s="362"/>
      <c r="V42" s="363"/>
      <c r="X42" s="181">
        <f>ER!A37</f>
        <v>9</v>
      </c>
      <c r="Y42" s="34">
        <f>ER!B37</f>
        <v>-0.10019887561319057</v>
      </c>
      <c r="Z42" s="34">
        <f>ER!C37</f>
        <v>0.18462902498065631</v>
      </c>
      <c r="AA42" s="34">
        <f>ER!D37</f>
        <v>0.24214017052931303</v>
      </c>
      <c r="AB42" s="34">
        <f>ER!E37</f>
        <v>0.30150334319286637</v>
      </c>
      <c r="AC42" s="34">
        <f>ER!F37</f>
        <v>0.36334825237219065</v>
      </c>
      <c r="AD42" s="34">
        <f>ER!G37</f>
        <v>0.44337460889206287</v>
      </c>
      <c r="AE42" s="34">
        <f>ER!H37</f>
        <v>0.3995541673365518</v>
      </c>
      <c r="AF42" s="34">
        <f>ER!I37</f>
        <v>0.21532327264714252</v>
      </c>
      <c r="AG42" s="34">
        <f>ER!J37</f>
        <v>-9.3659752356483508E-2</v>
      </c>
      <c r="AH42" s="34">
        <f>ER!K37</f>
        <v>-0.17830123379648949</v>
      </c>
    </row>
    <row r="43" spans="1:34" x14ac:dyDescent="0.2">
      <c r="A43" s="302" t="str">
        <f>Summary!B38</f>
        <v>R = Surrender</v>
      </c>
      <c r="B43" s="302"/>
      <c r="C43" s="302"/>
      <c r="D43" s="302"/>
      <c r="E43" s="302"/>
      <c r="F43" s="302"/>
      <c r="G43" s="302"/>
      <c r="H43" s="302"/>
      <c r="I43" s="302"/>
      <c r="J43" s="302"/>
      <c r="K43" s="302"/>
      <c r="M43" s="178" t="s">
        <v>135</v>
      </c>
      <c r="N43" s="178" t="str">
        <f>N33</f>
        <v>1x2</v>
      </c>
      <c r="O43" s="178" t="str">
        <f t="shared" ref="O43:V43" si="5">O33</f>
        <v>1x3</v>
      </c>
      <c r="P43" s="178" t="str">
        <f t="shared" si="5"/>
        <v>1x4</v>
      </c>
      <c r="Q43" s="178" t="str">
        <f t="shared" si="5"/>
        <v>1x5</v>
      </c>
      <c r="R43" s="178" t="str">
        <f t="shared" si="5"/>
        <v>1x6</v>
      </c>
      <c r="S43" s="178" t="str">
        <f t="shared" si="5"/>
        <v>1x7</v>
      </c>
      <c r="T43" s="178" t="str">
        <f t="shared" si="5"/>
        <v>1x8</v>
      </c>
      <c r="U43" s="178" t="str">
        <f t="shared" si="5"/>
        <v>1x9</v>
      </c>
      <c r="V43" s="178" t="str">
        <f t="shared" si="5"/>
        <v>1x10</v>
      </c>
      <c r="X43" s="181">
        <f>ER!A38</f>
        <v>10</v>
      </c>
      <c r="Y43" s="34">
        <f>ER!B38</f>
        <v>0.65547032314990239</v>
      </c>
      <c r="Z43" s="34">
        <f>ER!C38</f>
        <v>0.63998657521683877</v>
      </c>
      <c r="AA43" s="34">
        <f>ER!D38</f>
        <v>0.65027209425148136</v>
      </c>
      <c r="AB43" s="34">
        <f>ER!E38</f>
        <v>0.66104996194807186</v>
      </c>
      <c r="AC43" s="34">
        <f>ER!F38</f>
        <v>0.67035969063279999</v>
      </c>
      <c r="AD43" s="34">
        <f>ER!G38</f>
        <v>0.70395857017134467</v>
      </c>
      <c r="AE43" s="34">
        <f>ER!H38</f>
        <v>0.77322722653717491</v>
      </c>
      <c r="AF43" s="34">
        <f>ER!I38</f>
        <v>0.79181515955189841</v>
      </c>
      <c r="AG43" s="34">
        <f>ER!J38</f>
        <v>0.75835687080859626</v>
      </c>
      <c r="AH43" s="34">
        <f>ER!K38</f>
        <v>0.55453756646817121</v>
      </c>
    </row>
    <row r="44" spans="1:34" x14ac:dyDescent="0.2">
      <c r="M44" s="178">
        <v>1</v>
      </c>
      <c r="N44" s="1">
        <f>N8*N24</f>
        <v>4.3232199630472046</v>
      </c>
      <c r="O44" s="1">
        <f t="shared" ref="O44:V44" si="6">O8*O24</f>
        <v>11.389505578285771</v>
      </c>
      <c r="P44" s="1">
        <f t="shared" si="6"/>
        <v>28.476301582816507</v>
      </c>
      <c r="Q44" s="1">
        <f t="shared" si="6"/>
        <v>56.105525033561477</v>
      </c>
      <c r="R44" s="1">
        <f t="shared" si="6"/>
        <v>97.676016958257591</v>
      </c>
      <c r="S44" s="1">
        <f t="shared" si="6"/>
        <v>156.23589884780037</v>
      </c>
      <c r="T44" s="1">
        <f t="shared" si="6"/>
        <v>234.77971737351757</v>
      </c>
      <c r="U44" s="1">
        <f t="shared" si="6"/>
        <v>336.26581003825135</v>
      </c>
      <c r="V44" s="1">
        <f t="shared" si="6"/>
        <v>463.62528633745006</v>
      </c>
    </row>
    <row r="45" spans="1:34" x14ac:dyDescent="0.2">
      <c r="M45" s="178">
        <v>2</v>
      </c>
      <c r="N45" s="1">
        <f t="shared" ref="N45:V45" si="7">N9*N25</f>
        <v>-6.9755133113812811</v>
      </c>
      <c r="O45" s="1">
        <f t="shared" si="7"/>
        <v>8.9177263432716902</v>
      </c>
      <c r="P45" s="1">
        <f t="shared" si="7"/>
        <v>56.179423785997535</v>
      </c>
      <c r="Q45" s="1">
        <f t="shared" si="7"/>
        <v>159.32328289586087</v>
      </c>
      <c r="R45" s="1">
        <f t="shared" si="7"/>
        <v>347.78908223769656</v>
      </c>
      <c r="S45" s="1">
        <f t="shared" si="7"/>
        <v>656.32478911735882</v>
      </c>
      <c r="T45" s="1">
        <f t="shared" si="7"/>
        <v>1125.1295843989676</v>
      </c>
      <c r="U45" s="1">
        <f t="shared" si="7"/>
        <v>1800.0384698259188</v>
      </c>
      <c r="V45" s="1">
        <f t="shared" si="7"/>
        <v>2732.6869191991273</v>
      </c>
    </row>
    <row r="46" spans="1:34" x14ac:dyDescent="0.2">
      <c r="M46" s="178">
        <v>3</v>
      </c>
      <c r="N46" s="1">
        <f t="shared" ref="N46:V46" si="8">N10*N26</f>
        <v>-16.500012096153544</v>
      </c>
      <c r="O46" s="1">
        <f t="shared" si="8"/>
        <v>31.301305958274892</v>
      </c>
      <c r="P46" s="1">
        <f t="shared" si="8"/>
        <v>255.98291691280144</v>
      </c>
      <c r="Q46" s="1">
        <f t="shared" si="8"/>
        <v>889.91641717252344</v>
      </c>
      <c r="R46" s="1">
        <f t="shared" si="8"/>
        <v>2299.6092928267644</v>
      </c>
      <c r="S46" s="1">
        <f t="shared" si="8"/>
        <v>5014.0899454238161</v>
      </c>
      <c r="T46" s="1">
        <f t="shared" si="8"/>
        <v>9753.9927404391492</v>
      </c>
      <c r="U46" s="1">
        <f t="shared" si="8"/>
        <v>17461.998017006932</v>
      </c>
      <c r="V46" s="1">
        <f t="shared" si="8"/>
        <v>29334.234456093542</v>
      </c>
    </row>
  </sheetData>
  <sheetProtection sheet="1" objects="1" scenarios="1"/>
  <mergeCells count="41">
    <mergeCell ref="M37:V37"/>
    <mergeCell ref="M17:V17"/>
    <mergeCell ref="P4:Q4"/>
    <mergeCell ref="A43:K43"/>
    <mergeCell ref="A37:K37"/>
    <mergeCell ref="A38:K38"/>
    <mergeCell ref="A39:K39"/>
    <mergeCell ref="A40:K40"/>
    <mergeCell ref="A42:K42"/>
    <mergeCell ref="A41:K41"/>
    <mergeCell ref="M42:V42"/>
    <mergeCell ref="X6:AH6"/>
    <mergeCell ref="M6:V6"/>
    <mergeCell ref="M12:V12"/>
    <mergeCell ref="A3:D3"/>
    <mergeCell ref="E3:G3"/>
    <mergeCell ref="H3:L3"/>
    <mergeCell ref="M3:N3"/>
    <mergeCell ref="O3:Q3"/>
    <mergeCell ref="R3:S3"/>
    <mergeCell ref="A4:D4"/>
    <mergeCell ref="E4:H4"/>
    <mergeCell ref="I4:K4"/>
    <mergeCell ref="R4:T4"/>
    <mergeCell ref="AG3:AH3"/>
    <mergeCell ref="A1:S1"/>
    <mergeCell ref="T1:AH1"/>
    <mergeCell ref="AG4:AH4"/>
    <mergeCell ref="M32:V32"/>
    <mergeCell ref="M22:V22"/>
    <mergeCell ref="M27:V27"/>
    <mergeCell ref="T3:U3"/>
    <mergeCell ref="W3:AA3"/>
    <mergeCell ref="AB3:AC3"/>
    <mergeCell ref="AD3:AF3"/>
    <mergeCell ref="V4:Y4"/>
    <mergeCell ref="AB4:AC4"/>
    <mergeCell ref="AD4:AE4"/>
    <mergeCell ref="L4:M4"/>
    <mergeCell ref="N4:O4"/>
    <mergeCell ref="A6:K6"/>
  </mergeCells>
  <phoneticPr fontId="16" type="noConversion"/>
  <conditionalFormatting sqref="B7:K7 M7:M11">
    <cfRule type="containsText" dxfId="101" priority="355" operator="containsText" text="S">
      <formula>NOT(ISERROR(SEARCH("S",B7)))</formula>
    </cfRule>
    <cfRule type="containsText" dxfId="100" priority="356" operator="containsText" text="H">
      <formula>NOT(ISERROR(SEARCH("H",B7)))</formula>
    </cfRule>
  </conditionalFormatting>
  <conditionalFormatting sqref="B7:K7 M7:M11">
    <cfRule type="containsText" dxfId="99" priority="354" operator="containsText" text="D">
      <formula>NOT(ISERROR(SEARCH("D",B7)))</formula>
    </cfRule>
  </conditionalFormatting>
  <conditionalFormatting sqref="B7:K7 M7:M11">
    <cfRule type="containsText" dxfId="98" priority="353" operator="containsText" text="R">
      <formula>NOT(ISERROR(SEARCH("R",B7)))</formula>
    </cfRule>
  </conditionalFormatting>
  <conditionalFormatting sqref="B7:K7 M7:M11">
    <cfRule type="containsText" dxfId="97" priority="352" operator="containsText" text="P">
      <formula>NOT(ISERROR(SEARCH("P",B7)))</formula>
    </cfRule>
  </conditionalFormatting>
  <conditionalFormatting sqref="B8:K17 B19:K25 B27:K36">
    <cfRule type="containsText" dxfId="96" priority="345" operator="containsText" text="S">
      <formula>NOT(ISERROR(SEARCH("S",B8)))</formula>
    </cfRule>
    <cfRule type="containsText" dxfId="95" priority="346" operator="containsText" text="H">
      <formula>NOT(ISERROR(SEARCH("H",B8)))</formula>
    </cfRule>
  </conditionalFormatting>
  <conditionalFormatting sqref="B8:K17 B19:K25 B27:K36">
    <cfRule type="containsText" dxfId="94" priority="344" operator="containsText" text="D">
      <formula>NOT(ISERROR(SEARCH("D",B8)))</formula>
    </cfRule>
  </conditionalFormatting>
  <conditionalFormatting sqref="B8:K17 B19:K25 B27:K36">
    <cfRule type="containsText" dxfId="93" priority="343" operator="containsText" text="R">
      <formula>NOT(ISERROR(SEARCH("R",B8)))</formula>
    </cfRule>
  </conditionalFormatting>
  <conditionalFormatting sqref="B8:K17 B19:K25 B27:K36">
    <cfRule type="containsText" dxfId="92" priority="342" operator="containsText" text="P">
      <formula>NOT(ISERROR(SEARCH("P",B8)))</formula>
    </cfRule>
  </conditionalFormatting>
  <conditionalFormatting sqref="Y8:AH22">
    <cfRule type="colorScale" priority="278">
      <colorScale>
        <cfvo type="num" val="MIN($Y$8:$AH$22,$Y$24:$AH$32,$Y$34:$AH$43)"/>
        <cfvo type="num" val="AVERAGE($Y$8:$AH$22,$Y$24:$AH$32,$Y$34:$AH$43)"/>
        <cfvo type="num" val="MAX($Y$8:$AH$22,$Y$24:$AH$32,$Y$34:$AH$43)"/>
        <color rgb="FFFF0000"/>
        <color rgb="FFFFFF00"/>
        <color rgb="FF00B050"/>
      </colorScale>
    </cfRule>
    <cfRule type="containsText" dxfId="91" priority="280" operator="containsText" text="R">
      <formula>NOT(ISERROR(SEARCH("R",Y8)))</formula>
    </cfRule>
    <cfRule type="containsText" dxfId="90" priority="281" operator="containsText" text="D">
      <formula>NOT(ISERROR(SEARCH("D",Y8)))</formula>
    </cfRule>
    <cfRule type="containsText" dxfId="89" priority="282" operator="containsText" text="S">
      <formula>NOT(ISERROR(SEARCH("S",Y8)))</formula>
    </cfRule>
    <cfRule type="containsText" dxfId="88" priority="283" operator="containsText" text="H">
      <formula>NOT(ISERROR(SEARCH("H",Y8)))</formula>
    </cfRule>
  </conditionalFormatting>
  <conditionalFormatting sqref="Y8:AH22">
    <cfRule type="containsText" dxfId="87" priority="279" operator="containsText" text="P">
      <formula>NOT(ISERROR(SEARCH("P",Y8)))</formula>
    </cfRule>
  </conditionalFormatting>
  <conditionalFormatting sqref="Y24:AH32">
    <cfRule type="colorScale" priority="250">
      <colorScale>
        <cfvo type="num" val="MIN($Y$8:$AH$22,$Y$24:$AH$32,$Y$34:$AH$43)"/>
        <cfvo type="num" val="AVERAGE($Y$8:$AH$22,$Y$24:$AH$32,$Y$34:$AH$43)"/>
        <cfvo type="num" val="MAX($Y$8:$AH$22,$Y$24:$AH$32,$Y$34:$AH$43)"/>
        <color rgb="FFFF0000"/>
        <color rgb="FFFFFF00"/>
        <color rgb="FF00B050"/>
      </colorScale>
    </cfRule>
    <cfRule type="containsText" dxfId="86" priority="252" operator="containsText" text="R">
      <formula>NOT(ISERROR(SEARCH("R",Y24)))</formula>
    </cfRule>
    <cfRule type="containsText" dxfId="85" priority="253" operator="containsText" text="D">
      <formula>NOT(ISERROR(SEARCH("D",Y24)))</formula>
    </cfRule>
    <cfRule type="containsText" dxfId="84" priority="254" operator="containsText" text="S">
      <formula>NOT(ISERROR(SEARCH("S",Y24)))</formula>
    </cfRule>
    <cfRule type="containsText" dxfId="83" priority="255" operator="containsText" text="H">
      <formula>NOT(ISERROR(SEARCH("H",Y24)))</formula>
    </cfRule>
  </conditionalFormatting>
  <conditionalFormatting sqref="Y24:AH32">
    <cfRule type="containsText" dxfId="82" priority="251" operator="containsText" text="P">
      <formula>NOT(ISERROR(SEARCH("P",Y24)))</formula>
    </cfRule>
  </conditionalFormatting>
  <conditionalFormatting sqref="Y34:AH43">
    <cfRule type="colorScale" priority="244">
      <colorScale>
        <cfvo type="num" val="MIN($Y$8:$AH$22,$Y$24:$AH$32,$Y$34:$AH$43)"/>
        <cfvo type="num" val="AVERAGE($Y$8:$AH$22,$Y$24:$AH$32,$Y$34:$AH$43)"/>
        <cfvo type="num" val="MAX($Y$8:$AH$22,$Y$24:$AH$32,$Y$34:$AH$43)"/>
        <color rgb="FFFF0000"/>
        <color rgb="FFFFFF00"/>
        <color rgb="FF00B050"/>
      </colorScale>
    </cfRule>
    <cfRule type="containsText" dxfId="81" priority="246" operator="containsText" text="R">
      <formula>NOT(ISERROR(SEARCH("R",Y34)))</formula>
    </cfRule>
    <cfRule type="containsText" dxfId="80" priority="247" operator="containsText" text="D">
      <formula>NOT(ISERROR(SEARCH("D",Y34)))</formula>
    </cfRule>
    <cfRule type="containsText" dxfId="79" priority="248" operator="containsText" text="S">
      <formula>NOT(ISERROR(SEARCH("S",Y34)))</formula>
    </cfRule>
    <cfRule type="containsText" dxfId="78" priority="249" operator="containsText" text="H">
      <formula>NOT(ISERROR(SEARCH("H",Y34)))</formula>
    </cfRule>
  </conditionalFormatting>
  <conditionalFormatting sqref="Y34:AH43">
    <cfRule type="containsText" dxfId="77" priority="245" operator="containsText" text="P">
      <formula>NOT(ISERROR(SEARCH("P",Y34)))</formula>
    </cfRule>
  </conditionalFormatting>
  <conditionalFormatting sqref="N7:V7">
    <cfRule type="containsText" dxfId="76" priority="190" operator="containsText" text="S">
      <formula>NOT(ISERROR(SEARCH("S",N7)))</formula>
    </cfRule>
    <cfRule type="containsText" dxfId="75" priority="191" operator="containsText" text="H">
      <formula>NOT(ISERROR(SEARCH("H",N7)))</formula>
    </cfRule>
  </conditionalFormatting>
  <conditionalFormatting sqref="N7:V7">
    <cfRule type="containsText" dxfId="74" priority="189" operator="containsText" text="D">
      <formula>NOT(ISERROR(SEARCH("D",N7)))</formula>
    </cfRule>
  </conditionalFormatting>
  <conditionalFormatting sqref="N7:V7">
    <cfRule type="containsText" dxfId="73" priority="188" operator="containsText" text="R">
      <formula>NOT(ISERROR(SEARCH("R",N7)))</formula>
    </cfRule>
  </conditionalFormatting>
  <conditionalFormatting sqref="N7:V7">
    <cfRule type="containsText" dxfId="72" priority="187" operator="containsText" text="P">
      <formula>NOT(ISERROR(SEARCH("P",N7)))</formula>
    </cfRule>
  </conditionalFormatting>
  <conditionalFormatting sqref="N8:V11">
    <cfRule type="colorScale" priority="186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M13:M16">
    <cfRule type="containsText" dxfId="71" priority="184" operator="containsText" text="S">
      <formula>NOT(ISERROR(SEARCH("S",M13)))</formula>
    </cfRule>
    <cfRule type="containsText" dxfId="70" priority="185" operator="containsText" text="H">
      <formula>NOT(ISERROR(SEARCH("H",M13)))</formula>
    </cfRule>
  </conditionalFormatting>
  <conditionalFormatting sqref="M13:M16">
    <cfRule type="containsText" dxfId="69" priority="183" operator="containsText" text="D">
      <formula>NOT(ISERROR(SEARCH("D",M13)))</formula>
    </cfRule>
  </conditionalFormatting>
  <conditionalFormatting sqref="M13:M16">
    <cfRule type="containsText" dxfId="68" priority="182" operator="containsText" text="R">
      <formula>NOT(ISERROR(SEARCH("R",M13)))</formula>
    </cfRule>
  </conditionalFormatting>
  <conditionalFormatting sqref="M13:M16">
    <cfRule type="containsText" dxfId="67" priority="181" operator="containsText" text="P">
      <formula>NOT(ISERROR(SEARCH("P",M13)))</formula>
    </cfRule>
  </conditionalFormatting>
  <conditionalFormatting sqref="N13:V13">
    <cfRule type="containsText" dxfId="66" priority="179" operator="containsText" text="S">
      <formula>NOT(ISERROR(SEARCH("S",N13)))</formula>
    </cfRule>
    <cfRule type="containsText" dxfId="65" priority="180" operator="containsText" text="H">
      <formula>NOT(ISERROR(SEARCH("H",N13)))</formula>
    </cfRule>
  </conditionalFormatting>
  <conditionalFormatting sqref="N13:V13">
    <cfRule type="containsText" dxfId="64" priority="178" operator="containsText" text="D">
      <formula>NOT(ISERROR(SEARCH("D",N13)))</formula>
    </cfRule>
  </conditionalFormatting>
  <conditionalFormatting sqref="N13:V13">
    <cfRule type="containsText" dxfId="63" priority="177" operator="containsText" text="R">
      <formula>NOT(ISERROR(SEARCH("R",N13)))</formula>
    </cfRule>
  </conditionalFormatting>
  <conditionalFormatting sqref="N13:V13">
    <cfRule type="containsText" dxfId="62" priority="176" operator="containsText" text="P">
      <formula>NOT(ISERROR(SEARCH("P",N13)))</formula>
    </cfRule>
  </conditionalFormatting>
  <conditionalFormatting sqref="N14:V16">
    <cfRule type="colorScale" priority="175">
      <colorScale>
        <cfvo type="num" val="0"/>
        <cfvo type="percentile" val="50"/>
        <cfvo type="max"/>
        <color rgb="FFFF0000"/>
        <color rgb="FFFFEB84"/>
        <color rgb="FF00B050"/>
      </colorScale>
    </cfRule>
  </conditionalFormatting>
  <conditionalFormatting sqref="M18:M21">
    <cfRule type="containsText" dxfId="61" priority="173" operator="containsText" text="S">
      <formula>NOT(ISERROR(SEARCH("S",M18)))</formula>
    </cfRule>
    <cfRule type="containsText" dxfId="60" priority="174" operator="containsText" text="H">
      <formula>NOT(ISERROR(SEARCH("H",M18)))</formula>
    </cfRule>
  </conditionalFormatting>
  <conditionalFormatting sqref="M18:M21">
    <cfRule type="containsText" dxfId="59" priority="172" operator="containsText" text="D">
      <formula>NOT(ISERROR(SEARCH("D",M18)))</formula>
    </cfRule>
  </conditionalFormatting>
  <conditionalFormatting sqref="M18:M21">
    <cfRule type="containsText" dxfId="58" priority="171" operator="containsText" text="R">
      <formula>NOT(ISERROR(SEARCH("R",M18)))</formula>
    </cfRule>
  </conditionalFormatting>
  <conditionalFormatting sqref="M18:M21">
    <cfRule type="containsText" dxfId="57" priority="170" operator="containsText" text="P">
      <formula>NOT(ISERROR(SEARCH("P",M18)))</formula>
    </cfRule>
  </conditionalFormatting>
  <conditionalFormatting sqref="N18:V18">
    <cfRule type="containsText" dxfId="56" priority="168" operator="containsText" text="S">
      <formula>NOT(ISERROR(SEARCH("S",N18)))</formula>
    </cfRule>
    <cfRule type="containsText" dxfId="55" priority="169" operator="containsText" text="H">
      <formula>NOT(ISERROR(SEARCH("H",N18)))</formula>
    </cfRule>
  </conditionalFormatting>
  <conditionalFormatting sqref="N18:V18">
    <cfRule type="containsText" dxfId="54" priority="167" operator="containsText" text="D">
      <formula>NOT(ISERROR(SEARCH("D",N18)))</formula>
    </cfRule>
  </conditionalFormatting>
  <conditionalFormatting sqref="N18:V18">
    <cfRule type="containsText" dxfId="53" priority="166" operator="containsText" text="R">
      <formula>NOT(ISERROR(SEARCH("R",N18)))</formula>
    </cfRule>
  </conditionalFormatting>
  <conditionalFormatting sqref="N18:V18">
    <cfRule type="containsText" dxfId="52" priority="165" operator="containsText" text="P">
      <formula>NOT(ISERROR(SEARCH("P",N18)))</formula>
    </cfRule>
  </conditionalFormatting>
  <conditionalFormatting sqref="N19:V21">
    <cfRule type="colorScale" priority="164">
      <colorScale>
        <cfvo type="num" val="0"/>
        <cfvo type="percentile" val="50"/>
        <cfvo type="num" val="100"/>
        <color rgb="FF00B050"/>
        <color theme="9" tint="0.39997558519241921"/>
        <color rgb="FFFF0000"/>
      </colorScale>
    </cfRule>
  </conditionalFormatting>
  <conditionalFormatting sqref="M28:M31">
    <cfRule type="containsText" dxfId="51" priority="162" operator="containsText" text="S">
      <formula>NOT(ISERROR(SEARCH("S",M28)))</formula>
    </cfRule>
    <cfRule type="containsText" dxfId="50" priority="163" operator="containsText" text="H">
      <formula>NOT(ISERROR(SEARCH("H",M28)))</formula>
    </cfRule>
  </conditionalFormatting>
  <conditionalFormatting sqref="M28:M31">
    <cfRule type="containsText" dxfId="49" priority="161" operator="containsText" text="D">
      <formula>NOT(ISERROR(SEARCH("D",M28)))</formula>
    </cfRule>
  </conditionalFormatting>
  <conditionalFormatting sqref="M28:M31">
    <cfRule type="containsText" dxfId="48" priority="160" operator="containsText" text="R">
      <formula>NOT(ISERROR(SEARCH("R",M28)))</formula>
    </cfRule>
  </conditionalFormatting>
  <conditionalFormatting sqref="M28:M31">
    <cfRule type="containsText" dxfId="47" priority="159" operator="containsText" text="P">
      <formula>NOT(ISERROR(SEARCH("P",M28)))</formula>
    </cfRule>
  </conditionalFormatting>
  <conditionalFormatting sqref="N28:V28">
    <cfRule type="containsText" dxfId="46" priority="157" operator="containsText" text="S">
      <formula>NOT(ISERROR(SEARCH("S",N28)))</formula>
    </cfRule>
    <cfRule type="containsText" dxfId="45" priority="158" operator="containsText" text="H">
      <formula>NOT(ISERROR(SEARCH("H",N28)))</formula>
    </cfRule>
  </conditionalFormatting>
  <conditionalFormatting sqref="N28:V28">
    <cfRule type="containsText" dxfId="44" priority="156" operator="containsText" text="D">
      <formula>NOT(ISERROR(SEARCH("D",N28)))</formula>
    </cfRule>
  </conditionalFormatting>
  <conditionalFormatting sqref="N28:V28">
    <cfRule type="containsText" dxfId="43" priority="155" operator="containsText" text="R">
      <formula>NOT(ISERROR(SEARCH("R",N28)))</formula>
    </cfRule>
  </conditionalFormatting>
  <conditionalFormatting sqref="N28:V28">
    <cfRule type="containsText" dxfId="42" priority="154" operator="containsText" text="P">
      <formula>NOT(ISERROR(SEARCH("P",N28)))</formula>
    </cfRule>
  </conditionalFormatting>
  <conditionalFormatting sqref="N29:V31">
    <cfRule type="colorScale" priority="147">
      <colorScale>
        <cfvo type="num" val="0"/>
        <cfvo type="num" val="0"/>
        <cfvo type="max"/>
        <color rgb="FFFF0000"/>
        <color rgb="FFFFEB84"/>
        <color rgb="FF00B050"/>
      </colorScale>
    </cfRule>
    <cfRule type="cellIs" dxfId="41" priority="153" operator="equal">
      <formula>MAX($N$29:$V$31)</formula>
    </cfRule>
  </conditionalFormatting>
  <conditionalFormatting sqref="M33:M36">
    <cfRule type="containsText" dxfId="40" priority="140" operator="containsText" text="S">
      <formula>NOT(ISERROR(SEARCH("S",M33)))</formula>
    </cfRule>
    <cfRule type="containsText" dxfId="39" priority="141" operator="containsText" text="H">
      <formula>NOT(ISERROR(SEARCH("H",M33)))</formula>
    </cfRule>
  </conditionalFormatting>
  <conditionalFormatting sqref="M33:M36">
    <cfRule type="containsText" dxfId="38" priority="139" operator="containsText" text="D">
      <formula>NOT(ISERROR(SEARCH("D",M33)))</formula>
    </cfRule>
  </conditionalFormatting>
  <conditionalFormatting sqref="M33:M36">
    <cfRule type="containsText" dxfId="37" priority="138" operator="containsText" text="R">
      <formula>NOT(ISERROR(SEARCH("R",M33)))</formula>
    </cfRule>
  </conditionalFormatting>
  <conditionalFormatting sqref="M33:M36">
    <cfRule type="containsText" dxfId="36" priority="137" operator="containsText" text="P">
      <formula>NOT(ISERROR(SEARCH("P",M33)))</formula>
    </cfRule>
  </conditionalFormatting>
  <conditionalFormatting sqref="M23:M26">
    <cfRule type="containsText" dxfId="35" priority="128" operator="containsText" text="S">
      <formula>NOT(ISERROR(SEARCH("S",M23)))</formula>
    </cfRule>
    <cfRule type="containsText" dxfId="34" priority="129" operator="containsText" text="H">
      <formula>NOT(ISERROR(SEARCH("H",M23)))</formula>
    </cfRule>
  </conditionalFormatting>
  <conditionalFormatting sqref="M23:M26">
    <cfRule type="containsText" dxfId="33" priority="127" operator="containsText" text="D">
      <formula>NOT(ISERROR(SEARCH("D",M23)))</formula>
    </cfRule>
  </conditionalFormatting>
  <conditionalFormatting sqref="M23:M26">
    <cfRule type="containsText" dxfId="32" priority="126" operator="containsText" text="R">
      <formula>NOT(ISERROR(SEARCH("R",M23)))</formula>
    </cfRule>
  </conditionalFormatting>
  <conditionalFormatting sqref="M23:M26">
    <cfRule type="containsText" dxfId="31" priority="125" operator="containsText" text="P">
      <formula>NOT(ISERROR(SEARCH("P",M23)))</formula>
    </cfRule>
  </conditionalFormatting>
  <conditionalFormatting sqref="N24:V26">
    <cfRule type="colorScale" priority="119">
      <colorScale>
        <cfvo type="num" val="0"/>
        <cfvo type="percentile" val="50"/>
        <cfvo type="num" val="100"/>
        <color rgb="FF00B050"/>
        <color theme="9" tint="0.39997558519241921"/>
        <color rgb="FFFF0000"/>
      </colorScale>
    </cfRule>
  </conditionalFormatting>
  <conditionalFormatting sqref="N23:V23">
    <cfRule type="containsText" dxfId="30" priority="117" operator="containsText" text="S">
      <formula>NOT(ISERROR(SEARCH("S",N23)))</formula>
    </cfRule>
    <cfRule type="containsText" dxfId="29" priority="118" operator="containsText" text="H">
      <formula>NOT(ISERROR(SEARCH("H",N23)))</formula>
    </cfRule>
  </conditionalFormatting>
  <conditionalFormatting sqref="N23:V23">
    <cfRule type="containsText" dxfId="28" priority="116" operator="containsText" text="D">
      <formula>NOT(ISERROR(SEARCH("D",N23)))</formula>
    </cfRule>
  </conditionalFormatting>
  <conditionalFormatting sqref="N23:V23">
    <cfRule type="containsText" dxfId="27" priority="115" operator="containsText" text="R">
      <formula>NOT(ISERROR(SEARCH("R",N23)))</formula>
    </cfRule>
  </conditionalFormatting>
  <conditionalFormatting sqref="N23:V23">
    <cfRule type="containsText" dxfId="26" priority="114" operator="containsText" text="P">
      <formula>NOT(ISERROR(SEARCH("P",N23)))</formula>
    </cfRule>
  </conditionalFormatting>
  <conditionalFormatting sqref="N33:V33">
    <cfRule type="containsText" dxfId="25" priority="107" operator="containsText" text="S">
      <formula>NOT(ISERROR(SEARCH("S",N33)))</formula>
    </cfRule>
    <cfRule type="containsText" dxfId="24" priority="108" operator="containsText" text="H">
      <formula>NOT(ISERROR(SEARCH("H",N33)))</formula>
    </cfRule>
  </conditionalFormatting>
  <conditionalFormatting sqref="N33:V33">
    <cfRule type="containsText" dxfId="23" priority="106" operator="containsText" text="D">
      <formula>NOT(ISERROR(SEARCH("D",N33)))</formula>
    </cfRule>
  </conditionalFormatting>
  <conditionalFormatting sqref="N33:V33">
    <cfRule type="containsText" dxfId="22" priority="105" operator="containsText" text="R">
      <formula>NOT(ISERROR(SEARCH("R",N33)))</formula>
    </cfRule>
  </conditionalFormatting>
  <conditionalFormatting sqref="N33:V33">
    <cfRule type="containsText" dxfId="21" priority="104" operator="containsText" text="P">
      <formula>NOT(ISERROR(SEARCH("P",N33)))</formula>
    </cfRule>
  </conditionalFormatting>
  <conditionalFormatting sqref="N34:V36">
    <cfRule type="cellIs" dxfId="20" priority="41" operator="equal">
      <formula>MAX($N$34:$V$36)</formula>
    </cfRule>
    <cfRule type="colorScale" priority="42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M38:M41">
    <cfRule type="containsText" dxfId="19" priority="39" operator="containsText" text="S">
      <formula>NOT(ISERROR(SEARCH("S",M38)))</formula>
    </cfRule>
    <cfRule type="containsText" dxfId="18" priority="40" operator="containsText" text="H">
      <formula>NOT(ISERROR(SEARCH("H",M38)))</formula>
    </cfRule>
  </conditionalFormatting>
  <conditionalFormatting sqref="M38:M41">
    <cfRule type="containsText" dxfId="17" priority="38" operator="containsText" text="D">
      <formula>NOT(ISERROR(SEARCH("D",M38)))</formula>
    </cfRule>
  </conditionalFormatting>
  <conditionalFormatting sqref="M38:M41">
    <cfRule type="containsText" dxfId="16" priority="37" operator="containsText" text="R">
      <formula>NOT(ISERROR(SEARCH("R",M38)))</formula>
    </cfRule>
  </conditionalFormatting>
  <conditionalFormatting sqref="M38:M41">
    <cfRule type="containsText" dxfId="15" priority="36" operator="containsText" text="P">
      <formula>NOT(ISERROR(SEARCH("P",M38)))</formula>
    </cfRule>
  </conditionalFormatting>
  <conditionalFormatting sqref="N39:V41">
    <cfRule type="colorScale" priority="1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M43:M46">
    <cfRule type="containsText" dxfId="14" priority="27" operator="containsText" text="S">
      <formula>NOT(ISERROR(SEARCH("S",M43)))</formula>
    </cfRule>
    <cfRule type="containsText" dxfId="13" priority="28" operator="containsText" text="H">
      <formula>NOT(ISERROR(SEARCH("H",M43)))</formula>
    </cfRule>
  </conditionalFormatting>
  <conditionalFormatting sqref="M43:M46">
    <cfRule type="containsText" dxfId="12" priority="26" operator="containsText" text="D">
      <formula>NOT(ISERROR(SEARCH("D",M43)))</formula>
    </cfRule>
  </conditionalFormatting>
  <conditionalFormatting sqref="M43:M46">
    <cfRule type="containsText" dxfId="11" priority="25" operator="containsText" text="R">
      <formula>NOT(ISERROR(SEARCH("R",M43)))</formula>
    </cfRule>
  </conditionalFormatting>
  <conditionalFormatting sqref="M43:M46">
    <cfRule type="containsText" dxfId="10" priority="24" operator="containsText" text="P">
      <formula>NOT(ISERROR(SEARCH("P",M43)))</formula>
    </cfRule>
  </conditionalFormatting>
  <conditionalFormatting sqref="N43:V43">
    <cfRule type="containsText" dxfId="9" priority="22" operator="containsText" text="S">
      <formula>NOT(ISERROR(SEARCH("S",N43)))</formula>
    </cfRule>
    <cfRule type="containsText" dxfId="8" priority="23" operator="containsText" text="H">
      <formula>NOT(ISERROR(SEARCH("H",N43)))</formula>
    </cfRule>
  </conditionalFormatting>
  <conditionalFormatting sqref="N43:V43">
    <cfRule type="containsText" dxfId="7" priority="21" operator="containsText" text="D">
      <formula>NOT(ISERROR(SEARCH("D",N43)))</formula>
    </cfRule>
  </conditionalFormatting>
  <conditionalFormatting sqref="N43:V43">
    <cfRule type="containsText" dxfId="6" priority="20" operator="containsText" text="R">
      <formula>NOT(ISERROR(SEARCH("R",N43)))</formula>
    </cfRule>
  </conditionalFormatting>
  <conditionalFormatting sqref="N43:V43">
    <cfRule type="containsText" dxfId="5" priority="19" operator="containsText" text="P">
      <formula>NOT(ISERROR(SEARCH("P",N43)))</formula>
    </cfRule>
  </conditionalFormatting>
  <conditionalFormatting sqref="N44:V46">
    <cfRule type="colorScale" priority="6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N38:V38">
    <cfRule type="containsText" dxfId="4" priority="15" operator="containsText" text="S">
      <formula>NOT(ISERROR(SEARCH("S",N38)))</formula>
    </cfRule>
    <cfRule type="containsText" dxfId="3" priority="16" operator="containsText" text="H">
      <formula>NOT(ISERROR(SEARCH("H",N38)))</formula>
    </cfRule>
  </conditionalFormatting>
  <conditionalFormatting sqref="N38:V38">
    <cfRule type="containsText" dxfId="2" priority="14" operator="containsText" text="D">
      <formula>NOT(ISERROR(SEARCH("D",N38)))</formula>
    </cfRule>
  </conditionalFormatting>
  <conditionalFormatting sqref="N38:V38">
    <cfRule type="containsText" dxfId="1" priority="13" operator="containsText" text="R">
      <formula>NOT(ISERROR(SEARCH("R",N38)))</formula>
    </cfRule>
  </conditionalFormatting>
  <conditionalFormatting sqref="N38:V38">
    <cfRule type="containsText" dxfId="0" priority="12" operator="containsText" text="P">
      <formula>NOT(ISERROR(SEARCH("P",N38)))</formula>
    </cfRule>
  </conditionalFormatting>
  <pageMargins left="0.25" right="0.25" top="0.75" bottom="0.75" header="0.3" footer="0.3"/>
  <pageSetup paperSize="9" scale="66" orientation="landscape" r:id="rId1"/>
  <headerFooter>
    <oddHeader xml:space="preserve">&amp;C&amp;"System Font,Bold"&amp;22&amp;K000000Atipat's Blackjack Strategy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54"/>
  <sheetViews>
    <sheetView workbookViewId="0">
      <selection activeCell="K9" sqref="K9"/>
    </sheetView>
  </sheetViews>
  <sheetFormatPr baseColWidth="10" defaultColWidth="8.83203125" defaultRowHeight="16" x14ac:dyDescent="0.2"/>
  <cols>
    <col min="14" max="24" width="4" style="31" customWidth="1"/>
  </cols>
  <sheetData>
    <row r="1" spans="1:24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N1" s="31" t="s">
        <v>7</v>
      </c>
      <c r="O1" s="31">
        <v>1</v>
      </c>
      <c r="P1" s="31">
        <v>2</v>
      </c>
      <c r="Q1" s="31">
        <v>3</v>
      </c>
      <c r="R1" s="31">
        <v>4</v>
      </c>
      <c r="S1" s="31">
        <v>5</v>
      </c>
      <c r="T1" s="31">
        <v>6</v>
      </c>
      <c r="U1" s="31">
        <v>7</v>
      </c>
      <c r="V1" s="31">
        <v>8</v>
      </c>
      <c r="W1" s="31">
        <v>9</v>
      </c>
      <c r="X1" s="31">
        <v>10</v>
      </c>
    </row>
    <row r="2" spans="1:24" x14ac:dyDescent="0.2">
      <c r="A2">
        <v>2</v>
      </c>
      <c r="B2">
        <f>MAX(Hit!B2,Stand!B2)</f>
        <v>-0.20335368314889377</v>
      </c>
      <c r="C2">
        <f>MAX(Hit!C2,Stand!C2)</f>
        <v>-7.5884358318949102E-2</v>
      </c>
      <c r="D2">
        <f>MAX(Hit!D2,Stand!D2)</f>
        <v>-4.9750706146412048E-2</v>
      </c>
      <c r="E2">
        <f>MAX(Hit!E2,Stand!E2)</f>
        <v>-2.2100412135834389E-2</v>
      </c>
      <c r="F2">
        <f>MAX(Hit!F2,Stand!F2)</f>
        <v>1.3730032284783571E-2</v>
      </c>
      <c r="G2">
        <f>MAX(Hit!G2,Stand!G2)</f>
        <v>3.8883411946301231E-2</v>
      </c>
      <c r="H2">
        <f>MAX(Hit!H2,Stand!H2)</f>
        <v>-2.7257021375862247E-2</v>
      </c>
      <c r="I2">
        <f>MAX(Hit!I2,Stand!I2)</f>
        <v>-0.10316172777512726</v>
      </c>
      <c r="J2">
        <f>MAX(Hit!J2,Stand!J2)</f>
        <v>-0.19004714305350842</v>
      </c>
      <c r="K2">
        <f>MAX(Hit!K2,Stand!K2)</f>
        <v>-0.24199803315764098</v>
      </c>
      <c r="N2" s="31">
        <v>2</v>
      </c>
      <c r="O2" s="31" t="str">
        <f>IF(B2=Stand!B2,"S","H")</f>
        <v>H</v>
      </c>
      <c r="P2" s="31" t="str">
        <f>IF(C2=Stand!C2,"S","H")</f>
        <v>H</v>
      </c>
      <c r="Q2" s="31" t="str">
        <f>IF(D2=Stand!D2,"S","H")</f>
        <v>H</v>
      </c>
      <c r="R2" s="31" t="str">
        <f>IF(E2=Stand!E2,"S","H")</f>
        <v>H</v>
      </c>
      <c r="S2" s="31" t="str">
        <f>IF(F2=Stand!F2,"S","H")</f>
        <v>H</v>
      </c>
      <c r="T2" s="31" t="str">
        <f>IF(G2=Stand!G2,"S","H")</f>
        <v>H</v>
      </c>
      <c r="U2" s="31" t="str">
        <f>IF(H2=Stand!H2,"S","H")</f>
        <v>H</v>
      </c>
      <c r="V2" s="31" t="str">
        <f>IF(I2=Stand!I2,"S","H")</f>
        <v>H</v>
      </c>
      <c r="W2" s="31" t="str">
        <f>IF(J2=Stand!J2,"S","H")</f>
        <v>H</v>
      </c>
      <c r="X2" s="31" t="str">
        <f>IF(K2=Stand!K2,"S","H")</f>
        <v>H</v>
      </c>
    </row>
    <row r="3" spans="1:24" x14ac:dyDescent="0.2">
      <c r="A3">
        <v>3</v>
      </c>
      <c r="B3">
        <f>MAX(Hit!B3,Stand!B3)</f>
        <v>-0.22793749290805351</v>
      </c>
      <c r="C3">
        <f>MAX(Hit!C3,Stand!C3)</f>
        <v>-0.10052250439785246</v>
      </c>
      <c r="D3">
        <f>MAX(Hit!D3,Stand!D3)</f>
        <v>-6.8875858278897514E-2</v>
      </c>
      <c r="E3">
        <f>MAX(Hit!E3,Stand!E3)</f>
        <v>-3.6261290708905339E-2</v>
      </c>
      <c r="F3">
        <f>MAX(Hit!F3,Stand!F3)</f>
        <v>1.6995712139687808E-4</v>
      </c>
      <c r="G3">
        <f>MAX(Hit!G3,Stand!G3)</f>
        <v>2.447130320655936E-2</v>
      </c>
      <c r="H3">
        <f>MAX(Hit!H3,Stand!H3)</f>
        <v>-5.7437588540356667E-2</v>
      </c>
      <c r="I3">
        <f>MAX(Hit!I3,Stand!I3)</f>
        <v>-0.13094188065020101</v>
      </c>
      <c r="J3">
        <f>MAX(Hit!J3,Stand!J3)</f>
        <v>-0.21507662281362433</v>
      </c>
      <c r="K3">
        <f>MAX(Hit!K3,Stand!K3)</f>
        <v>-0.26532921479747562</v>
      </c>
      <c r="N3" s="31">
        <v>3</v>
      </c>
      <c r="O3" s="31" t="str">
        <f>IF(B3=Stand!B3,"S","H")</f>
        <v>H</v>
      </c>
      <c r="P3" s="31" t="str">
        <f>IF(C3=Stand!C3,"S","H")</f>
        <v>H</v>
      </c>
      <c r="Q3" s="31" t="str">
        <f>IF(D3=Stand!D3,"S","H")</f>
        <v>H</v>
      </c>
      <c r="R3" s="31" t="str">
        <f>IF(E3=Stand!E3,"S","H")</f>
        <v>H</v>
      </c>
      <c r="S3" s="31" t="str">
        <f>IF(F3=Stand!F3,"S","H")</f>
        <v>H</v>
      </c>
      <c r="T3" s="31" t="str">
        <f>IF(G3=Stand!G3,"S","H")</f>
        <v>H</v>
      </c>
      <c r="U3" s="31" t="str">
        <f>IF(H3=Stand!H3,"S","H")</f>
        <v>H</v>
      </c>
      <c r="V3" s="31" t="str">
        <f>IF(I3=Stand!I3,"S","H")</f>
        <v>H</v>
      </c>
      <c r="W3" s="31" t="str">
        <f>IF(J3=Stand!J3,"S","H")</f>
        <v>H</v>
      </c>
      <c r="X3" s="31" t="str">
        <f>IF(K3=Stand!K3,"S","H")</f>
        <v>H</v>
      </c>
    </row>
    <row r="4" spans="1:24" x14ac:dyDescent="0.2">
      <c r="A4">
        <v>4</v>
      </c>
      <c r="B4">
        <f>MAX(Hit!B4,Stand!B4)</f>
        <v>-0.25307699440390863</v>
      </c>
      <c r="C4">
        <f>MAX(Hit!C4,Stand!C4)</f>
        <v>-0.11491332761892134</v>
      </c>
      <c r="D4">
        <f>MAX(Hit!D4,Stand!D4)</f>
        <v>-8.2613314299744361E-2</v>
      </c>
      <c r="E4">
        <f>MAX(Hit!E4,Stand!E4)</f>
        <v>-4.9367420106916922E-2</v>
      </c>
      <c r="F4">
        <f>MAX(Hit!F4,Stand!F4)</f>
        <v>-1.2379926519926384E-2</v>
      </c>
      <c r="G4">
        <f>MAX(Hit!G4,Stand!G4)</f>
        <v>1.1130417280979797E-2</v>
      </c>
      <c r="H4">
        <f>MAX(Hit!H4,Stand!H4)</f>
        <v>-8.8279201058463722E-2</v>
      </c>
      <c r="I4">
        <f>MAX(Hit!I4,Stand!I4)</f>
        <v>-0.15933415266020512</v>
      </c>
      <c r="J4">
        <f>MAX(Hit!J4,Stand!J4)</f>
        <v>-0.24066617915336547</v>
      </c>
      <c r="K4">
        <f>MAX(Hit!K4,Stand!K4)</f>
        <v>-0.28919791448567511</v>
      </c>
      <c r="N4" s="31">
        <v>4</v>
      </c>
      <c r="O4" s="31" t="str">
        <f>IF(B4=Stand!B4,"S","H")</f>
        <v>H</v>
      </c>
      <c r="P4" s="31" t="str">
        <f>IF(C4=Stand!C4,"S","H")</f>
        <v>H</v>
      </c>
      <c r="Q4" s="31" t="str">
        <f>IF(D4=Stand!D4,"S","H")</f>
        <v>H</v>
      </c>
      <c r="R4" s="31" t="str">
        <f>IF(E4=Stand!E4,"S","H")</f>
        <v>H</v>
      </c>
      <c r="S4" s="31" t="str">
        <f>IF(F4=Stand!F4,"S","H")</f>
        <v>H</v>
      </c>
      <c r="T4" s="31" t="str">
        <f>IF(G4=Stand!G4,"S","H")</f>
        <v>H</v>
      </c>
      <c r="U4" s="31" t="str">
        <f>IF(H4=Stand!H4,"S","H")</f>
        <v>H</v>
      </c>
      <c r="V4" s="31" t="str">
        <f>IF(I4=Stand!I4,"S","H")</f>
        <v>H</v>
      </c>
      <c r="W4" s="31" t="str">
        <f>IF(J4=Stand!J4,"S","H")</f>
        <v>H</v>
      </c>
      <c r="X4" s="31" t="str">
        <f>IF(K4=Stand!K4,"S","H")</f>
        <v>H</v>
      </c>
    </row>
    <row r="5" spans="1:24" x14ac:dyDescent="0.2">
      <c r="A5">
        <v>5</v>
      </c>
      <c r="B5">
        <f>MAX(Hit!B5,Stand!B5)</f>
        <v>-0.27857459755181968</v>
      </c>
      <c r="C5">
        <f>MAX(Hit!C5,Stand!C5)</f>
        <v>-0.12821556706374745</v>
      </c>
      <c r="D5">
        <f>MAX(Hit!D5,Stand!D5)</f>
        <v>-9.5310227261489883E-2</v>
      </c>
      <c r="E5">
        <f>MAX(Hit!E5,Stand!E5)</f>
        <v>-6.1479464199694238E-2</v>
      </c>
      <c r="F5">
        <f>MAX(Hit!F5,Stand!F5)</f>
        <v>-2.397897039185962E-2</v>
      </c>
      <c r="G5">
        <f>MAX(Hit!G5,Stand!G5)</f>
        <v>-1.1863378384401623E-3</v>
      </c>
      <c r="H5">
        <f>MAX(Hit!H5,Stand!H5)</f>
        <v>-0.11944744188414852</v>
      </c>
      <c r="I5">
        <f>MAX(Hit!I5,Stand!I5)</f>
        <v>-0.18809330390318524</v>
      </c>
      <c r="J5">
        <f>MAX(Hit!J5,Stand!J5)</f>
        <v>-0.26661505335795899</v>
      </c>
      <c r="K5">
        <f>MAX(Hit!K5,Stand!K5)</f>
        <v>-0.31341164336497107</v>
      </c>
      <c r="N5" s="31">
        <v>5</v>
      </c>
      <c r="O5" s="31" t="str">
        <f>IF(B5=Stand!B5,"S","H")</f>
        <v>H</v>
      </c>
      <c r="P5" s="31" t="str">
        <f>IF(C5=Stand!C5,"S","H")</f>
        <v>H</v>
      </c>
      <c r="Q5" s="31" t="str">
        <f>IF(D5=Stand!D5,"S","H")</f>
        <v>H</v>
      </c>
      <c r="R5" s="31" t="str">
        <f>IF(E5=Stand!E5,"S","H")</f>
        <v>H</v>
      </c>
      <c r="S5" s="31" t="str">
        <f>IF(F5=Stand!F5,"S","H")</f>
        <v>H</v>
      </c>
      <c r="T5" s="31" t="str">
        <f>IF(G5=Stand!G5,"S","H")</f>
        <v>H</v>
      </c>
      <c r="U5" s="31" t="str">
        <f>IF(H5=Stand!H5,"S","H")</f>
        <v>H</v>
      </c>
      <c r="V5" s="31" t="str">
        <f>IF(I5=Stand!I5,"S","H")</f>
        <v>H</v>
      </c>
      <c r="W5" s="31" t="str">
        <f>IF(J5=Stand!J5,"S","H")</f>
        <v>H</v>
      </c>
      <c r="X5" s="31" t="str">
        <f>IF(K5=Stand!K5,"S","H")</f>
        <v>H</v>
      </c>
    </row>
    <row r="6" spans="1:24" x14ac:dyDescent="0.2">
      <c r="A6">
        <v>6</v>
      </c>
      <c r="B6">
        <f>MAX(Hit!B6,Stand!B6)</f>
        <v>-0.30414663097569933</v>
      </c>
      <c r="C6">
        <f>MAX(Hit!C6,Stand!C6)</f>
        <v>-0.14075911746001987</v>
      </c>
      <c r="D6">
        <f>MAX(Hit!D6,Stand!D6)</f>
        <v>-0.10729107800860836</v>
      </c>
      <c r="E6">
        <f>MAX(Hit!E6,Stand!E6)</f>
        <v>-7.2917141926387305E-2</v>
      </c>
      <c r="F6">
        <f>MAX(Hit!F6,Stand!F6)</f>
        <v>-3.4915973330102178E-2</v>
      </c>
      <c r="G6">
        <f>MAX(Hit!G6,Stand!G6)</f>
        <v>-1.3005835529874294E-2</v>
      </c>
      <c r="H6">
        <f>MAX(Hit!H6,Stand!H6)</f>
        <v>-0.15193270723669944</v>
      </c>
      <c r="I6">
        <f>MAX(Hit!I6,Stand!I6)</f>
        <v>-0.21724188132078476</v>
      </c>
      <c r="J6">
        <f>MAX(Hit!J6,Stand!J6)</f>
        <v>-0.29264070019772598</v>
      </c>
      <c r="K6">
        <f>MAX(Hit!K6,Stand!K6)</f>
        <v>-0.33774944037840804</v>
      </c>
      <c r="N6" s="31">
        <v>6</v>
      </c>
      <c r="O6" s="31" t="str">
        <f>IF(B6=Stand!B6,"S","H")</f>
        <v>H</v>
      </c>
      <c r="P6" s="31" t="str">
        <f>IF(C6=Stand!C6,"S","H")</f>
        <v>H</v>
      </c>
      <c r="Q6" s="31" t="str">
        <f>IF(D6=Stand!D6,"S","H")</f>
        <v>H</v>
      </c>
      <c r="R6" s="31" t="str">
        <f>IF(E6=Stand!E6,"S","H")</f>
        <v>H</v>
      </c>
      <c r="S6" s="31" t="str">
        <f>IF(F6=Stand!F6,"S","H")</f>
        <v>H</v>
      </c>
      <c r="T6" s="31" t="str">
        <f>IF(G6=Stand!G6,"S","H")</f>
        <v>H</v>
      </c>
      <c r="U6" s="31" t="str">
        <f>IF(H6=Stand!H6,"S","H")</f>
        <v>H</v>
      </c>
      <c r="V6" s="31" t="str">
        <f>IF(I6=Stand!I6,"S","H")</f>
        <v>H</v>
      </c>
      <c r="W6" s="31" t="str">
        <f>IF(J6=Stand!J6,"S","H")</f>
        <v>H</v>
      </c>
      <c r="X6" s="31" t="str">
        <f>IF(K6=Stand!K6,"S","H")</f>
        <v>H</v>
      </c>
    </row>
    <row r="7" spans="1:24" x14ac:dyDescent="0.2">
      <c r="A7">
        <v>7</v>
      </c>
      <c r="B7">
        <f>MAX(Hit!B7,Stand!B7)</f>
        <v>-0.31007165033163697</v>
      </c>
      <c r="C7">
        <f>MAX(Hit!C7,Stand!C7)</f>
        <v>-0.10918342786661633</v>
      </c>
      <c r="D7">
        <f>MAX(Hit!D7,Stand!D7)</f>
        <v>-7.658298190446361E-2</v>
      </c>
      <c r="E7">
        <f>MAX(Hit!E7,Stand!E7)</f>
        <v>-4.3021794004341876E-2</v>
      </c>
      <c r="F7">
        <f>MAX(Hit!F7,Stand!F7)</f>
        <v>-7.2713609029408845E-3</v>
      </c>
      <c r="G7">
        <f>MAX(Hit!G7,Stand!G7)</f>
        <v>2.9185342353860864E-2</v>
      </c>
      <c r="H7">
        <f>MAX(Hit!H7,Stand!H7)</f>
        <v>-6.8807799580427764E-2</v>
      </c>
      <c r="I7">
        <f>MAX(Hit!I7,Stand!I7)</f>
        <v>-0.21060476872434969</v>
      </c>
      <c r="J7">
        <f>MAX(Hit!J7,Stand!J7)</f>
        <v>-0.28536544048687656</v>
      </c>
      <c r="K7">
        <f>MAX(Hit!K7,Stand!K7)</f>
        <v>-0.31905479139833842</v>
      </c>
      <c r="N7" s="31">
        <v>7</v>
      </c>
      <c r="O7" s="31" t="str">
        <f>IF(B7=Stand!B7,"S","H")</f>
        <v>H</v>
      </c>
      <c r="P7" s="31" t="str">
        <f>IF(C7=Stand!C7,"S","H")</f>
        <v>H</v>
      </c>
      <c r="Q7" s="31" t="str">
        <f>IF(D7=Stand!D7,"S","H")</f>
        <v>H</v>
      </c>
      <c r="R7" s="31" t="str">
        <f>IF(E7=Stand!E7,"S","H")</f>
        <v>H</v>
      </c>
      <c r="S7" s="31" t="str">
        <f>IF(F7=Stand!F7,"S","H")</f>
        <v>H</v>
      </c>
      <c r="T7" s="31" t="str">
        <f>IF(G7=Stand!G7,"S","H")</f>
        <v>H</v>
      </c>
      <c r="U7" s="31" t="str">
        <f>IF(H7=Stand!H7,"S","H")</f>
        <v>H</v>
      </c>
      <c r="V7" s="31" t="str">
        <f>IF(I7=Stand!I7,"S","H")</f>
        <v>H</v>
      </c>
      <c r="W7" s="31" t="str">
        <f>IF(J7=Stand!J7,"S","H")</f>
        <v>H</v>
      </c>
      <c r="X7" s="31" t="str">
        <f>IF(K7=Stand!K7,"S","H")</f>
        <v>H</v>
      </c>
    </row>
    <row r="8" spans="1:24" x14ac:dyDescent="0.2">
      <c r="A8">
        <v>8</v>
      </c>
      <c r="B8">
        <f>MAX(Hit!B8,Stand!B8)</f>
        <v>-0.1970288105741636</v>
      </c>
      <c r="C8">
        <f>MAX(Hit!C8,Stand!C8)</f>
        <v>-2.1798188008805668E-2</v>
      </c>
      <c r="D8">
        <f>MAX(Hit!D8,Stand!D8)</f>
        <v>8.0052625306546825E-3</v>
      </c>
      <c r="E8">
        <f>MAX(Hit!E8,Stand!E8)</f>
        <v>3.8784473277208811E-2</v>
      </c>
      <c r="F8">
        <f>MAX(Hit!F8,Stand!F8)</f>
        <v>7.0804635983033826E-2</v>
      </c>
      <c r="G8">
        <f>MAX(Hit!G8,Stand!G8)</f>
        <v>0.11496015009622321</v>
      </c>
      <c r="H8">
        <f>MAX(Hit!H8,Stand!H8)</f>
        <v>8.2207439363742862E-2</v>
      </c>
      <c r="I8">
        <f>MAX(Hit!I8,Stand!I8)</f>
        <v>-5.9898275658656304E-2</v>
      </c>
      <c r="J8">
        <f>MAX(Hit!J8,Stand!J8)</f>
        <v>-0.21018633199821757</v>
      </c>
      <c r="K8">
        <f>MAX(Hit!K8,Stand!K8)</f>
        <v>-0.24937508055334259</v>
      </c>
      <c r="N8" s="31">
        <v>8</v>
      </c>
      <c r="O8" s="31" t="str">
        <f>IF(B8=Stand!B8,"S","H")</f>
        <v>H</v>
      </c>
      <c r="P8" s="31" t="str">
        <f>IF(C8=Stand!C8,"S","H")</f>
        <v>H</v>
      </c>
      <c r="Q8" s="31" t="str">
        <f>IF(D8=Stand!D8,"S","H")</f>
        <v>H</v>
      </c>
      <c r="R8" s="31" t="str">
        <f>IF(E8=Stand!E8,"S","H")</f>
        <v>H</v>
      </c>
      <c r="S8" s="31" t="str">
        <f>IF(F8=Stand!F8,"S","H")</f>
        <v>H</v>
      </c>
      <c r="T8" s="31" t="str">
        <f>IF(G8=Stand!G8,"S","H")</f>
        <v>H</v>
      </c>
      <c r="U8" s="31" t="str">
        <f>IF(H8=Stand!H8,"S","H")</f>
        <v>H</v>
      </c>
      <c r="V8" s="31" t="str">
        <f>IF(I8=Stand!I8,"S","H")</f>
        <v>H</v>
      </c>
      <c r="W8" s="31" t="str">
        <f>IF(J8=Stand!J8,"S","H")</f>
        <v>H</v>
      </c>
      <c r="X8" s="31" t="str">
        <f>IF(K8=Stand!K8,"S","H")</f>
        <v>H</v>
      </c>
    </row>
    <row r="9" spans="1:24" x14ac:dyDescent="0.2">
      <c r="A9">
        <v>9</v>
      </c>
      <c r="B9">
        <f>MAX(Hit!B9,Stand!B9)</f>
        <v>-6.5680778778066204E-2</v>
      </c>
      <c r="C9">
        <f>MAX(Hit!C9,Stand!C9)</f>
        <v>7.4446037576340524E-2</v>
      </c>
      <c r="D9">
        <f>MAX(Hit!D9,Stand!D9)</f>
        <v>0.10126470173887674</v>
      </c>
      <c r="E9">
        <f>MAX(Hit!E9,Stand!E9)</f>
        <v>0.12898088119574178</v>
      </c>
      <c r="F9">
        <f>MAX(Hit!F9,Stand!F9)</f>
        <v>0.15803185626651736</v>
      </c>
      <c r="G9">
        <f>MAX(Hit!G9,Stand!G9)</f>
        <v>0.19601883925727878</v>
      </c>
      <c r="H9">
        <f>MAX(Hit!H9,Stand!H9)</f>
        <v>0.17186785993695267</v>
      </c>
      <c r="I9">
        <f>MAX(Hit!I9,Stand!I9)</f>
        <v>9.8376217435392516E-2</v>
      </c>
      <c r="J9">
        <f>MAX(Hit!J9,Stand!J9)</f>
        <v>-5.2178053462651669E-2</v>
      </c>
      <c r="K9">
        <f>MAX(Hit!K9,Stand!K9)</f>
        <v>-0.15295298487455075</v>
      </c>
      <c r="N9" s="31">
        <v>9</v>
      </c>
      <c r="O9" s="31" t="str">
        <f>IF(B9=Stand!B9,"S","H")</f>
        <v>H</v>
      </c>
      <c r="P9" s="31" t="str">
        <f>IF(C9=Stand!C9,"S","H")</f>
        <v>H</v>
      </c>
      <c r="Q9" s="31" t="str">
        <f>IF(D9=Stand!D9,"S","H")</f>
        <v>H</v>
      </c>
      <c r="R9" s="31" t="str">
        <f>IF(E9=Stand!E9,"S","H")</f>
        <v>H</v>
      </c>
      <c r="S9" s="31" t="str">
        <f>IF(F9=Stand!F9,"S","H")</f>
        <v>H</v>
      </c>
      <c r="T9" s="31" t="str">
        <f>IF(G9=Stand!G9,"S","H")</f>
        <v>H</v>
      </c>
      <c r="U9" s="31" t="str">
        <f>IF(H9=Stand!H9,"S","H")</f>
        <v>H</v>
      </c>
      <c r="V9" s="31" t="str">
        <f>IF(I9=Stand!I9,"S","H")</f>
        <v>H</v>
      </c>
      <c r="W9" s="31" t="str">
        <f>IF(J9=Stand!J9,"S","H")</f>
        <v>H</v>
      </c>
      <c r="X9" s="31" t="str">
        <f>IF(K9=Stand!K9,"S","H")</f>
        <v>H</v>
      </c>
    </row>
    <row r="10" spans="1:24" x14ac:dyDescent="0.2">
      <c r="A10">
        <v>10</v>
      </c>
      <c r="B10">
        <f>MAX(Hit!B10,Stand!B10)</f>
        <v>8.1449707945275923E-2</v>
      </c>
      <c r="C10">
        <f>MAX(Hit!C10,Stand!C10)</f>
        <v>0.18249999400904487</v>
      </c>
      <c r="D10">
        <f>MAX(Hit!D10,Stand!D10)</f>
        <v>0.20608797581394089</v>
      </c>
      <c r="E10">
        <f>MAX(Hit!E10,Stand!E10)</f>
        <v>0.230470121897177</v>
      </c>
      <c r="F10">
        <f>MAX(Hit!F10,Stand!F10)</f>
        <v>0.25625855450163387</v>
      </c>
      <c r="G10">
        <f>MAX(Hit!G10,Stand!G10)</f>
        <v>0.28779508429888429</v>
      </c>
      <c r="H10">
        <f>MAX(Hit!H10,Stand!H10)</f>
        <v>0.25690874433608657</v>
      </c>
      <c r="I10">
        <f>MAX(Hit!I10,Stand!I10)</f>
        <v>0.19795370833197609</v>
      </c>
      <c r="J10">
        <f>MAX(Hit!J10,Stand!J10)</f>
        <v>0.1165295910692839</v>
      </c>
      <c r="K10">
        <f>MAX(Hit!K10,Stand!K10)</f>
        <v>2.5308523040868145E-2</v>
      </c>
      <c r="N10" s="31">
        <v>10</v>
      </c>
      <c r="O10" s="31" t="str">
        <f>IF(B10=Stand!B10,"S","H")</f>
        <v>H</v>
      </c>
      <c r="P10" s="31" t="str">
        <f>IF(C10=Stand!C10,"S","H")</f>
        <v>H</v>
      </c>
      <c r="Q10" s="31" t="str">
        <f>IF(D10=Stand!D10,"S","H")</f>
        <v>H</v>
      </c>
      <c r="R10" s="31" t="str">
        <f>IF(E10=Stand!E10,"S","H")</f>
        <v>H</v>
      </c>
      <c r="S10" s="31" t="str">
        <f>IF(F10=Stand!F10,"S","H")</f>
        <v>H</v>
      </c>
      <c r="T10" s="31" t="str">
        <f>IF(G10=Stand!G10,"S","H")</f>
        <v>H</v>
      </c>
      <c r="U10" s="31" t="str">
        <f>IF(H10=Stand!H10,"S","H")</f>
        <v>H</v>
      </c>
      <c r="V10" s="31" t="str">
        <f>IF(I10=Stand!I10,"S","H")</f>
        <v>H</v>
      </c>
      <c r="W10" s="31" t="str">
        <f>IF(J10=Stand!J10,"S","H")</f>
        <v>H</v>
      </c>
      <c r="X10" s="31" t="str">
        <f>IF(K10=Stand!K10,"S","H")</f>
        <v>H</v>
      </c>
    </row>
    <row r="11" spans="1:24" x14ac:dyDescent="0.2">
      <c r="A11">
        <v>11</v>
      </c>
      <c r="B11">
        <f>MAX(Hit!B11,Stand!B11)</f>
        <v>0.14300128216153027</v>
      </c>
      <c r="C11">
        <f>MAX(Hit!C11,Stand!C11)</f>
        <v>0.2383507494576298</v>
      </c>
      <c r="D11">
        <f>MAX(Hit!D11,Stand!D11)</f>
        <v>0.26032526728707961</v>
      </c>
      <c r="E11">
        <f>MAX(Hit!E11,Stand!E11)</f>
        <v>0.28302027520898798</v>
      </c>
      <c r="F11">
        <f>MAX(Hit!F11,Stand!F11)</f>
        <v>0.30734950895451402</v>
      </c>
      <c r="G11">
        <f>MAX(Hit!G11,Stand!G11)</f>
        <v>0.33369004745378472</v>
      </c>
      <c r="H11">
        <f>MAX(Hit!H11,Stand!H11)</f>
        <v>0.29214699112701309</v>
      </c>
      <c r="I11">
        <f>MAX(Hit!I11,Stand!I11)</f>
        <v>0.22998214532399169</v>
      </c>
      <c r="J11">
        <f>MAX(Hit!J11,Stand!J11)</f>
        <v>0.15825711845512572</v>
      </c>
      <c r="K11">
        <f>MAX(Hit!K11,Stand!K11)</f>
        <v>0.11948223076371363</v>
      </c>
      <c r="N11" s="31">
        <v>11</v>
      </c>
      <c r="O11" s="31" t="str">
        <f>IF(B11=Stand!B11,"S","H")</f>
        <v>H</v>
      </c>
      <c r="P11" s="31" t="str">
        <f>IF(C11=Stand!C11,"S","H")</f>
        <v>H</v>
      </c>
      <c r="Q11" s="31" t="str">
        <f>IF(D11=Stand!D11,"S","H")</f>
        <v>H</v>
      </c>
      <c r="R11" s="31" t="str">
        <f>IF(E11=Stand!E11,"S","H")</f>
        <v>H</v>
      </c>
      <c r="S11" s="31" t="str">
        <f>IF(F11=Stand!F11,"S","H")</f>
        <v>H</v>
      </c>
      <c r="T11" s="31" t="str">
        <f>IF(G11=Stand!G11,"S","H")</f>
        <v>H</v>
      </c>
      <c r="U11" s="31" t="str">
        <f>IF(H11=Stand!H11,"S","H")</f>
        <v>H</v>
      </c>
      <c r="V11" s="31" t="str">
        <f>IF(I11=Stand!I11,"S","H")</f>
        <v>H</v>
      </c>
      <c r="W11" s="31" t="str">
        <f>IF(J11=Stand!J11,"S","H")</f>
        <v>H</v>
      </c>
      <c r="X11" s="31" t="str">
        <f>IF(K11=Stand!K11,"S","H")</f>
        <v>H</v>
      </c>
    </row>
    <row r="12" spans="1:24" x14ac:dyDescent="0.2">
      <c r="A12">
        <v>12</v>
      </c>
      <c r="B12">
        <f>MAX(Hit!B12,Stand!B12)</f>
        <v>-0.35054034044008009</v>
      </c>
      <c r="C12">
        <f>MAX(Hit!C12,Stand!C12)</f>
        <v>-0.25338998596663809</v>
      </c>
      <c r="D12">
        <f>MAX(Hit!D12,Stand!D12)</f>
        <v>-0.2336908997980866</v>
      </c>
      <c r="E12">
        <f>MAX(Hit!E12,Stand!E12)</f>
        <v>-0.21106310899491437</v>
      </c>
      <c r="F12">
        <f>MAX(Hit!F12,Stand!F12)</f>
        <v>-0.16719266083547524</v>
      </c>
      <c r="G12">
        <f>MAX(Hit!G12,Stand!G12)</f>
        <v>-0.1536990158300045</v>
      </c>
      <c r="H12">
        <f>MAX(Hit!H12,Stand!H12)</f>
        <v>-0.21284771451731424</v>
      </c>
      <c r="I12">
        <f>MAX(Hit!I12,Stand!I12)</f>
        <v>-0.27157480502428616</v>
      </c>
      <c r="J12">
        <f>MAX(Hit!J12,Stand!J12)</f>
        <v>-0.3400132806089356</v>
      </c>
      <c r="K12">
        <f>MAX(Hit!K12,Stand!K12)</f>
        <v>-0.38104299284808768</v>
      </c>
      <c r="N12" s="31">
        <v>12</v>
      </c>
      <c r="O12" s="31" t="str">
        <f>IF(B12=Stand!B12,"S","H")</f>
        <v>H</v>
      </c>
      <c r="P12" s="31" t="str">
        <f>IF(C12=Stand!C12,"S","H")</f>
        <v>H</v>
      </c>
      <c r="Q12" s="31" t="str">
        <f>IF(D12=Stand!D12,"S","H")</f>
        <v>H</v>
      </c>
      <c r="R12" s="31" t="str">
        <f>IF(E12=Stand!E12,"S","H")</f>
        <v>S</v>
      </c>
      <c r="S12" s="31" t="str">
        <f>IF(F12=Stand!F12,"S","H")</f>
        <v>S</v>
      </c>
      <c r="T12" s="31" t="str">
        <f>IF(G12=Stand!G12,"S","H")</f>
        <v>S</v>
      </c>
      <c r="U12" s="31" t="str">
        <f>IF(H12=Stand!H12,"S","H")</f>
        <v>H</v>
      </c>
      <c r="V12" s="31" t="str">
        <f>IF(I12=Stand!I12,"S","H")</f>
        <v>H</v>
      </c>
      <c r="W12" s="31" t="str">
        <f>IF(J12=Stand!J12,"S","H")</f>
        <v>H</v>
      </c>
      <c r="X12" s="31" t="str">
        <f>IF(K12=Stand!K12,"S","H")</f>
        <v>H</v>
      </c>
    </row>
    <row r="13" spans="1:24" x14ac:dyDescent="0.2">
      <c r="A13">
        <v>13</v>
      </c>
      <c r="B13">
        <f>MAX(Hit!B13,Stand!B13)</f>
        <v>-0.3969303161229315</v>
      </c>
      <c r="C13">
        <f>MAX(Hit!C13,Stand!C13)</f>
        <v>-0.29278372720927726</v>
      </c>
      <c r="D13">
        <f>MAX(Hit!D13,Stand!D13)</f>
        <v>-0.2522502292357135</v>
      </c>
      <c r="E13">
        <f>MAX(Hit!E13,Stand!E13)</f>
        <v>-0.21106310899491437</v>
      </c>
      <c r="F13">
        <f>MAX(Hit!F13,Stand!F13)</f>
        <v>-0.16719266083547524</v>
      </c>
      <c r="G13">
        <f>MAX(Hit!G13,Stand!G13)</f>
        <v>-0.1536990158300045</v>
      </c>
      <c r="H13">
        <f>MAX(Hit!H13,Stand!H13)</f>
        <v>-0.26907287776607752</v>
      </c>
      <c r="I13">
        <f>MAX(Hit!I13,Stand!I13)</f>
        <v>-0.32360517609397998</v>
      </c>
      <c r="J13">
        <f>MAX(Hit!J13,Stand!J13)</f>
        <v>-0.38715518913686875</v>
      </c>
      <c r="K13">
        <f>MAX(Hit!K13,Stand!K13)</f>
        <v>-0.42525420764465277</v>
      </c>
      <c r="N13" s="31">
        <v>13</v>
      </c>
      <c r="O13" s="31" t="str">
        <f>IF(B13=Stand!B13,"S","H")</f>
        <v>H</v>
      </c>
      <c r="P13" s="31" t="str">
        <f>IF(C13=Stand!C13,"S","H")</f>
        <v>S</v>
      </c>
      <c r="Q13" s="31" t="str">
        <f>IF(D13=Stand!D13,"S","H")</f>
        <v>S</v>
      </c>
      <c r="R13" s="31" t="str">
        <f>IF(E13=Stand!E13,"S","H")</f>
        <v>S</v>
      </c>
      <c r="S13" s="31" t="str">
        <f>IF(F13=Stand!F13,"S","H")</f>
        <v>S</v>
      </c>
      <c r="T13" s="31" t="str">
        <f>IF(G13=Stand!G13,"S","H")</f>
        <v>S</v>
      </c>
      <c r="U13" s="31" t="str">
        <f>IF(H13=Stand!H13,"S","H")</f>
        <v>H</v>
      </c>
      <c r="V13" s="31" t="str">
        <f>IF(I13=Stand!I13,"S","H")</f>
        <v>H</v>
      </c>
      <c r="W13" s="31" t="str">
        <f>IF(J13=Stand!J13,"S","H")</f>
        <v>H</v>
      </c>
      <c r="X13" s="31" t="str">
        <f>IF(K13=Stand!K13,"S","H")</f>
        <v>H</v>
      </c>
    </row>
    <row r="14" spans="1:24" x14ac:dyDescent="0.2">
      <c r="A14">
        <v>14</v>
      </c>
      <c r="B14">
        <f>MAX(Hit!B14,Stand!B14)</f>
        <v>-0.44000672211415065</v>
      </c>
      <c r="C14">
        <f>MAX(Hit!C14,Stand!C14)</f>
        <v>-0.29278372720927726</v>
      </c>
      <c r="D14">
        <f>MAX(Hit!D14,Stand!D14)</f>
        <v>-0.2522502292357135</v>
      </c>
      <c r="E14">
        <f>MAX(Hit!E14,Stand!E14)</f>
        <v>-0.21106310899491437</v>
      </c>
      <c r="F14">
        <f>MAX(Hit!F14,Stand!F14)</f>
        <v>-0.16719266083547524</v>
      </c>
      <c r="G14">
        <f>MAX(Hit!G14,Stand!G14)</f>
        <v>-0.1536990158300045</v>
      </c>
      <c r="H14">
        <f>MAX(Hit!H14,Stand!H14)</f>
        <v>-0.3212819579256434</v>
      </c>
      <c r="I14">
        <f>MAX(Hit!I14,Stand!I14)</f>
        <v>-0.37191909208726714</v>
      </c>
      <c r="J14">
        <f>MAX(Hit!J14,Stand!J14)</f>
        <v>-0.43092981848423528</v>
      </c>
      <c r="K14">
        <f>MAX(Hit!K14,Stand!K14)</f>
        <v>-0.46630747852717758</v>
      </c>
      <c r="N14" s="31">
        <v>14</v>
      </c>
      <c r="O14" s="31" t="str">
        <f>IF(B14=Stand!B14,"S","H")</f>
        <v>H</v>
      </c>
      <c r="P14" s="31" t="str">
        <f>IF(C14=Stand!C14,"S","H")</f>
        <v>S</v>
      </c>
      <c r="Q14" s="31" t="str">
        <f>IF(D14=Stand!D14,"S","H")</f>
        <v>S</v>
      </c>
      <c r="R14" s="31" t="str">
        <f>IF(E14=Stand!E14,"S","H")</f>
        <v>S</v>
      </c>
      <c r="S14" s="31" t="str">
        <f>IF(F14=Stand!F14,"S","H")</f>
        <v>S</v>
      </c>
      <c r="T14" s="31" t="str">
        <f>IF(G14=Stand!G14,"S","H")</f>
        <v>S</v>
      </c>
      <c r="U14" s="31" t="str">
        <f>IF(H14=Stand!H14,"S","H")</f>
        <v>H</v>
      </c>
      <c r="V14" s="31" t="str">
        <f>IF(I14=Stand!I14,"S","H")</f>
        <v>H</v>
      </c>
      <c r="W14" s="31" t="str">
        <f>IF(J14=Stand!J14,"S","H")</f>
        <v>H</v>
      </c>
      <c r="X14" s="31" t="str">
        <f>IF(K14=Stand!K14,"S","H")</f>
        <v>H</v>
      </c>
    </row>
    <row r="15" spans="1:24" x14ac:dyDescent="0.2">
      <c r="A15">
        <v>15</v>
      </c>
      <c r="B15">
        <f>MAX(Hit!B15,Stand!B15)</f>
        <v>-0.4800062419631399</v>
      </c>
      <c r="C15">
        <f>MAX(Hit!C15,Stand!C15)</f>
        <v>-0.29278372720927726</v>
      </c>
      <c r="D15">
        <f>MAX(Hit!D15,Stand!D15)</f>
        <v>-0.2522502292357135</v>
      </c>
      <c r="E15">
        <f>MAX(Hit!E15,Stand!E15)</f>
        <v>-0.21106310899491437</v>
      </c>
      <c r="F15">
        <f>MAX(Hit!F15,Stand!F15)</f>
        <v>-0.16719266083547524</v>
      </c>
      <c r="G15">
        <f>MAX(Hit!G15,Stand!G15)</f>
        <v>-0.1536990158300045</v>
      </c>
      <c r="H15">
        <f>MAX(Hit!H15,Stand!H15)</f>
        <v>-0.36976181807381175</v>
      </c>
      <c r="I15">
        <f>MAX(Hit!I15,Stand!I15)</f>
        <v>-0.41678201408103371</v>
      </c>
      <c r="J15">
        <f>MAX(Hit!J15,Stand!J15)</f>
        <v>-0.47157768859250415</v>
      </c>
      <c r="K15">
        <f>MAX(Hit!K15,Stand!K15)</f>
        <v>-0.5044283729180935</v>
      </c>
      <c r="N15" s="31">
        <v>15</v>
      </c>
      <c r="O15" s="31" t="str">
        <f>IF(B15=Stand!B15,"S","H")</f>
        <v>H</v>
      </c>
      <c r="P15" s="31" t="str">
        <f>IF(C15=Stand!C15,"S","H")</f>
        <v>S</v>
      </c>
      <c r="Q15" s="31" t="str">
        <f>IF(D15=Stand!D15,"S","H")</f>
        <v>S</v>
      </c>
      <c r="R15" s="31" t="str">
        <f>IF(E15=Stand!E15,"S","H")</f>
        <v>S</v>
      </c>
      <c r="S15" s="31" t="str">
        <f>IF(F15=Stand!F15,"S","H")</f>
        <v>S</v>
      </c>
      <c r="T15" s="31" t="str">
        <f>IF(G15=Stand!G15,"S","H")</f>
        <v>S</v>
      </c>
      <c r="U15" s="31" t="str">
        <f>IF(H15=Stand!H15,"S","H")</f>
        <v>H</v>
      </c>
      <c r="V15" s="31" t="str">
        <f>IF(I15=Stand!I15,"S","H")</f>
        <v>H</v>
      </c>
      <c r="W15" s="31" t="str">
        <f>IF(J15=Stand!J15,"S","H")</f>
        <v>H</v>
      </c>
      <c r="X15" s="31" t="str">
        <f>IF(K15=Stand!K15,"S","H")</f>
        <v>H</v>
      </c>
    </row>
    <row r="16" spans="1:24" x14ac:dyDescent="0.2">
      <c r="A16">
        <v>16</v>
      </c>
      <c r="B16">
        <f>MAX(Hit!B16,Stand!B16)</f>
        <v>-0.51714865325148707</v>
      </c>
      <c r="C16">
        <f>MAX(Hit!C16,Stand!C16)</f>
        <v>-0.29278372720927726</v>
      </c>
      <c r="D16">
        <f>MAX(Hit!D16,Stand!D16)</f>
        <v>-0.2522502292357135</v>
      </c>
      <c r="E16">
        <f>MAX(Hit!E16,Stand!E16)</f>
        <v>-0.21106310899491437</v>
      </c>
      <c r="F16">
        <f>MAX(Hit!F16,Stand!F16)</f>
        <v>-0.16719266083547524</v>
      </c>
      <c r="G16">
        <f>MAX(Hit!G16,Stand!G16)</f>
        <v>-0.1536990158300045</v>
      </c>
      <c r="H16">
        <f>MAX(Hit!H16,Stand!H16)</f>
        <v>-0.41477883106853947</v>
      </c>
      <c r="I16">
        <f>MAX(Hit!I16,Stand!I16)</f>
        <v>-0.45844044164667419</v>
      </c>
      <c r="J16">
        <f>MAX(Hit!J16,Stand!J16)</f>
        <v>-0.50932213940732529</v>
      </c>
      <c r="K16">
        <f>MAX(Hit!K16,Stand!K16)</f>
        <v>-0.53982634628108683</v>
      </c>
      <c r="N16" s="31">
        <v>16</v>
      </c>
      <c r="O16" s="31" t="str">
        <f>IF(B16=Stand!B16,"S","H")</f>
        <v>H</v>
      </c>
      <c r="P16" s="31" t="str">
        <f>IF(C16=Stand!C16,"S","H")</f>
        <v>S</v>
      </c>
      <c r="Q16" s="31" t="str">
        <f>IF(D16=Stand!D16,"S","H")</f>
        <v>S</v>
      </c>
      <c r="R16" s="31" t="str">
        <f>IF(E16=Stand!E16,"S","H")</f>
        <v>S</v>
      </c>
      <c r="S16" s="31" t="str">
        <f>IF(F16=Stand!F16,"S","H")</f>
        <v>S</v>
      </c>
      <c r="T16" s="31" t="str">
        <f>IF(G16=Stand!G16,"S","H")</f>
        <v>S</v>
      </c>
      <c r="U16" s="31" t="str">
        <f>IF(H16=Stand!H16,"S","H")</f>
        <v>H</v>
      </c>
      <c r="V16" s="31" t="str">
        <f>IF(I16=Stand!I16,"S","H")</f>
        <v>H</v>
      </c>
      <c r="W16" s="31" t="str">
        <f>IF(J16=Stand!J16,"S","H")</f>
        <v>H</v>
      </c>
      <c r="X16" s="31" t="str">
        <f>IF(K16=Stand!K16,"S","H")</f>
        <v>H</v>
      </c>
    </row>
    <row r="17" spans="1:24" x14ac:dyDescent="0.2">
      <c r="A17">
        <v>17</v>
      </c>
      <c r="B17">
        <f>MAX(Hit!B17,Stand!B17)</f>
        <v>-0.47803347499473703</v>
      </c>
      <c r="C17">
        <f>MAX(Hit!C17,Stand!C17)</f>
        <v>-0.15297458768154204</v>
      </c>
      <c r="D17">
        <f>MAX(Hit!D17,Stand!D17)</f>
        <v>-0.11721624142457365</v>
      </c>
      <c r="E17">
        <f>MAX(Hit!E17,Stand!E17)</f>
        <v>-8.0573373145316152E-2</v>
      </c>
      <c r="F17">
        <f>MAX(Hit!F17,Stand!F17)</f>
        <v>-4.4941375564924446E-2</v>
      </c>
      <c r="G17">
        <f>MAX(Hit!G17,Stand!G17)</f>
        <v>1.1739160673341853E-2</v>
      </c>
      <c r="H17">
        <f>MAX(Hit!H17,Stand!H17)</f>
        <v>-0.10680898948269468</v>
      </c>
      <c r="I17">
        <f>MAX(Hit!I17,Stand!I17)</f>
        <v>-0.38195097104844711</v>
      </c>
      <c r="J17">
        <f>MAX(Hit!J17,Stand!J17)</f>
        <v>-0.42315423964521737</v>
      </c>
      <c r="K17">
        <f>MAX(Hit!K17,Stand!K17)</f>
        <v>-0.41972063392881986</v>
      </c>
      <c r="N17" s="31">
        <v>17</v>
      </c>
      <c r="O17" s="31" t="str">
        <f>IF(B17=Stand!B17,"S","H")</f>
        <v>S</v>
      </c>
      <c r="P17" s="31" t="str">
        <f>IF(C17=Stand!C17,"S","H")</f>
        <v>S</v>
      </c>
      <c r="Q17" s="31" t="str">
        <f>IF(D17=Stand!D17,"S","H")</f>
        <v>S</v>
      </c>
      <c r="R17" s="31" t="str">
        <f>IF(E17=Stand!E17,"S","H")</f>
        <v>S</v>
      </c>
      <c r="S17" s="31" t="str">
        <f>IF(F17=Stand!F17,"S","H")</f>
        <v>S</v>
      </c>
      <c r="T17" s="31" t="str">
        <f>IF(G17=Stand!G17,"S","H")</f>
        <v>S</v>
      </c>
      <c r="U17" s="31" t="str">
        <f>IF(H17=Stand!H17,"S","H")</f>
        <v>S</v>
      </c>
      <c r="V17" s="31" t="str">
        <f>IF(I17=Stand!I17,"S","H")</f>
        <v>S</v>
      </c>
      <c r="W17" s="31" t="str">
        <f>IF(J17=Stand!J17,"S","H")</f>
        <v>S</v>
      </c>
      <c r="X17" s="31" t="str">
        <f>IF(K17=Stand!K17,"S","H")</f>
        <v>S</v>
      </c>
    </row>
    <row r="18" spans="1:24" x14ac:dyDescent="0.2">
      <c r="A18">
        <v>18</v>
      </c>
      <c r="B18">
        <f>MAX(Hit!B18,Stand!B18)</f>
        <v>-0.10019887561319057</v>
      </c>
      <c r="C18">
        <f>MAX(Hit!C18,Stand!C18)</f>
        <v>0.12174190222088771</v>
      </c>
      <c r="D18">
        <f>MAX(Hit!D18,Stand!D18)</f>
        <v>0.14830007284131119</v>
      </c>
      <c r="E18">
        <f>MAX(Hit!E18,Stand!E18)</f>
        <v>0.17585443719748528</v>
      </c>
      <c r="F18">
        <f>MAX(Hit!F18,Stand!F18)</f>
        <v>0.19956119497617719</v>
      </c>
      <c r="G18">
        <f>MAX(Hit!G18,Stand!G18)</f>
        <v>0.28344391604689856</v>
      </c>
      <c r="H18">
        <f>MAX(Hit!H18,Stand!H18)</f>
        <v>0.3995541673365518</v>
      </c>
      <c r="I18">
        <f>MAX(Hit!I18,Stand!I18)</f>
        <v>0.10595134861912359</v>
      </c>
      <c r="J18">
        <f>MAX(Hit!J18,Stand!J18)</f>
        <v>-0.18316335667343331</v>
      </c>
      <c r="K18">
        <f>MAX(Hit!K18,Stand!K18)</f>
        <v>-0.17830123379648949</v>
      </c>
      <c r="N18" s="31">
        <v>18</v>
      </c>
      <c r="O18" s="31" t="str">
        <f>IF(B18=Stand!B18,"S","H")</f>
        <v>S</v>
      </c>
      <c r="P18" s="31" t="str">
        <f>IF(C18=Stand!C18,"S","H")</f>
        <v>S</v>
      </c>
      <c r="Q18" s="31" t="str">
        <f>IF(D18=Stand!D18,"S","H")</f>
        <v>S</v>
      </c>
      <c r="R18" s="31" t="str">
        <f>IF(E18=Stand!E18,"S","H")</f>
        <v>S</v>
      </c>
      <c r="S18" s="31" t="str">
        <f>IF(F18=Stand!F18,"S","H")</f>
        <v>S</v>
      </c>
      <c r="T18" s="31" t="str">
        <f>IF(G18=Stand!G18,"S","H")</f>
        <v>S</v>
      </c>
      <c r="U18" s="31" t="str">
        <f>IF(H18=Stand!H18,"S","H")</f>
        <v>S</v>
      </c>
      <c r="V18" s="31" t="str">
        <f>IF(I18=Stand!I18,"S","H")</f>
        <v>S</v>
      </c>
      <c r="W18" s="31" t="str">
        <f>IF(J18=Stand!J18,"S","H")</f>
        <v>S</v>
      </c>
      <c r="X18" s="31" t="str">
        <f>IF(K18=Stand!K18,"S","H")</f>
        <v>S</v>
      </c>
    </row>
    <row r="19" spans="1:24" x14ac:dyDescent="0.2">
      <c r="A19">
        <v>19</v>
      </c>
      <c r="B19">
        <f>MAX(Hit!B19,Stand!B19)</f>
        <v>0.27763572376835594</v>
      </c>
      <c r="C19">
        <f>MAX(Hit!C19,Stand!C19)</f>
        <v>0.38630468602058993</v>
      </c>
      <c r="D19">
        <f>MAX(Hit!D19,Stand!D19)</f>
        <v>0.4043629365977599</v>
      </c>
      <c r="E19">
        <f>MAX(Hit!E19,Stand!E19)</f>
        <v>0.42317892482749653</v>
      </c>
      <c r="F19">
        <f>MAX(Hit!F19,Stand!F19)</f>
        <v>0.43951210416088371</v>
      </c>
      <c r="G19">
        <f>MAX(Hit!G19,Stand!G19)</f>
        <v>0.49597707378731914</v>
      </c>
      <c r="H19">
        <f>MAX(Hit!H19,Stand!H19)</f>
        <v>0.6159764957534315</v>
      </c>
      <c r="I19">
        <f>MAX(Hit!I19,Stand!I19)</f>
        <v>0.59385366828669439</v>
      </c>
      <c r="J19">
        <f>MAX(Hit!J19,Stand!J19)</f>
        <v>0.28759675706758148</v>
      </c>
      <c r="K19">
        <f>MAX(Hit!K19,Stand!K19)</f>
        <v>6.3118166335840831E-2</v>
      </c>
      <c r="N19" s="31">
        <v>19</v>
      </c>
      <c r="O19" s="31" t="str">
        <f>IF(B19=Stand!B19,"S","H")</f>
        <v>S</v>
      </c>
      <c r="P19" s="31" t="str">
        <f>IF(C19=Stand!C19,"S","H")</f>
        <v>S</v>
      </c>
      <c r="Q19" s="31" t="str">
        <f>IF(D19=Stand!D19,"S","H")</f>
        <v>S</v>
      </c>
      <c r="R19" s="31" t="str">
        <f>IF(E19=Stand!E19,"S","H")</f>
        <v>S</v>
      </c>
      <c r="S19" s="31" t="str">
        <f>IF(F19=Stand!F19,"S","H")</f>
        <v>S</v>
      </c>
      <c r="T19" s="31" t="str">
        <f>IF(G19=Stand!G19,"S","H")</f>
        <v>S</v>
      </c>
      <c r="U19" s="31" t="str">
        <f>IF(H19=Stand!H19,"S","H")</f>
        <v>S</v>
      </c>
      <c r="V19" s="31" t="str">
        <f>IF(I19=Stand!I19,"S","H")</f>
        <v>S</v>
      </c>
      <c r="W19" s="31" t="str">
        <f>IF(J19=Stand!J19,"S","H")</f>
        <v>S</v>
      </c>
      <c r="X19" s="31" t="str">
        <f>IF(K19=Stand!K19,"S","H")</f>
        <v>S</v>
      </c>
    </row>
    <row r="20" spans="1:24" x14ac:dyDescent="0.2">
      <c r="A20">
        <v>20</v>
      </c>
      <c r="B20">
        <f>MAX(Hit!B20,Stand!B20)</f>
        <v>0.65547032314990239</v>
      </c>
      <c r="C20">
        <f>MAX(Hit!C20,Stand!C20)</f>
        <v>0.63998657521683877</v>
      </c>
      <c r="D20">
        <f>MAX(Hit!D20,Stand!D20)</f>
        <v>0.65027209425148136</v>
      </c>
      <c r="E20">
        <f>MAX(Hit!E20,Stand!E20)</f>
        <v>0.66104996194807186</v>
      </c>
      <c r="F20">
        <f>MAX(Hit!F20,Stand!F20)</f>
        <v>0.67035969063279999</v>
      </c>
      <c r="G20">
        <f>MAX(Hit!G20,Stand!G20)</f>
        <v>0.70395857017134467</v>
      </c>
      <c r="H20">
        <f>MAX(Hit!H20,Stand!H20)</f>
        <v>0.77322722653717491</v>
      </c>
      <c r="I20">
        <f>MAX(Hit!I20,Stand!I20)</f>
        <v>0.79181515955189841</v>
      </c>
      <c r="J20">
        <f>MAX(Hit!J20,Stand!J20)</f>
        <v>0.75835687080859626</v>
      </c>
      <c r="K20">
        <f>MAX(Hit!K20,Stand!K20)</f>
        <v>0.55453756646817121</v>
      </c>
      <c r="N20" s="31">
        <v>20</v>
      </c>
      <c r="O20" s="31" t="str">
        <f>IF(B20=Stand!B20,"S","H")</f>
        <v>S</v>
      </c>
      <c r="P20" s="31" t="str">
        <f>IF(C20=Stand!C20,"S","H")</f>
        <v>S</v>
      </c>
      <c r="Q20" s="31" t="str">
        <f>IF(D20=Stand!D20,"S","H")</f>
        <v>S</v>
      </c>
      <c r="R20" s="31" t="str">
        <f>IF(E20=Stand!E20,"S","H")</f>
        <v>S</v>
      </c>
      <c r="S20" s="31" t="str">
        <f>IF(F20=Stand!F20,"S","H")</f>
        <v>S</v>
      </c>
      <c r="T20" s="31" t="str">
        <f>IF(G20=Stand!G20,"S","H")</f>
        <v>S</v>
      </c>
      <c r="U20" s="31" t="str">
        <f>IF(H20=Stand!H20,"S","H")</f>
        <v>S</v>
      </c>
      <c r="V20" s="31" t="str">
        <f>IF(I20=Stand!I20,"S","H")</f>
        <v>S</v>
      </c>
      <c r="W20" s="31" t="str">
        <f>IF(J20=Stand!J20,"S","H")</f>
        <v>S</v>
      </c>
      <c r="X20" s="31" t="str">
        <f>IF(K20=Stand!K20,"S","H")</f>
        <v>S</v>
      </c>
    </row>
    <row r="21" spans="1:24" x14ac:dyDescent="0.2">
      <c r="A21">
        <v>21</v>
      </c>
      <c r="B21">
        <f>MAX(Hit!B21,Stand!B21)</f>
        <v>0.92219381142033785</v>
      </c>
      <c r="C21">
        <f>MAX(Hit!C21,Stand!C21)</f>
        <v>0.88200651549403997</v>
      </c>
      <c r="D21">
        <f>MAX(Hit!D21,Stand!D21)</f>
        <v>0.88530035730174927</v>
      </c>
      <c r="E21">
        <f>MAX(Hit!E21,Stand!E21)</f>
        <v>0.88876729296591961</v>
      </c>
      <c r="F21">
        <f>MAX(Hit!F21,Stand!F21)</f>
        <v>0.89175382659528035</v>
      </c>
      <c r="G21">
        <f>MAX(Hit!G21,Stand!G21)</f>
        <v>0.90283674384257995</v>
      </c>
      <c r="H21">
        <f>MAX(Hit!H21,Stand!H21)</f>
        <v>0.92592629596452325</v>
      </c>
      <c r="I21">
        <f>MAX(Hit!I21,Stand!I21)</f>
        <v>0.93060505318396614</v>
      </c>
      <c r="J21">
        <f>MAX(Hit!J21,Stand!J21)</f>
        <v>0.93917615614724415</v>
      </c>
      <c r="K21">
        <f>MAX(Hit!K21,Stand!K21)</f>
        <v>0.96262363326716827</v>
      </c>
      <c r="N21" s="31">
        <v>21</v>
      </c>
      <c r="O21" s="31" t="str">
        <f>IF(B21=Stand!B21,"S","H")</f>
        <v>S</v>
      </c>
      <c r="P21" s="31" t="str">
        <f>IF(C21=Stand!C21,"S","H")</f>
        <v>S</v>
      </c>
      <c r="Q21" s="31" t="str">
        <f>IF(D21=Stand!D21,"S","H")</f>
        <v>S</v>
      </c>
      <c r="R21" s="31" t="str">
        <f>IF(E21=Stand!E21,"S","H")</f>
        <v>S</v>
      </c>
      <c r="S21" s="31" t="str">
        <f>IF(F21=Stand!F21,"S","H")</f>
        <v>S</v>
      </c>
      <c r="T21" s="31" t="str">
        <f>IF(G21=Stand!G21,"S","H")</f>
        <v>S</v>
      </c>
      <c r="U21" s="31" t="str">
        <f>IF(H21=Stand!H21,"S","H")</f>
        <v>S</v>
      </c>
      <c r="V21" s="31" t="str">
        <f>IF(I21=Stand!I21,"S","H")</f>
        <v>S</v>
      </c>
      <c r="W21" s="31" t="str">
        <f>IF(J21=Stand!J21,"S","H")</f>
        <v>S</v>
      </c>
      <c r="X21" s="31" t="str">
        <f>IF(K21=Stand!K21,"S","H")</f>
        <v>S</v>
      </c>
    </row>
    <row r="22" spans="1:24" x14ac:dyDescent="0.2">
      <c r="A22">
        <v>22</v>
      </c>
      <c r="B22">
        <f>MAX(Hit!B22,Stand!B22)</f>
        <v>-1</v>
      </c>
      <c r="C22">
        <f>MAX(Hit!C22,Stand!C22)</f>
        <v>-1</v>
      </c>
      <c r="D22">
        <f>MAX(Hit!D22,Stand!D22)</f>
        <v>-1</v>
      </c>
      <c r="E22">
        <f>MAX(Hit!E22,Stand!E22)</f>
        <v>-1</v>
      </c>
      <c r="F22">
        <f>MAX(Hit!F22,Stand!F22)</f>
        <v>-1</v>
      </c>
      <c r="G22">
        <f>MAX(Hit!G22,Stand!G22)</f>
        <v>-1</v>
      </c>
      <c r="H22">
        <f>MAX(Hit!H22,Stand!H22)</f>
        <v>-1</v>
      </c>
      <c r="I22">
        <f>MAX(Hit!I22,Stand!I22)</f>
        <v>-1</v>
      </c>
      <c r="J22">
        <f>MAX(Hit!J22,Stand!J22)</f>
        <v>-1</v>
      </c>
      <c r="K22">
        <f>MAX(Hit!K22,Stand!K22)</f>
        <v>-1</v>
      </c>
      <c r="N22" s="31">
        <v>22</v>
      </c>
      <c r="O22" s="31" t="str">
        <f>IF(B22=Stand!B22,"S","H")</f>
        <v>S</v>
      </c>
      <c r="P22" s="31" t="str">
        <f>IF(C22=Stand!C22,"S","H")</f>
        <v>S</v>
      </c>
      <c r="Q22" s="31" t="str">
        <f>IF(D22=Stand!D22,"S","H")</f>
        <v>S</v>
      </c>
      <c r="R22" s="31" t="str">
        <f>IF(E22=Stand!E22,"S","H")</f>
        <v>S</v>
      </c>
      <c r="S22" s="31" t="str">
        <f>IF(F22=Stand!F22,"S","H")</f>
        <v>S</v>
      </c>
      <c r="T22" s="31" t="str">
        <f>IF(G22=Stand!G22,"S","H")</f>
        <v>S</v>
      </c>
      <c r="U22" s="31" t="str">
        <f>IF(H22=Stand!H22,"S","H")</f>
        <v>S</v>
      </c>
      <c r="V22" s="31" t="str">
        <f>IF(I22=Stand!I22,"S","H")</f>
        <v>S</v>
      </c>
      <c r="W22" s="31" t="str">
        <f>IF(J22=Stand!J22,"S","H")</f>
        <v>S</v>
      </c>
      <c r="X22" s="31" t="str">
        <f>IF(K22=Stand!K22,"S","H")</f>
        <v>S</v>
      </c>
    </row>
    <row r="23" spans="1:24" x14ac:dyDescent="0.2">
      <c r="A23">
        <v>23</v>
      </c>
      <c r="B23">
        <f>MAX(Hit!B23,Stand!B23)</f>
        <v>-1</v>
      </c>
      <c r="C23">
        <f>MAX(Hit!C23,Stand!C23)</f>
        <v>-1</v>
      </c>
      <c r="D23">
        <f>MAX(Hit!D23,Stand!D23)</f>
        <v>-1</v>
      </c>
      <c r="E23">
        <f>MAX(Hit!E23,Stand!E23)</f>
        <v>-1</v>
      </c>
      <c r="F23">
        <f>MAX(Hit!F23,Stand!F23)</f>
        <v>-1</v>
      </c>
      <c r="G23">
        <f>MAX(Hit!G23,Stand!G23)</f>
        <v>-1</v>
      </c>
      <c r="H23">
        <f>MAX(Hit!H23,Stand!H23)</f>
        <v>-1</v>
      </c>
      <c r="I23">
        <f>MAX(Hit!I23,Stand!I23)</f>
        <v>-1</v>
      </c>
      <c r="J23">
        <f>MAX(Hit!J23,Stand!J23)</f>
        <v>-1</v>
      </c>
      <c r="K23">
        <f>MAX(Hit!K23,Stand!K23)</f>
        <v>-1</v>
      </c>
      <c r="N23" s="31">
        <v>23</v>
      </c>
      <c r="O23" s="31" t="str">
        <f>IF(B23=Stand!B23,"S","H")</f>
        <v>S</v>
      </c>
      <c r="P23" s="31" t="str">
        <f>IF(C23=Stand!C23,"S","H")</f>
        <v>S</v>
      </c>
      <c r="Q23" s="31" t="str">
        <f>IF(D23=Stand!D23,"S","H")</f>
        <v>S</v>
      </c>
      <c r="R23" s="31" t="str">
        <f>IF(E23=Stand!E23,"S","H")</f>
        <v>S</v>
      </c>
      <c r="S23" s="31" t="str">
        <f>IF(F23=Stand!F23,"S","H")</f>
        <v>S</v>
      </c>
      <c r="T23" s="31" t="str">
        <f>IF(G23=Stand!G23,"S","H")</f>
        <v>S</v>
      </c>
      <c r="U23" s="31" t="str">
        <f>IF(H23=Stand!H23,"S","H")</f>
        <v>S</v>
      </c>
      <c r="V23" s="31" t="str">
        <f>IF(I23=Stand!I23,"S","H")</f>
        <v>S</v>
      </c>
      <c r="W23" s="31" t="str">
        <f>IF(J23=Stand!J23,"S","H")</f>
        <v>S</v>
      </c>
      <c r="X23" s="31" t="str">
        <f>IF(K23=Stand!K23,"S","H")</f>
        <v>S</v>
      </c>
    </row>
    <row r="24" spans="1:24" x14ac:dyDescent="0.2">
      <c r="A24">
        <v>24</v>
      </c>
      <c r="B24">
        <f>MAX(Hit!B24,Stand!B24)</f>
        <v>-1</v>
      </c>
      <c r="C24">
        <f>MAX(Hit!C24,Stand!C24)</f>
        <v>-1</v>
      </c>
      <c r="D24">
        <f>MAX(Hit!D24,Stand!D24)</f>
        <v>-1</v>
      </c>
      <c r="E24">
        <f>MAX(Hit!E24,Stand!E24)</f>
        <v>-1</v>
      </c>
      <c r="F24">
        <f>MAX(Hit!F24,Stand!F24)</f>
        <v>-1</v>
      </c>
      <c r="G24">
        <f>MAX(Hit!G24,Stand!G24)</f>
        <v>-1</v>
      </c>
      <c r="H24">
        <f>MAX(Hit!H24,Stand!H24)</f>
        <v>-1</v>
      </c>
      <c r="I24">
        <f>MAX(Hit!I24,Stand!I24)</f>
        <v>-1</v>
      </c>
      <c r="J24">
        <f>MAX(Hit!J24,Stand!J24)</f>
        <v>-1</v>
      </c>
      <c r="K24">
        <f>MAX(Hit!K24,Stand!K24)</f>
        <v>-1</v>
      </c>
      <c r="N24" s="31">
        <v>24</v>
      </c>
      <c r="O24" s="31" t="str">
        <f>IF(B24=Stand!B24,"S","H")</f>
        <v>S</v>
      </c>
      <c r="P24" s="31" t="str">
        <f>IF(C24=Stand!C24,"S","H")</f>
        <v>S</v>
      </c>
      <c r="Q24" s="31" t="str">
        <f>IF(D24=Stand!D24,"S","H")</f>
        <v>S</v>
      </c>
      <c r="R24" s="31" t="str">
        <f>IF(E24=Stand!E24,"S","H")</f>
        <v>S</v>
      </c>
      <c r="S24" s="31" t="str">
        <f>IF(F24=Stand!F24,"S","H")</f>
        <v>S</v>
      </c>
      <c r="T24" s="31" t="str">
        <f>IF(G24=Stand!G24,"S","H")</f>
        <v>S</v>
      </c>
      <c r="U24" s="31" t="str">
        <f>IF(H24=Stand!H24,"S","H")</f>
        <v>S</v>
      </c>
      <c r="V24" s="31" t="str">
        <f>IF(I24=Stand!I24,"S","H")</f>
        <v>S</v>
      </c>
      <c r="W24" s="31" t="str">
        <f>IF(J24=Stand!J24,"S","H")</f>
        <v>S</v>
      </c>
      <c r="X24" s="31" t="str">
        <f>IF(K24=Stand!K24,"S","H")</f>
        <v>S</v>
      </c>
    </row>
    <row r="25" spans="1:24" x14ac:dyDescent="0.2">
      <c r="A25">
        <v>25</v>
      </c>
      <c r="B25">
        <f>MAX(Hit!B25,Stand!B25)</f>
        <v>-1</v>
      </c>
      <c r="C25">
        <f>MAX(Hit!C25,Stand!C25)</f>
        <v>-1</v>
      </c>
      <c r="D25">
        <f>MAX(Hit!D25,Stand!D25)</f>
        <v>-1</v>
      </c>
      <c r="E25">
        <f>MAX(Hit!E25,Stand!E25)</f>
        <v>-1</v>
      </c>
      <c r="F25">
        <f>MAX(Hit!F25,Stand!F25)</f>
        <v>-1</v>
      </c>
      <c r="G25">
        <f>MAX(Hit!G25,Stand!G25)</f>
        <v>-1</v>
      </c>
      <c r="H25">
        <f>MAX(Hit!H25,Stand!H25)</f>
        <v>-1</v>
      </c>
      <c r="I25">
        <f>MAX(Hit!I25,Stand!I25)</f>
        <v>-1</v>
      </c>
      <c r="J25">
        <f>MAX(Hit!J25,Stand!J25)</f>
        <v>-1</v>
      </c>
      <c r="K25">
        <f>MAX(Hit!K25,Stand!K25)</f>
        <v>-1</v>
      </c>
      <c r="N25" s="31">
        <v>25</v>
      </c>
      <c r="O25" s="31" t="str">
        <f>IF(B25=Stand!B25,"S","H")</f>
        <v>S</v>
      </c>
      <c r="P25" s="31" t="str">
        <f>IF(C25=Stand!C25,"S","H")</f>
        <v>S</v>
      </c>
      <c r="Q25" s="31" t="str">
        <f>IF(D25=Stand!D25,"S","H")</f>
        <v>S</v>
      </c>
      <c r="R25" s="31" t="str">
        <f>IF(E25=Stand!E25,"S","H")</f>
        <v>S</v>
      </c>
      <c r="S25" s="31" t="str">
        <f>IF(F25=Stand!F25,"S","H")</f>
        <v>S</v>
      </c>
      <c r="T25" s="31" t="str">
        <f>IF(G25=Stand!G25,"S","H")</f>
        <v>S</v>
      </c>
      <c r="U25" s="31" t="str">
        <f>IF(H25=Stand!H25,"S","H")</f>
        <v>S</v>
      </c>
      <c r="V25" s="31" t="str">
        <f>IF(I25=Stand!I25,"S","H")</f>
        <v>S</v>
      </c>
      <c r="W25" s="31" t="str">
        <f>IF(J25=Stand!J25,"S","H")</f>
        <v>S</v>
      </c>
      <c r="X25" s="31" t="str">
        <f>IF(K25=Stand!K25,"S","H")</f>
        <v>S</v>
      </c>
    </row>
    <row r="26" spans="1:24" x14ac:dyDescent="0.2">
      <c r="A26">
        <v>26</v>
      </c>
      <c r="B26">
        <f>MAX(Hit!B26,Stand!B26)</f>
        <v>-1</v>
      </c>
      <c r="C26">
        <f>MAX(Hit!C26,Stand!C26)</f>
        <v>-1</v>
      </c>
      <c r="D26">
        <f>MAX(Hit!D26,Stand!D26)</f>
        <v>-1</v>
      </c>
      <c r="E26">
        <f>MAX(Hit!E26,Stand!E26)</f>
        <v>-1</v>
      </c>
      <c r="F26">
        <f>MAX(Hit!F26,Stand!F26)</f>
        <v>-1</v>
      </c>
      <c r="G26">
        <f>MAX(Hit!G26,Stand!G26)</f>
        <v>-1</v>
      </c>
      <c r="H26">
        <f>MAX(Hit!H26,Stand!H26)</f>
        <v>-1</v>
      </c>
      <c r="I26">
        <f>MAX(Hit!I26,Stand!I26)</f>
        <v>-1</v>
      </c>
      <c r="J26">
        <f>MAX(Hit!J26,Stand!J26)</f>
        <v>-1</v>
      </c>
      <c r="K26">
        <f>MAX(Hit!K26,Stand!K26)</f>
        <v>-1</v>
      </c>
      <c r="N26" s="31">
        <v>26</v>
      </c>
      <c r="O26" s="31" t="str">
        <f>IF(B26=Stand!B26,"S","H")</f>
        <v>S</v>
      </c>
      <c r="P26" s="31" t="str">
        <f>IF(C26=Stand!C26,"S","H")</f>
        <v>S</v>
      </c>
      <c r="Q26" s="31" t="str">
        <f>IF(D26=Stand!D26,"S","H")</f>
        <v>S</v>
      </c>
      <c r="R26" s="31" t="str">
        <f>IF(E26=Stand!E26,"S","H")</f>
        <v>S</v>
      </c>
      <c r="S26" s="31" t="str">
        <f>IF(F26=Stand!F26,"S","H")</f>
        <v>S</v>
      </c>
      <c r="T26" s="31" t="str">
        <f>IF(G26=Stand!G26,"S","H")</f>
        <v>S</v>
      </c>
      <c r="U26" s="31" t="str">
        <f>IF(H26=Stand!H26,"S","H")</f>
        <v>S</v>
      </c>
      <c r="V26" s="31" t="str">
        <f>IF(I26=Stand!I26,"S","H")</f>
        <v>S</v>
      </c>
      <c r="W26" s="31" t="str">
        <f>IF(J26=Stand!J26,"S","H")</f>
        <v>S</v>
      </c>
      <c r="X26" s="31" t="str">
        <f>IF(K26=Stand!K26,"S","H")</f>
        <v>S</v>
      </c>
    </row>
    <row r="27" spans="1:24" x14ac:dyDescent="0.2">
      <c r="A27">
        <v>27</v>
      </c>
      <c r="B27">
        <f>MAX(Hit!B27,Stand!B27)</f>
        <v>-1</v>
      </c>
      <c r="C27">
        <f>MAX(Hit!C27,Stand!C27)</f>
        <v>-1</v>
      </c>
      <c r="D27">
        <f>MAX(Hit!D27,Stand!D27)</f>
        <v>-1</v>
      </c>
      <c r="E27">
        <f>MAX(Hit!E27,Stand!E27)</f>
        <v>-1</v>
      </c>
      <c r="F27">
        <f>MAX(Hit!F27,Stand!F27)</f>
        <v>-1</v>
      </c>
      <c r="G27">
        <f>MAX(Hit!G27,Stand!G27)</f>
        <v>-1</v>
      </c>
      <c r="H27">
        <f>MAX(Hit!H27,Stand!H27)</f>
        <v>-1</v>
      </c>
      <c r="I27">
        <f>MAX(Hit!I27,Stand!I27)</f>
        <v>-1</v>
      </c>
      <c r="J27">
        <f>MAX(Hit!J27,Stand!J27)</f>
        <v>-1</v>
      </c>
      <c r="K27">
        <f>MAX(Hit!K27,Stand!K27)</f>
        <v>-1</v>
      </c>
      <c r="N27" s="31">
        <v>27</v>
      </c>
      <c r="O27" s="31" t="str">
        <f>IF(B27=Stand!B27,"S","H")</f>
        <v>S</v>
      </c>
      <c r="P27" s="31" t="str">
        <f>IF(C27=Stand!C27,"S","H")</f>
        <v>S</v>
      </c>
      <c r="Q27" s="31" t="str">
        <f>IF(D27=Stand!D27,"S","H")</f>
        <v>S</v>
      </c>
      <c r="R27" s="31" t="str">
        <f>IF(E27=Stand!E27,"S","H")</f>
        <v>S</v>
      </c>
      <c r="S27" s="31" t="str">
        <f>IF(F27=Stand!F27,"S","H")</f>
        <v>S</v>
      </c>
      <c r="T27" s="31" t="str">
        <f>IF(G27=Stand!G27,"S","H")</f>
        <v>S</v>
      </c>
      <c r="U27" s="31" t="str">
        <f>IF(H27=Stand!H27,"S","H")</f>
        <v>S</v>
      </c>
      <c r="V27" s="31" t="str">
        <f>IF(I27=Stand!I27,"S","H")</f>
        <v>S</v>
      </c>
      <c r="W27" s="31" t="str">
        <f>IF(J27=Stand!J27,"S","H")</f>
        <v>S</v>
      </c>
      <c r="X27" s="31" t="str">
        <f>IF(K27=Stand!K27,"S","H")</f>
        <v>S</v>
      </c>
    </row>
    <row r="28" spans="1:24" x14ac:dyDescent="0.2">
      <c r="A28">
        <v>28</v>
      </c>
      <c r="B28">
        <f>MAX(Hit!B28,Stand!B28)</f>
        <v>-1</v>
      </c>
      <c r="C28">
        <f>MAX(Hit!C28,Stand!C28)</f>
        <v>-1</v>
      </c>
      <c r="D28">
        <f>MAX(Hit!D28,Stand!D28)</f>
        <v>-1</v>
      </c>
      <c r="E28">
        <f>MAX(Hit!E28,Stand!E28)</f>
        <v>-1</v>
      </c>
      <c r="F28">
        <f>MAX(Hit!F28,Stand!F28)</f>
        <v>-1</v>
      </c>
      <c r="G28">
        <f>MAX(Hit!G28,Stand!G28)</f>
        <v>-1</v>
      </c>
      <c r="H28">
        <f>MAX(Hit!H28,Stand!H28)</f>
        <v>-1</v>
      </c>
      <c r="I28">
        <f>MAX(Hit!I28,Stand!I28)</f>
        <v>-1</v>
      </c>
      <c r="J28">
        <f>MAX(Hit!J28,Stand!J28)</f>
        <v>-1</v>
      </c>
      <c r="K28">
        <f>MAX(Hit!K28,Stand!K28)</f>
        <v>-1</v>
      </c>
      <c r="N28" s="31">
        <v>28</v>
      </c>
      <c r="O28" s="31" t="str">
        <f>IF(B28=Stand!B28,"S","H")</f>
        <v>S</v>
      </c>
      <c r="P28" s="31" t="str">
        <f>IF(C28=Stand!C28,"S","H")</f>
        <v>S</v>
      </c>
      <c r="Q28" s="31" t="str">
        <f>IF(D28=Stand!D28,"S","H")</f>
        <v>S</v>
      </c>
      <c r="R28" s="31" t="str">
        <f>IF(E28=Stand!E28,"S","H")</f>
        <v>S</v>
      </c>
      <c r="S28" s="31" t="str">
        <f>IF(F28=Stand!F28,"S","H")</f>
        <v>S</v>
      </c>
      <c r="T28" s="31" t="str">
        <f>IF(G28=Stand!G28,"S","H")</f>
        <v>S</v>
      </c>
      <c r="U28" s="31" t="str">
        <f>IF(H28=Stand!H28,"S","H")</f>
        <v>S</v>
      </c>
      <c r="V28" s="31" t="str">
        <f>IF(I28=Stand!I28,"S","H")</f>
        <v>S</v>
      </c>
      <c r="W28" s="31" t="str">
        <f>IF(J28=Stand!J28,"S","H")</f>
        <v>S</v>
      </c>
      <c r="X28" s="31" t="str">
        <f>IF(K28=Stand!K28,"S","H")</f>
        <v>S</v>
      </c>
    </row>
    <row r="29" spans="1:24" x14ac:dyDescent="0.2">
      <c r="A29">
        <v>29</v>
      </c>
      <c r="B29">
        <f>MAX(Hit!B29,Stand!B29)</f>
        <v>-1</v>
      </c>
      <c r="C29">
        <f>MAX(Hit!C29,Stand!C29)</f>
        <v>-1</v>
      </c>
      <c r="D29">
        <f>MAX(Hit!D29,Stand!D29)</f>
        <v>-1</v>
      </c>
      <c r="E29">
        <f>MAX(Hit!E29,Stand!E29)</f>
        <v>-1</v>
      </c>
      <c r="F29">
        <f>MAX(Hit!F29,Stand!F29)</f>
        <v>-1</v>
      </c>
      <c r="G29">
        <f>MAX(Hit!G29,Stand!G29)</f>
        <v>-1</v>
      </c>
      <c r="H29">
        <f>MAX(Hit!H29,Stand!H29)</f>
        <v>-1</v>
      </c>
      <c r="I29">
        <f>MAX(Hit!I29,Stand!I29)</f>
        <v>-1</v>
      </c>
      <c r="J29">
        <f>MAX(Hit!J29,Stand!J29)</f>
        <v>-1</v>
      </c>
      <c r="K29">
        <f>MAX(Hit!K29,Stand!K29)</f>
        <v>-1</v>
      </c>
      <c r="N29" s="31">
        <v>29</v>
      </c>
      <c r="O29" s="31" t="str">
        <f>IF(B29=Stand!B29,"S","H")</f>
        <v>S</v>
      </c>
      <c r="P29" s="31" t="str">
        <f>IF(C29=Stand!C29,"S","H")</f>
        <v>S</v>
      </c>
      <c r="Q29" s="31" t="str">
        <f>IF(D29=Stand!D29,"S","H")</f>
        <v>S</v>
      </c>
      <c r="R29" s="31" t="str">
        <f>IF(E29=Stand!E29,"S","H")</f>
        <v>S</v>
      </c>
      <c r="S29" s="31" t="str">
        <f>IF(F29=Stand!F29,"S","H")</f>
        <v>S</v>
      </c>
      <c r="T29" s="31" t="str">
        <f>IF(G29=Stand!G29,"S","H")</f>
        <v>S</v>
      </c>
      <c r="U29" s="31" t="str">
        <f>IF(H29=Stand!H29,"S","H")</f>
        <v>S</v>
      </c>
      <c r="V29" s="31" t="str">
        <f>IF(I29=Stand!I29,"S","H")</f>
        <v>S</v>
      </c>
      <c r="W29" s="31" t="str">
        <f>IF(J29=Stand!J29,"S","H")</f>
        <v>S</v>
      </c>
      <c r="X29" s="31" t="str">
        <f>IF(K29=Stand!K29,"S","H")</f>
        <v>S</v>
      </c>
    </row>
    <row r="30" spans="1:24" x14ac:dyDescent="0.2">
      <c r="A30">
        <v>30</v>
      </c>
      <c r="B30">
        <f>MAX(Hit!B30,Stand!B30)</f>
        <v>-1</v>
      </c>
      <c r="C30">
        <f>MAX(Hit!C30,Stand!C30)</f>
        <v>-1</v>
      </c>
      <c r="D30">
        <f>MAX(Hit!D30,Stand!D30)</f>
        <v>-1</v>
      </c>
      <c r="E30">
        <f>MAX(Hit!E30,Stand!E30)</f>
        <v>-1</v>
      </c>
      <c r="F30">
        <f>MAX(Hit!F30,Stand!F30)</f>
        <v>-1</v>
      </c>
      <c r="G30">
        <f>MAX(Hit!G30,Stand!G30)</f>
        <v>-1</v>
      </c>
      <c r="H30">
        <f>MAX(Hit!H30,Stand!H30)</f>
        <v>-1</v>
      </c>
      <c r="I30">
        <f>MAX(Hit!I30,Stand!I30)</f>
        <v>-1</v>
      </c>
      <c r="J30">
        <f>MAX(Hit!J30,Stand!J30)</f>
        <v>-1</v>
      </c>
      <c r="K30">
        <f>MAX(Hit!K30,Stand!K30)</f>
        <v>-1</v>
      </c>
      <c r="N30" s="31">
        <v>30</v>
      </c>
      <c r="O30" s="31" t="str">
        <f>IF(B30=Stand!B30,"S","H")</f>
        <v>S</v>
      </c>
      <c r="P30" s="31" t="str">
        <f>IF(C30=Stand!C30,"S","H")</f>
        <v>S</v>
      </c>
      <c r="Q30" s="31" t="str">
        <f>IF(D30=Stand!D30,"S","H")</f>
        <v>S</v>
      </c>
      <c r="R30" s="31" t="str">
        <f>IF(E30=Stand!E30,"S","H")</f>
        <v>S</v>
      </c>
      <c r="S30" s="31" t="str">
        <f>IF(F30=Stand!F30,"S","H")</f>
        <v>S</v>
      </c>
      <c r="T30" s="31" t="str">
        <f>IF(G30=Stand!G30,"S","H")</f>
        <v>S</v>
      </c>
      <c r="U30" s="31" t="str">
        <f>IF(H30=Stand!H30,"S","H")</f>
        <v>S</v>
      </c>
      <c r="V30" s="31" t="str">
        <f>IF(I30=Stand!I30,"S","H")</f>
        <v>S</v>
      </c>
      <c r="W30" s="31" t="str">
        <f>IF(J30=Stand!J30,"S","H")</f>
        <v>S</v>
      </c>
      <c r="X30" s="31" t="str">
        <f>IF(K30=Stand!K30,"S","H")</f>
        <v>S</v>
      </c>
    </row>
    <row r="31" spans="1:24" x14ac:dyDescent="0.2">
      <c r="A31">
        <v>31</v>
      </c>
      <c r="B31">
        <f>MAX(Hit!B31,Stand!B31)</f>
        <v>-1</v>
      </c>
      <c r="C31">
        <f>MAX(Hit!C31,Stand!C31)</f>
        <v>-1</v>
      </c>
      <c r="D31">
        <f>MAX(Hit!D31,Stand!D31)</f>
        <v>-1</v>
      </c>
      <c r="E31">
        <f>MAX(Hit!E31,Stand!E31)</f>
        <v>-1</v>
      </c>
      <c r="F31">
        <f>MAX(Hit!F31,Stand!F31)</f>
        <v>-1</v>
      </c>
      <c r="G31">
        <f>MAX(Hit!G31,Stand!G31)</f>
        <v>-1</v>
      </c>
      <c r="H31">
        <f>MAX(Hit!H31,Stand!H31)</f>
        <v>-1</v>
      </c>
      <c r="I31">
        <f>MAX(Hit!I31,Stand!I31)</f>
        <v>-1</v>
      </c>
      <c r="J31">
        <f>MAX(Hit!J31,Stand!J31)</f>
        <v>-1</v>
      </c>
      <c r="K31">
        <f>MAX(Hit!K31,Stand!K31)</f>
        <v>-1</v>
      </c>
      <c r="N31" s="31">
        <v>31</v>
      </c>
      <c r="O31" s="31" t="str">
        <f>IF(B31=Stand!B31,"S","H")</f>
        <v>S</v>
      </c>
      <c r="P31" s="31" t="str">
        <f>IF(C31=Stand!C31,"S","H")</f>
        <v>S</v>
      </c>
      <c r="Q31" s="31" t="str">
        <f>IF(D31=Stand!D31,"S","H")</f>
        <v>S</v>
      </c>
      <c r="R31" s="31" t="str">
        <f>IF(E31=Stand!E31,"S","H")</f>
        <v>S</v>
      </c>
      <c r="S31" s="31" t="str">
        <f>IF(F31=Stand!F31,"S","H")</f>
        <v>S</v>
      </c>
      <c r="T31" s="31" t="str">
        <f>IF(G31=Stand!G31,"S","H")</f>
        <v>S</v>
      </c>
      <c r="U31" s="31" t="str">
        <f>IF(H31=Stand!H31,"S","H")</f>
        <v>S</v>
      </c>
      <c r="V31" s="31" t="str">
        <f>IF(I31=Stand!I31,"S","H")</f>
        <v>S</v>
      </c>
      <c r="W31" s="31" t="str">
        <f>IF(J31=Stand!J31,"S","H")</f>
        <v>S</v>
      </c>
      <c r="X31" s="31" t="str">
        <f>IF(K31=Stand!K31,"S","H")</f>
        <v>S</v>
      </c>
    </row>
    <row r="33" spans="1:24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N33" s="31" t="s">
        <v>4</v>
      </c>
      <c r="O33" s="31">
        <v>1</v>
      </c>
      <c r="P33" s="31">
        <v>2</v>
      </c>
      <c r="Q33" s="31">
        <v>3</v>
      </c>
      <c r="R33" s="31">
        <v>4</v>
      </c>
      <c r="S33" s="31">
        <v>5</v>
      </c>
      <c r="T33" s="31">
        <v>6</v>
      </c>
      <c r="U33" s="31">
        <v>7</v>
      </c>
      <c r="V33" s="31">
        <v>8</v>
      </c>
      <c r="W33" s="31">
        <v>9</v>
      </c>
      <c r="X33" s="31">
        <v>10</v>
      </c>
    </row>
    <row r="34" spans="1:24" x14ac:dyDescent="0.2">
      <c r="A34">
        <v>11</v>
      </c>
      <c r="B34">
        <f>MAX(Hit!B34,Stand!B34)</f>
        <v>0.29861942370404337</v>
      </c>
      <c r="C34">
        <f>MAX(Hit!C34,Stand!C34)</f>
        <v>0.3696374242362967</v>
      </c>
      <c r="D34">
        <f>MAX(Hit!D34,Stand!D34)</f>
        <v>0.38767410174512951</v>
      </c>
      <c r="E34">
        <f>MAX(Hit!E34,Stand!E34)</f>
        <v>0.40637639293641487</v>
      </c>
      <c r="F34">
        <f>MAX(Hit!F34,Stand!F34)</f>
        <v>0.42575273133176267</v>
      </c>
      <c r="G34">
        <f>MAX(Hit!G34,Stand!G34)</f>
        <v>0.45589668319225651</v>
      </c>
      <c r="H34">
        <f>MAX(Hit!H34,Stand!H34)</f>
        <v>0.45736852128859351</v>
      </c>
      <c r="I34">
        <f>MAX(Hit!I34,Stand!I34)</f>
        <v>0.40074805174057648</v>
      </c>
      <c r="J34">
        <f>MAX(Hit!J34,Stand!J34)</f>
        <v>0.32142328174266549</v>
      </c>
      <c r="K34">
        <f>MAX(Hit!K34,Stand!K34)</f>
        <v>0.26400071601402691</v>
      </c>
      <c r="N34" s="31">
        <v>11</v>
      </c>
      <c r="O34" s="31" t="str">
        <f>IF(B34=Stand!B34,"S","H")</f>
        <v>H</v>
      </c>
      <c r="P34" s="31" t="str">
        <f>IF(C34=Stand!C34,"S","H")</f>
        <v>H</v>
      </c>
      <c r="Q34" s="31" t="str">
        <f>IF(D34=Stand!D34,"S","H")</f>
        <v>H</v>
      </c>
      <c r="R34" s="31" t="str">
        <f>IF(E34=Stand!E34,"S","H")</f>
        <v>H</v>
      </c>
      <c r="S34" s="31" t="str">
        <f>IF(F34=Stand!F34,"S","H")</f>
        <v>H</v>
      </c>
      <c r="T34" s="31" t="str">
        <f>IF(G34=Stand!G34,"S","H")</f>
        <v>H</v>
      </c>
      <c r="U34" s="31" t="str">
        <f>IF(H34=Stand!H34,"S","H")</f>
        <v>H</v>
      </c>
      <c r="V34" s="31" t="str">
        <f>IF(I34=Stand!I34,"S","H")</f>
        <v>H</v>
      </c>
      <c r="W34" s="31" t="str">
        <f>IF(J34=Stand!J34,"S","H")</f>
        <v>H</v>
      </c>
      <c r="X34" s="31" t="str">
        <f>IF(K34=Stand!K34,"S","H")</f>
        <v>H</v>
      </c>
    </row>
    <row r="35" spans="1:24" x14ac:dyDescent="0.2">
      <c r="A35">
        <v>12</v>
      </c>
      <c r="B35">
        <f>MAX(Hit!B35,Stand!B35)</f>
        <v>-2.0477877704912145E-2</v>
      </c>
      <c r="C35">
        <f>MAX(Hit!C35,Stand!C35)</f>
        <v>8.1836216051656044E-2</v>
      </c>
      <c r="D35">
        <f>MAX(Hit!D35,Stand!D35)</f>
        <v>0.10350704654207775</v>
      </c>
      <c r="E35">
        <f>MAX(Hit!E35,Stand!E35)</f>
        <v>0.12659562809256977</v>
      </c>
      <c r="F35">
        <f>MAX(Hit!F35,Stand!F35)</f>
        <v>0.15648238458465519</v>
      </c>
      <c r="G35">
        <f>MAX(Hit!G35,Stand!G35)</f>
        <v>0.18595361333225549</v>
      </c>
      <c r="H35">
        <f>MAX(Hit!H35,Stand!H35)</f>
        <v>0.16547293077063496</v>
      </c>
      <c r="I35">
        <f>MAX(Hit!I35,Stand!I35)</f>
        <v>9.5115020927032265E-2</v>
      </c>
      <c r="J35">
        <f>MAX(Hit!J35,Stand!J35)</f>
        <v>6.5790841226914386E-5</v>
      </c>
      <c r="K35">
        <f>MAX(Hit!K35,Stand!K35)</f>
        <v>-7.0002397357964694E-2</v>
      </c>
      <c r="N35" s="31">
        <v>12</v>
      </c>
      <c r="O35" s="31" t="str">
        <f>IF(B35=Stand!B35,"S","H")</f>
        <v>H</v>
      </c>
      <c r="P35" s="31" t="str">
        <f>IF(C35=Stand!C35,"S","H")</f>
        <v>H</v>
      </c>
      <c r="Q35" s="31" t="str">
        <f>IF(D35=Stand!D35,"S","H")</f>
        <v>H</v>
      </c>
      <c r="R35" s="31" t="str">
        <f>IF(E35=Stand!E35,"S","H")</f>
        <v>H</v>
      </c>
      <c r="S35" s="31" t="str">
        <f>IF(F35=Stand!F35,"S","H")</f>
        <v>H</v>
      </c>
      <c r="T35" s="31" t="str">
        <f>IF(G35=Stand!G35,"S","H")</f>
        <v>H</v>
      </c>
      <c r="U35" s="31" t="str">
        <f>IF(H35=Stand!H35,"S","H")</f>
        <v>H</v>
      </c>
      <c r="V35" s="31" t="str">
        <f>IF(I35=Stand!I35,"S","H")</f>
        <v>H</v>
      </c>
      <c r="W35" s="31" t="str">
        <f>IF(J35=Stand!J35,"S","H")</f>
        <v>H</v>
      </c>
      <c r="X35" s="31" t="str">
        <f>IF(K35=Stand!K35,"S","H")</f>
        <v>H</v>
      </c>
    </row>
    <row r="36" spans="1:24" x14ac:dyDescent="0.2">
      <c r="A36">
        <v>13</v>
      </c>
      <c r="B36">
        <f>MAX(Hit!B36,Stand!B36)</f>
        <v>-5.7308046666810254E-2</v>
      </c>
      <c r="C36">
        <f>MAX(Hit!C36,Stand!C36)</f>
        <v>4.6636132695309578E-2</v>
      </c>
      <c r="D36">
        <f>MAX(Hit!D36,Stand!D36)</f>
        <v>7.4118813392744051E-2</v>
      </c>
      <c r="E36">
        <f>MAX(Hit!E36,Stand!E36)</f>
        <v>0.10247714687203523</v>
      </c>
      <c r="F36">
        <f>MAX(Hit!F36,Stand!F36)</f>
        <v>0.13336273848321728</v>
      </c>
      <c r="G36">
        <f>MAX(Hit!G36,Stand!G36)</f>
        <v>0.16169271124923693</v>
      </c>
      <c r="H36">
        <f>MAX(Hit!H36,Stand!H36)</f>
        <v>0.12238569517899196</v>
      </c>
      <c r="I36">
        <f>MAX(Hit!I36,Stand!I36)</f>
        <v>5.4057070196311299E-2</v>
      </c>
      <c r="J36">
        <f>MAX(Hit!J36,Stand!J36)</f>
        <v>-3.7694688127479885E-2</v>
      </c>
      <c r="K36">
        <f>MAX(Hit!K36,Stand!K36)</f>
        <v>-0.10485135840627779</v>
      </c>
      <c r="N36" s="31">
        <v>13</v>
      </c>
      <c r="O36" s="31" t="str">
        <f>IF(B36=Stand!B36,"S","H")</f>
        <v>H</v>
      </c>
      <c r="P36" s="31" t="str">
        <f>IF(C36=Stand!C36,"S","H")</f>
        <v>H</v>
      </c>
      <c r="Q36" s="31" t="str">
        <f>IF(D36=Stand!D36,"S","H")</f>
        <v>H</v>
      </c>
      <c r="R36" s="31" t="str">
        <f>IF(E36=Stand!E36,"S","H")</f>
        <v>H</v>
      </c>
      <c r="S36" s="31" t="str">
        <f>IF(F36=Stand!F36,"S","H")</f>
        <v>H</v>
      </c>
      <c r="T36" s="31" t="str">
        <f>IF(G36=Stand!G36,"S","H")</f>
        <v>H</v>
      </c>
      <c r="U36" s="31" t="str">
        <f>IF(H36=Stand!H36,"S","H")</f>
        <v>H</v>
      </c>
      <c r="V36" s="31" t="str">
        <f>IF(I36=Stand!I36,"S","H")</f>
        <v>H</v>
      </c>
      <c r="W36" s="31" t="str">
        <f>IF(J36=Stand!J36,"S","H")</f>
        <v>H</v>
      </c>
      <c r="X36" s="31" t="str">
        <f>IF(K36=Stand!K36,"S","H")</f>
        <v>H</v>
      </c>
    </row>
    <row r="37" spans="1:24" x14ac:dyDescent="0.2">
      <c r="A37">
        <v>14</v>
      </c>
      <c r="B37">
        <f>MAX(Hit!B37,Stand!B37)</f>
        <v>-9.3874324768310105E-2</v>
      </c>
      <c r="C37">
        <f>MAX(Hit!C37,Stand!C37)</f>
        <v>2.2391856987839083E-2</v>
      </c>
      <c r="D37">
        <f>MAX(Hit!D37,Stand!D37)</f>
        <v>5.0806738919282814E-2</v>
      </c>
      <c r="E37">
        <f>MAX(Hit!E37,Stand!E37)</f>
        <v>8.0081414310110233E-2</v>
      </c>
      <c r="F37">
        <f>MAX(Hit!F37,Stand!F37)</f>
        <v>0.11189449567473925</v>
      </c>
      <c r="G37">
        <f>MAX(Hit!G37,Stand!G37)</f>
        <v>0.1391647307435768</v>
      </c>
      <c r="H37">
        <f>MAX(Hit!H37,Stand!H37)</f>
        <v>7.9507488494468148E-2</v>
      </c>
      <c r="I37">
        <f>MAX(Hit!I37,Stand!I37)</f>
        <v>1.3277219463208444E-2</v>
      </c>
      <c r="J37">
        <f>MAX(Hit!J37,Stand!J37)</f>
        <v>-7.516318944168382E-2</v>
      </c>
      <c r="K37">
        <f>MAX(Hit!K37,Stand!K37)</f>
        <v>-0.13946678217545452</v>
      </c>
      <c r="N37" s="31">
        <v>14</v>
      </c>
      <c r="O37" s="31" t="str">
        <f>IF(B37=Stand!B37,"S","H")</f>
        <v>H</v>
      </c>
      <c r="P37" s="31" t="str">
        <f>IF(C37=Stand!C37,"S","H")</f>
        <v>H</v>
      </c>
      <c r="Q37" s="31" t="str">
        <f>IF(D37=Stand!D37,"S","H")</f>
        <v>H</v>
      </c>
      <c r="R37" s="31" t="str">
        <f>IF(E37=Stand!E37,"S","H")</f>
        <v>H</v>
      </c>
      <c r="S37" s="31" t="str">
        <f>IF(F37=Stand!F37,"S","H")</f>
        <v>H</v>
      </c>
      <c r="T37" s="31" t="str">
        <f>IF(G37=Stand!G37,"S","H")</f>
        <v>H</v>
      </c>
      <c r="U37" s="31" t="str">
        <f>IF(H37=Stand!H37,"S","H")</f>
        <v>H</v>
      </c>
      <c r="V37" s="31" t="str">
        <f>IF(I37=Stand!I37,"S","H")</f>
        <v>H</v>
      </c>
      <c r="W37" s="31" t="str">
        <f>IF(J37=Stand!J37,"S","H")</f>
        <v>H</v>
      </c>
      <c r="X37" s="31" t="str">
        <f>IF(K37=Stand!K37,"S","H")</f>
        <v>H</v>
      </c>
    </row>
    <row r="38" spans="1:24" x14ac:dyDescent="0.2">
      <c r="A38">
        <v>15</v>
      </c>
      <c r="B38">
        <f>MAX(Hit!B38,Stand!B38)</f>
        <v>-0.13002650167843849</v>
      </c>
      <c r="C38">
        <f>MAX(Hit!C38,Stand!C38)</f>
        <v>-1.2068474052636583E-4</v>
      </c>
      <c r="D38">
        <f>MAX(Hit!D38,Stand!D38)</f>
        <v>2.9159812622497363E-2</v>
      </c>
      <c r="E38">
        <f>MAX(Hit!E38,Stand!E38)</f>
        <v>5.9285376931179926E-2</v>
      </c>
      <c r="F38">
        <f>MAX(Hit!F38,Stand!F38)</f>
        <v>9.1959698781152482E-2</v>
      </c>
      <c r="G38">
        <f>MAX(Hit!G38,Stand!G38)</f>
        <v>0.11824589170260671</v>
      </c>
      <c r="H38">
        <f>MAX(Hit!H38,Stand!H38)</f>
        <v>3.7028282279269235E-2</v>
      </c>
      <c r="I38">
        <f>MAX(Hit!I38,Stand!I38)</f>
        <v>-2.7054780502901672E-2</v>
      </c>
      <c r="J38">
        <f>MAX(Hit!J38,Stand!J38)</f>
        <v>-0.11218876868994289</v>
      </c>
      <c r="K38">
        <f>MAX(Hit!K38,Stand!K38)</f>
        <v>-0.17370423031226784</v>
      </c>
      <c r="N38" s="31">
        <v>15</v>
      </c>
      <c r="O38" s="31" t="str">
        <f>IF(B38=Stand!B38,"S","H")</f>
        <v>H</v>
      </c>
      <c r="P38" s="31" t="str">
        <f>IF(C38=Stand!C38,"S","H")</f>
        <v>H</v>
      </c>
      <c r="Q38" s="31" t="str">
        <f>IF(D38=Stand!D38,"S","H")</f>
        <v>H</v>
      </c>
      <c r="R38" s="31" t="str">
        <f>IF(E38=Stand!E38,"S","H")</f>
        <v>H</v>
      </c>
      <c r="S38" s="31" t="str">
        <f>IF(F38=Stand!F38,"S","H")</f>
        <v>H</v>
      </c>
      <c r="T38" s="31" t="str">
        <f>IF(G38=Stand!G38,"S","H")</f>
        <v>H</v>
      </c>
      <c r="U38" s="31" t="str">
        <f>IF(H38=Stand!H38,"S","H")</f>
        <v>H</v>
      </c>
      <c r="V38" s="31" t="str">
        <f>IF(I38=Stand!I38,"S","H")</f>
        <v>H</v>
      </c>
      <c r="W38" s="31" t="str">
        <f>IF(J38=Stand!J38,"S","H")</f>
        <v>H</v>
      </c>
      <c r="X38" s="31" t="str">
        <f>IF(K38=Stand!K38,"S","H")</f>
        <v>H</v>
      </c>
    </row>
    <row r="39" spans="1:24" x14ac:dyDescent="0.2">
      <c r="A39">
        <v>16</v>
      </c>
      <c r="B39">
        <f>MAX(Hit!B39,Stand!B39)</f>
        <v>-0.16563717206687348</v>
      </c>
      <c r="C39">
        <f>MAX(Hit!C39,Stand!C39)</f>
        <v>-2.1025187774008566E-2</v>
      </c>
      <c r="D39">
        <f>MAX(Hit!D39,Stand!D39)</f>
        <v>9.0590953469108244E-3</v>
      </c>
      <c r="E39">
        <f>MAX(Hit!E39,Stand!E39)</f>
        <v>3.9974770793601705E-2</v>
      </c>
      <c r="F39">
        <f>MAX(Hit!F39,Stand!F39)</f>
        <v>7.3448815951393354E-2</v>
      </c>
      <c r="G39">
        <f>MAX(Hit!G39,Stand!G39)</f>
        <v>9.8821255450277368E-2</v>
      </c>
      <c r="H39">
        <f>MAX(Hit!H39,Stand!H39)</f>
        <v>-4.8901571730158942E-3</v>
      </c>
      <c r="I39">
        <f>MAX(Hit!I39,Stand!I39)</f>
        <v>-6.6794847920094103E-2</v>
      </c>
      <c r="J39">
        <f>MAX(Hit!J39,Stand!J39)</f>
        <v>-0.14864353463007471</v>
      </c>
      <c r="K39">
        <f>MAX(Hit!K39,Stand!K39)</f>
        <v>-0.20744109003068206</v>
      </c>
      <c r="N39" s="31">
        <v>16</v>
      </c>
      <c r="O39" s="31" t="str">
        <f>IF(B39=Stand!B39,"S","H")</f>
        <v>H</v>
      </c>
      <c r="P39" s="31" t="str">
        <f>IF(C39=Stand!C39,"S","H")</f>
        <v>H</v>
      </c>
      <c r="Q39" s="31" t="str">
        <f>IF(D39=Stand!D39,"S","H")</f>
        <v>H</v>
      </c>
      <c r="R39" s="31" t="str">
        <f>IF(E39=Stand!E39,"S","H")</f>
        <v>H</v>
      </c>
      <c r="S39" s="31" t="str">
        <f>IF(F39=Stand!F39,"S","H")</f>
        <v>H</v>
      </c>
      <c r="T39" s="31" t="str">
        <f>IF(G39=Stand!G39,"S","H")</f>
        <v>H</v>
      </c>
      <c r="U39" s="31" t="str">
        <f>IF(H39=Stand!H39,"S","H")</f>
        <v>H</v>
      </c>
      <c r="V39" s="31" t="str">
        <f>IF(I39=Stand!I39,"S","H")</f>
        <v>H</v>
      </c>
      <c r="W39" s="31" t="str">
        <f>IF(J39=Stand!J39,"S","H")</f>
        <v>H</v>
      </c>
      <c r="X39" s="31" t="str">
        <f>IF(K39=Stand!K39,"S","H")</f>
        <v>H</v>
      </c>
    </row>
    <row r="40" spans="1:24" x14ac:dyDescent="0.2">
      <c r="A40">
        <v>17</v>
      </c>
      <c r="B40">
        <f>MAX(Hit!B40,Stand!B40)</f>
        <v>-0.17956936979241733</v>
      </c>
      <c r="C40">
        <f>MAX(Hit!C40,Stand!C40)</f>
        <v>-4.9104358288912882E-4</v>
      </c>
      <c r="D40">
        <f>MAX(Hit!D40,Stand!D40)</f>
        <v>2.8975282965620488E-2</v>
      </c>
      <c r="E40">
        <f>MAX(Hit!E40,Stand!E40)</f>
        <v>5.9326275337164343E-2</v>
      </c>
      <c r="F40">
        <f>MAX(Hit!F40,Stand!F40)</f>
        <v>9.1189077686774395E-2</v>
      </c>
      <c r="G40">
        <f>MAX(Hit!G40,Stand!G40)</f>
        <v>0.12805214364549905</v>
      </c>
      <c r="H40">
        <f>MAX(Hit!H40,Stand!H40)</f>
        <v>5.3823463716116654E-2</v>
      </c>
      <c r="I40">
        <f>MAX(Hit!I40,Stand!I40)</f>
        <v>-7.2915398729642075E-2</v>
      </c>
      <c r="J40">
        <f>MAX(Hit!J40,Stand!J40)</f>
        <v>-0.1497868921821332</v>
      </c>
      <c r="K40">
        <f>MAX(Hit!K40,Stand!K40)</f>
        <v>-0.19686697623363469</v>
      </c>
      <c r="N40" s="31">
        <v>17</v>
      </c>
      <c r="O40" s="31" t="str">
        <f>IF(B40=Stand!B40,"S","H")</f>
        <v>H</v>
      </c>
      <c r="P40" s="31" t="str">
        <f>IF(C40=Stand!C40,"S","H")</f>
        <v>H</v>
      </c>
      <c r="Q40" s="31" t="str">
        <f>IF(D40=Stand!D40,"S","H")</f>
        <v>H</v>
      </c>
      <c r="R40" s="31" t="str">
        <f>IF(E40=Stand!E40,"S","H")</f>
        <v>H</v>
      </c>
      <c r="S40" s="31" t="str">
        <f>IF(F40=Stand!F40,"S","H")</f>
        <v>H</v>
      </c>
      <c r="T40" s="31" t="str">
        <f>IF(G40=Stand!G40,"S","H")</f>
        <v>H</v>
      </c>
      <c r="U40" s="31" t="str">
        <f>IF(H40=Stand!H40,"S","H")</f>
        <v>H</v>
      </c>
      <c r="V40" s="31" t="str">
        <f>IF(I40=Stand!I40,"S","H")</f>
        <v>H</v>
      </c>
      <c r="W40" s="31" t="str">
        <f>IF(J40=Stand!J40,"S","H")</f>
        <v>H</v>
      </c>
      <c r="X40" s="31" t="str">
        <f>IF(K40=Stand!K40,"S","H")</f>
        <v>H</v>
      </c>
    </row>
    <row r="41" spans="1:24" x14ac:dyDescent="0.2">
      <c r="A41">
        <v>18</v>
      </c>
      <c r="B41">
        <f>MAX(Hit!B41,Stand!B41)</f>
        <v>-9.2935491769284034E-2</v>
      </c>
      <c r="C41">
        <f>MAX(Hit!C41,Stand!C41)</f>
        <v>0.12174190222088771</v>
      </c>
      <c r="D41">
        <f>MAX(Hit!D41,Stand!D41)</f>
        <v>0.14830007284131119</v>
      </c>
      <c r="E41">
        <f>MAX(Hit!E41,Stand!E41)</f>
        <v>0.17585443719748528</v>
      </c>
      <c r="F41">
        <f>MAX(Hit!F41,Stand!F41)</f>
        <v>0.19956119497617719</v>
      </c>
      <c r="G41">
        <f>MAX(Hit!G41,Stand!G41)</f>
        <v>0.28344391604689856</v>
      </c>
      <c r="H41">
        <f>MAX(Hit!H41,Stand!H41)</f>
        <v>0.3995541673365518</v>
      </c>
      <c r="I41">
        <f>MAX(Hit!I41,Stand!I41)</f>
        <v>0.10595134861912359</v>
      </c>
      <c r="J41">
        <f>MAX(Hit!J41,Stand!J41)</f>
        <v>-0.10074430758041522</v>
      </c>
      <c r="K41">
        <f>MAX(Hit!K41,Stand!K41)</f>
        <v>-0.14380812317405353</v>
      </c>
      <c r="N41" s="31">
        <v>18</v>
      </c>
      <c r="O41" s="31" t="str">
        <f>IF(B41=Stand!B41,"S","H")</f>
        <v>H</v>
      </c>
      <c r="P41" s="31" t="str">
        <f>IF(C41=Stand!C41,"S","H")</f>
        <v>S</v>
      </c>
      <c r="Q41" s="31" t="str">
        <f>IF(D41=Stand!D41,"S","H")</f>
        <v>S</v>
      </c>
      <c r="R41" s="31" t="str">
        <f>IF(E41=Stand!E41,"S","H")</f>
        <v>S</v>
      </c>
      <c r="S41" s="31" t="str">
        <f>IF(F41=Stand!F41,"S","H")</f>
        <v>S</v>
      </c>
      <c r="T41" s="31" t="str">
        <f>IF(G41=Stand!G41,"S","H")</f>
        <v>S</v>
      </c>
      <c r="U41" s="31" t="str">
        <f>IF(H41=Stand!H41,"S","H")</f>
        <v>S</v>
      </c>
      <c r="V41" s="31" t="str">
        <f>IF(I41=Stand!I41,"S","H")</f>
        <v>S</v>
      </c>
      <c r="W41" s="31" t="str">
        <f>IF(J41=Stand!J41,"S","H")</f>
        <v>H</v>
      </c>
      <c r="X41" s="31" t="str">
        <f>IF(K41=Stand!K41,"S","H")</f>
        <v>H</v>
      </c>
    </row>
    <row r="42" spans="1:24" x14ac:dyDescent="0.2">
      <c r="A42">
        <v>19</v>
      </c>
      <c r="B42">
        <f>MAX(Hit!B42,Stand!B42)</f>
        <v>0.27763572376835594</v>
      </c>
      <c r="C42">
        <f>MAX(Hit!C42,Stand!C42)</f>
        <v>0.38630468602058993</v>
      </c>
      <c r="D42">
        <f>MAX(Hit!D42,Stand!D42)</f>
        <v>0.4043629365977599</v>
      </c>
      <c r="E42">
        <f>MAX(Hit!E42,Stand!E42)</f>
        <v>0.42317892482749653</v>
      </c>
      <c r="F42">
        <f>MAX(Hit!F42,Stand!F42)</f>
        <v>0.43951210416088371</v>
      </c>
      <c r="G42">
        <f>MAX(Hit!G42,Stand!G42)</f>
        <v>0.49597707378731914</v>
      </c>
      <c r="H42">
        <f>MAX(Hit!H42,Stand!H42)</f>
        <v>0.6159764957534315</v>
      </c>
      <c r="I42">
        <f>MAX(Hit!I42,Stand!I42)</f>
        <v>0.59385366828669439</v>
      </c>
      <c r="J42">
        <f>MAX(Hit!J42,Stand!J42)</f>
        <v>0.28759675706758148</v>
      </c>
      <c r="K42">
        <f>MAX(Hit!K42,Stand!K42)</f>
        <v>6.3118166335840831E-2</v>
      </c>
      <c r="N42" s="31">
        <v>19</v>
      </c>
      <c r="O42" s="31" t="str">
        <f>IF(B42=Stand!B42,"S","H")</f>
        <v>S</v>
      </c>
      <c r="P42" s="31" t="str">
        <f>IF(C42=Stand!C42,"S","H")</f>
        <v>S</v>
      </c>
      <c r="Q42" s="31" t="str">
        <f>IF(D42=Stand!D42,"S","H")</f>
        <v>S</v>
      </c>
      <c r="R42" s="31" t="str">
        <f>IF(E42=Stand!E42,"S","H")</f>
        <v>S</v>
      </c>
      <c r="S42" s="31" t="str">
        <f>IF(F42=Stand!F42,"S","H")</f>
        <v>S</v>
      </c>
      <c r="T42" s="31" t="str">
        <f>IF(G42=Stand!G42,"S","H")</f>
        <v>S</v>
      </c>
      <c r="U42" s="31" t="str">
        <f>IF(H42=Stand!H42,"S","H")</f>
        <v>S</v>
      </c>
      <c r="V42" s="31" t="str">
        <f>IF(I42=Stand!I42,"S","H")</f>
        <v>S</v>
      </c>
      <c r="W42" s="31" t="str">
        <f>IF(J42=Stand!J42,"S","H")</f>
        <v>S</v>
      </c>
      <c r="X42" s="31" t="str">
        <f>IF(K42=Stand!K42,"S","H")</f>
        <v>S</v>
      </c>
    </row>
    <row r="43" spans="1:24" x14ac:dyDescent="0.2">
      <c r="A43">
        <v>20</v>
      </c>
      <c r="B43">
        <f>MAX(Hit!B43,Stand!B43)</f>
        <v>0.65547032314990239</v>
      </c>
      <c r="C43">
        <f>MAX(Hit!C43,Stand!C43)</f>
        <v>0.63998657521683877</v>
      </c>
      <c r="D43">
        <f>MAX(Hit!D43,Stand!D43)</f>
        <v>0.65027209425148136</v>
      </c>
      <c r="E43">
        <f>MAX(Hit!E43,Stand!E43)</f>
        <v>0.66104996194807186</v>
      </c>
      <c r="F43">
        <f>MAX(Hit!F43,Stand!F43)</f>
        <v>0.67035969063279999</v>
      </c>
      <c r="G43">
        <f>MAX(Hit!G43,Stand!G43)</f>
        <v>0.70395857017134467</v>
      </c>
      <c r="H43">
        <f>MAX(Hit!H43,Stand!H43)</f>
        <v>0.77322722653717491</v>
      </c>
      <c r="I43">
        <f>MAX(Hit!I43,Stand!I43)</f>
        <v>0.79181515955189841</v>
      </c>
      <c r="J43">
        <f>MAX(Hit!J43,Stand!J43)</f>
        <v>0.75835687080859626</v>
      </c>
      <c r="K43">
        <f>MAX(Hit!K43,Stand!K43)</f>
        <v>0.55453756646817121</v>
      </c>
      <c r="N43" s="31">
        <v>20</v>
      </c>
      <c r="O43" s="31" t="str">
        <f>IF(B43=Stand!B43,"S","H")</f>
        <v>S</v>
      </c>
      <c r="P43" s="31" t="str">
        <f>IF(C43=Stand!C43,"S","H")</f>
        <v>S</v>
      </c>
      <c r="Q43" s="31" t="str">
        <f>IF(D43=Stand!D43,"S","H")</f>
        <v>S</v>
      </c>
      <c r="R43" s="31" t="str">
        <f>IF(E43=Stand!E43,"S","H")</f>
        <v>S</v>
      </c>
      <c r="S43" s="31" t="str">
        <f>IF(F43=Stand!F43,"S","H")</f>
        <v>S</v>
      </c>
      <c r="T43" s="31" t="str">
        <f>IF(G43=Stand!G43,"S","H")</f>
        <v>S</v>
      </c>
      <c r="U43" s="31" t="str">
        <f>IF(H43=Stand!H43,"S","H")</f>
        <v>S</v>
      </c>
      <c r="V43" s="31" t="str">
        <f>IF(I43=Stand!I43,"S","H")</f>
        <v>S</v>
      </c>
      <c r="W43" s="31" t="str">
        <f>IF(J43=Stand!J43,"S","H")</f>
        <v>S</v>
      </c>
      <c r="X43" s="31" t="str">
        <f>IF(K43=Stand!K43,"S","H")</f>
        <v>S</v>
      </c>
    </row>
    <row r="44" spans="1:24" x14ac:dyDescent="0.2">
      <c r="A44">
        <v>21</v>
      </c>
      <c r="B44">
        <f>MAX(Hit!B44,Stand!B44)</f>
        <v>0.92219381142033785</v>
      </c>
      <c r="C44">
        <f>MAX(Hit!C44,Stand!C44)</f>
        <v>0.88200651549403997</v>
      </c>
      <c r="D44">
        <f>MAX(Hit!D44,Stand!D44)</f>
        <v>0.88530035730174927</v>
      </c>
      <c r="E44">
        <f>MAX(Hit!E44,Stand!E44)</f>
        <v>0.88876729296591961</v>
      </c>
      <c r="F44">
        <f>MAX(Hit!F44,Stand!F44)</f>
        <v>0.89175382659528035</v>
      </c>
      <c r="G44">
        <f>MAX(Hit!G44,Stand!G44)</f>
        <v>0.90283674384257995</v>
      </c>
      <c r="H44">
        <f>MAX(Hit!H44,Stand!H44)</f>
        <v>0.92592629596452325</v>
      </c>
      <c r="I44">
        <f>MAX(Hit!I44,Stand!I44)</f>
        <v>0.93060505318396614</v>
      </c>
      <c r="J44">
        <f>MAX(Hit!J44,Stand!J44)</f>
        <v>0.93917615614724415</v>
      </c>
      <c r="K44">
        <f>MAX(Hit!K44,Stand!K44)</f>
        <v>0.96262363326716827</v>
      </c>
      <c r="N44" s="31">
        <v>21</v>
      </c>
      <c r="O44" s="31" t="str">
        <f>IF(B44=Stand!B44,"S","H")</f>
        <v>S</v>
      </c>
      <c r="P44" s="31" t="str">
        <f>IF(C44=Stand!C44,"S","H")</f>
        <v>S</v>
      </c>
      <c r="Q44" s="31" t="str">
        <f>IF(D44=Stand!D44,"S","H")</f>
        <v>S</v>
      </c>
      <c r="R44" s="31" t="str">
        <f>IF(E44=Stand!E44,"S","H")</f>
        <v>S</v>
      </c>
      <c r="S44" s="31" t="str">
        <f>IF(F44=Stand!F44,"S","H")</f>
        <v>S</v>
      </c>
      <c r="T44" s="31" t="str">
        <f>IF(G44=Stand!G44,"S","H")</f>
        <v>S</v>
      </c>
      <c r="U44" s="31" t="str">
        <f>IF(H44=Stand!H44,"S","H")</f>
        <v>S</v>
      </c>
      <c r="V44" s="31" t="str">
        <f>IF(I44=Stand!I44,"S","H")</f>
        <v>S</v>
      </c>
      <c r="W44" s="31" t="str">
        <f>IF(J44=Stand!J44,"S","H")</f>
        <v>S</v>
      </c>
      <c r="X44" s="31" t="str">
        <f>IF(K44=Stand!K44,"S","H")</f>
        <v>S</v>
      </c>
    </row>
    <row r="45" spans="1:24" x14ac:dyDescent="0.2">
      <c r="A45">
        <v>22</v>
      </c>
      <c r="B45">
        <f>MAX(Hit!B45,Stand!B45)</f>
        <v>-0.35054034044008009</v>
      </c>
      <c r="C45">
        <f>MAX(Hit!C45,Stand!C45)</f>
        <v>-0.25338998596663809</v>
      </c>
      <c r="D45">
        <f>MAX(Hit!D45,Stand!D45)</f>
        <v>-0.2336908997980866</v>
      </c>
      <c r="E45">
        <f>MAX(Hit!E45,Stand!E45)</f>
        <v>-0.21106310899491437</v>
      </c>
      <c r="F45">
        <f>MAX(Hit!F45,Stand!F45)</f>
        <v>-0.16719266083547524</v>
      </c>
      <c r="G45">
        <f>MAX(Hit!G45,Stand!G45)</f>
        <v>-0.1536990158300045</v>
      </c>
      <c r="H45">
        <f>MAX(Hit!H45,Stand!H45)</f>
        <v>-0.21284771451731424</v>
      </c>
      <c r="I45">
        <f>MAX(Hit!I45,Stand!I45)</f>
        <v>-0.27157480502428616</v>
      </c>
      <c r="J45">
        <f>MAX(Hit!J45,Stand!J45)</f>
        <v>-0.3400132806089356</v>
      </c>
      <c r="K45">
        <f>MAX(Hit!K45,Stand!K45)</f>
        <v>-0.38104299284808768</v>
      </c>
      <c r="N45" s="31">
        <v>22</v>
      </c>
      <c r="O45" s="31" t="str">
        <f>IF(B45=Stand!B45,"S","H")</f>
        <v>H</v>
      </c>
      <c r="P45" s="31" t="str">
        <f>IF(C45=Stand!C45,"S","H")</f>
        <v>H</v>
      </c>
      <c r="Q45" s="31" t="str">
        <f>IF(D45=Stand!D45,"S","H")</f>
        <v>H</v>
      </c>
      <c r="R45" s="31" t="str">
        <f>IF(E45=Stand!E45,"S","H")</f>
        <v>S</v>
      </c>
      <c r="S45" s="31" t="str">
        <f>IF(F45=Stand!F45,"S","H")</f>
        <v>S</v>
      </c>
      <c r="T45" s="31" t="str">
        <f>IF(G45=Stand!G45,"S","H")</f>
        <v>S</v>
      </c>
      <c r="U45" s="31" t="str">
        <f>IF(H45=Stand!H45,"S","H")</f>
        <v>H</v>
      </c>
      <c r="V45" s="31" t="str">
        <f>IF(I45=Stand!I45,"S","H")</f>
        <v>H</v>
      </c>
      <c r="W45" s="31" t="str">
        <f>IF(J45=Stand!J45,"S","H")</f>
        <v>H</v>
      </c>
      <c r="X45" s="31" t="str">
        <f>IF(K45=Stand!K45,"S","H")</f>
        <v>H</v>
      </c>
    </row>
    <row r="46" spans="1:24" x14ac:dyDescent="0.2">
      <c r="A46">
        <v>23</v>
      </c>
      <c r="B46">
        <f>MAX(Hit!B46,Stand!B46)</f>
        <v>-0.3969303161229315</v>
      </c>
      <c r="C46">
        <f>MAX(Hit!C46,Stand!C46)</f>
        <v>-0.29278372720927726</v>
      </c>
      <c r="D46">
        <f>MAX(Hit!D46,Stand!D46)</f>
        <v>-0.2522502292357135</v>
      </c>
      <c r="E46">
        <f>MAX(Hit!E46,Stand!E46)</f>
        <v>-0.21106310899491437</v>
      </c>
      <c r="F46">
        <f>MAX(Hit!F46,Stand!F46)</f>
        <v>-0.16719266083547524</v>
      </c>
      <c r="G46">
        <f>MAX(Hit!G46,Stand!G46)</f>
        <v>-0.1536990158300045</v>
      </c>
      <c r="H46">
        <f>MAX(Hit!H46,Stand!H46)</f>
        <v>-0.26907287776607752</v>
      </c>
      <c r="I46">
        <f>MAX(Hit!I46,Stand!I46)</f>
        <v>-0.32360517609397998</v>
      </c>
      <c r="J46">
        <f>MAX(Hit!J46,Stand!J46)</f>
        <v>-0.38715518913686875</v>
      </c>
      <c r="K46">
        <f>MAX(Hit!K46,Stand!K46)</f>
        <v>-0.42525420764465277</v>
      </c>
      <c r="N46" s="31">
        <v>23</v>
      </c>
      <c r="O46" s="31" t="str">
        <f>IF(B46=Stand!B46,"S","H")</f>
        <v>H</v>
      </c>
      <c r="P46" s="31" t="str">
        <f>IF(C46=Stand!C46,"S","H")</f>
        <v>S</v>
      </c>
      <c r="Q46" s="31" t="str">
        <f>IF(D46=Stand!D46,"S","H")</f>
        <v>S</v>
      </c>
      <c r="R46" s="31" t="str">
        <f>IF(E46=Stand!E46,"S","H")</f>
        <v>S</v>
      </c>
      <c r="S46" s="31" t="str">
        <f>IF(F46=Stand!F46,"S","H")</f>
        <v>S</v>
      </c>
      <c r="T46" s="31" t="str">
        <f>IF(G46=Stand!G46,"S","H")</f>
        <v>S</v>
      </c>
      <c r="U46" s="31" t="str">
        <f>IF(H46=Stand!H46,"S","H")</f>
        <v>H</v>
      </c>
      <c r="V46" s="31" t="str">
        <f>IF(I46=Stand!I46,"S","H")</f>
        <v>H</v>
      </c>
      <c r="W46" s="31" t="str">
        <f>IF(J46=Stand!J46,"S","H")</f>
        <v>H</v>
      </c>
      <c r="X46" s="31" t="str">
        <f>IF(K46=Stand!K46,"S","H")</f>
        <v>H</v>
      </c>
    </row>
    <row r="47" spans="1:24" x14ac:dyDescent="0.2">
      <c r="A47">
        <v>24</v>
      </c>
      <c r="B47">
        <f>MAX(Hit!B47,Stand!B47)</f>
        <v>-0.44000672211415065</v>
      </c>
      <c r="C47">
        <f>MAX(Hit!C47,Stand!C47)</f>
        <v>-0.29278372720927726</v>
      </c>
      <c r="D47">
        <f>MAX(Hit!D47,Stand!D47)</f>
        <v>-0.2522502292357135</v>
      </c>
      <c r="E47">
        <f>MAX(Hit!E47,Stand!E47)</f>
        <v>-0.21106310899491437</v>
      </c>
      <c r="F47">
        <f>MAX(Hit!F47,Stand!F47)</f>
        <v>-0.16719266083547524</v>
      </c>
      <c r="G47">
        <f>MAX(Hit!G47,Stand!G47)</f>
        <v>-0.1536990158300045</v>
      </c>
      <c r="H47">
        <f>MAX(Hit!H47,Stand!H47)</f>
        <v>-0.3212819579256434</v>
      </c>
      <c r="I47">
        <f>MAX(Hit!I47,Stand!I47)</f>
        <v>-0.37191909208726714</v>
      </c>
      <c r="J47">
        <f>MAX(Hit!J47,Stand!J47)</f>
        <v>-0.43092981848423528</v>
      </c>
      <c r="K47">
        <f>MAX(Hit!K47,Stand!K47)</f>
        <v>-0.46630747852717758</v>
      </c>
      <c r="N47" s="31">
        <v>24</v>
      </c>
      <c r="O47" s="31" t="str">
        <f>IF(B47=Stand!B47,"S","H")</f>
        <v>H</v>
      </c>
      <c r="P47" s="31" t="str">
        <f>IF(C47=Stand!C47,"S","H")</f>
        <v>S</v>
      </c>
      <c r="Q47" s="31" t="str">
        <f>IF(D47=Stand!D47,"S","H")</f>
        <v>S</v>
      </c>
      <c r="R47" s="31" t="str">
        <f>IF(E47=Stand!E47,"S","H")</f>
        <v>S</v>
      </c>
      <c r="S47" s="31" t="str">
        <f>IF(F47=Stand!F47,"S","H")</f>
        <v>S</v>
      </c>
      <c r="T47" s="31" t="str">
        <f>IF(G47=Stand!G47,"S","H")</f>
        <v>S</v>
      </c>
      <c r="U47" s="31" t="str">
        <f>IF(H47=Stand!H47,"S","H")</f>
        <v>H</v>
      </c>
      <c r="V47" s="31" t="str">
        <f>IF(I47=Stand!I47,"S","H")</f>
        <v>H</v>
      </c>
      <c r="W47" s="31" t="str">
        <f>IF(J47=Stand!J47,"S","H")</f>
        <v>H</v>
      </c>
      <c r="X47" s="31" t="str">
        <f>IF(K47=Stand!K47,"S","H")</f>
        <v>H</v>
      </c>
    </row>
    <row r="48" spans="1:24" x14ac:dyDescent="0.2">
      <c r="A48">
        <v>25</v>
      </c>
      <c r="B48">
        <f>MAX(Hit!B48,Stand!B48)</f>
        <v>-0.4800062419631399</v>
      </c>
      <c r="C48">
        <f>MAX(Hit!C48,Stand!C48)</f>
        <v>-0.29278372720927726</v>
      </c>
      <c r="D48">
        <f>MAX(Hit!D48,Stand!D48)</f>
        <v>-0.2522502292357135</v>
      </c>
      <c r="E48">
        <f>MAX(Hit!E48,Stand!E48)</f>
        <v>-0.21106310899491437</v>
      </c>
      <c r="F48">
        <f>MAX(Hit!F48,Stand!F48)</f>
        <v>-0.16719266083547524</v>
      </c>
      <c r="G48">
        <f>MAX(Hit!G48,Stand!G48)</f>
        <v>-0.1536990158300045</v>
      </c>
      <c r="H48">
        <f>MAX(Hit!H48,Stand!H48)</f>
        <v>-0.36976181807381175</v>
      </c>
      <c r="I48">
        <f>MAX(Hit!I48,Stand!I48)</f>
        <v>-0.41678201408103371</v>
      </c>
      <c r="J48">
        <f>MAX(Hit!J48,Stand!J48)</f>
        <v>-0.47157768859250415</v>
      </c>
      <c r="K48">
        <f>MAX(Hit!K48,Stand!K48)</f>
        <v>-0.5044283729180935</v>
      </c>
      <c r="N48" s="31">
        <v>25</v>
      </c>
      <c r="O48" s="31" t="str">
        <f>IF(B48=Stand!B48,"S","H")</f>
        <v>H</v>
      </c>
      <c r="P48" s="31" t="str">
        <f>IF(C48=Stand!C48,"S","H")</f>
        <v>S</v>
      </c>
      <c r="Q48" s="31" t="str">
        <f>IF(D48=Stand!D48,"S","H")</f>
        <v>S</v>
      </c>
      <c r="R48" s="31" t="str">
        <f>IF(E48=Stand!E48,"S","H")</f>
        <v>S</v>
      </c>
      <c r="S48" s="31" t="str">
        <f>IF(F48=Stand!F48,"S","H")</f>
        <v>S</v>
      </c>
      <c r="T48" s="31" t="str">
        <f>IF(G48=Stand!G48,"S","H")</f>
        <v>S</v>
      </c>
      <c r="U48" s="31" t="str">
        <f>IF(H48=Stand!H48,"S","H")</f>
        <v>H</v>
      </c>
      <c r="V48" s="31" t="str">
        <f>IF(I48=Stand!I48,"S","H")</f>
        <v>H</v>
      </c>
      <c r="W48" s="31" t="str">
        <f>IF(J48=Stand!J48,"S","H")</f>
        <v>H</v>
      </c>
      <c r="X48" s="31" t="str">
        <f>IF(K48=Stand!K48,"S","H")</f>
        <v>H</v>
      </c>
    </row>
    <row r="49" spans="1:24" x14ac:dyDescent="0.2">
      <c r="A49">
        <v>26</v>
      </c>
      <c r="B49">
        <f>MAX(Hit!B49,Stand!B49)</f>
        <v>-0.51714865325148707</v>
      </c>
      <c r="C49">
        <f>MAX(Hit!C49,Stand!C49)</f>
        <v>-0.29278372720927726</v>
      </c>
      <c r="D49">
        <f>MAX(Hit!D49,Stand!D49)</f>
        <v>-0.2522502292357135</v>
      </c>
      <c r="E49">
        <f>MAX(Hit!E49,Stand!E49)</f>
        <v>-0.21106310899491437</v>
      </c>
      <c r="F49">
        <f>MAX(Hit!F49,Stand!F49)</f>
        <v>-0.16719266083547524</v>
      </c>
      <c r="G49">
        <f>MAX(Hit!G49,Stand!G49)</f>
        <v>-0.1536990158300045</v>
      </c>
      <c r="H49">
        <f>MAX(Hit!H49,Stand!H49)</f>
        <v>-0.41477883106853947</v>
      </c>
      <c r="I49">
        <f>MAX(Hit!I49,Stand!I49)</f>
        <v>-0.45844044164667419</v>
      </c>
      <c r="J49">
        <f>MAX(Hit!J49,Stand!J49)</f>
        <v>-0.50932213940732529</v>
      </c>
      <c r="K49">
        <f>MAX(Hit!K49,Stand!K49)</f>
        <v>-0.53982634628108683</v>
      </c>
      <c r="N49" s="31">
        <v>26</v>
      </c>
      <c r="O49" s="31" t="str">
        <f>IF(B49=Stand!B49,"S","H")</f>
        <v>H</v>
      </c>
      <c r="P49" s="31" t="str">
        <f>IF(C49=Stand!C49,"S","H")</f>
        <v>S</v>
      </c>
      <c r="Q49" s="31" t="str">
        <f>IF(D49=Stand!D49,"S","H")</f>
        <v>S</v>
      </c>
      <c r="R49" s="31" t="str">
        <f>IF(E49=Stand!E49,"S","H")</f>
        <v>S</v>
      </c>
      <c r="S49" s="31" t="str">
        <f>IF(F49=Stand!F49,"S","H")</f>
        <v>S</v>
      </c>
      <c r="T49" s="31" t="str">
        <f>IF(G49=Stand!G49,"S","H")</f>
        <v>S</v>
      </c>
      <c r="U49" s="31" t="str">
        <f>IF(H49=Stand!H49,"S","H")</f>
        <v>H</v>
      </c>
      <c r="V49" s="31" t="str">
        <f>IF(I49=Stand!I49,"S","H")</f>
        <v>H</v>
      </c>
      <c r="W49" s="31" t="str">
        <f>IF(J49=Stand!J49,"S","H")</f>
        <v>H</v>
      </c>
      <c r="X49" s="31" t="str">
        <f>IF(K49=Stand!K49,"S","H")</f>
        <v>H</v>
      </c>
    </row>
    <row r="50" spans="1:24" x14ac:dyDescent="0.2">
      <c r="A50">
        <v>27</v>
      </c>
      <c r="B50">
        <f>MAX(Hit!B50,Stand!B50)</f>
        <v>-0.47803347499473703</v>
      </c>
      <c r="C50">
        <f>MAX(Hit!C50,Stand!C50)</f>
        <v>-0.15297458768154204</v>
      </c>
      <c r="D50">
        <f>MAX(Hit!D50,Stand!D50)</f>
        <v>-0.11721624142457365</v>
      </c>
      <c r="E50">
        <f>MAX(Hit!E50,Stand!E50)</f>
        <v>-8.0573373145316152E-2</v>
      </c>
      <c r="F50">
        <f>MAX(Hit!F50,Stand!F50)</f>
        <v>-4.4941375564924446E-2</v>
      </c>
      <c r="G50">
        <f>MAX(Hit!G50,Stand!G50)</f>
        <v>1.1739160673341853E-2</v>
      </c>
      <c r="H50">
        <f>MAX(Hit!H50,Stand!H50)</f>
        <v>-0.10680898948269468</v>
      </c>
      <c r="I50">
        <f>MAX(Hit!I50,Stand!I50)</f>
        <v>-0.38195097104844711</v>
      </c>
      <c r="J50">
        <f>MAX(Hit!J50,Stand!J50)</f>
        <v>-0.42315423964521737</v>
      </c>
      <c r="K50">
        <f>MAX(Hit!K50,Stand!K50)</f>
        <v>-0.41972063392881986</v>
      </c>
      <c r="N50" s="31">
        <v>27</v>
      </c>
      <c r="O50" s="31" t="str">
        <f>IF(B50=Stand!B50,"S","H")</f>
        <v>S</v>
      </c>
      <c r="P50" s="31" t="str">
        <f>IF(C50=Stand!C50,"S","H")</f>
        <v>S</v>
      </c>
      <c r="Q50" s="31" t="str">
        <f>IF(D50=Stand!D50,"S","H")</f>
        <v>S</v>
      </c>
      <c r="R50" s="31" t="str">
        <f>IF(E50=Stand!E50,"S","H")</f>
        <v>S</v>
      </c>
      <c r="S50" s="31" t="str">
        <f>IF(F50=Stand!F50,"S","H")</f>
        <v>S</v>
      </c>
      <c r="T50" s="31" t="str">
        <f>IF(G50=Stand!G50,"S","H")</f>
        <v>S</v>
      </c>
      <c r="U50" s="31" t="str">
        <f>IF(H50=Stand!H50,"S","H")</f>
        <v>S</v>
      </c>
      <c r="V50" s="31" t="str">
        <f>IF(I50=Stand!I50,"S","H")</f>
        <v>S</v>
      </c>
      <c r="W50" s="31" t="str">
        <f>IF(J50=Stand!J50,"S","H")</f>
        <v>S</v>
      </c>
      <c r="X50" s="31" t="str">
        <f>IF(K50=Stand!K50,"S","H")</f>
        <v>S</v>
      </c>
    </row>
    <row r="51" spans="1:24" x14ac:dyDescent="0.2">
      <c r="A51">
        <v>28</v>
      </c>
      <c r="B51">
        <f>MAX(Hit!B51,Stand!B51)</f>
        <v>-0.10019887561319057</v>
      </c>
      <c r="C51">
        <f>MAX(Hit!C51,Stand!C51)</f>
        <v>0.12174190222088771</v>
      </c>
      <c r="D51">
        <f>MAX(Hit!D51,Stand!D51)</f>
        <v>0.14830007284131119</v>
      </c>
      <c r="E51">
        <f>MAX(Hit!E51,Stand!E51)</f>
        <v>0.17585443719748528</v>
      </c>
      <c r="F51">
        <f>MAX(Hit!F51,Stand!F51)</f>
        <v>0.19956119497617719</v>
      </c>
      <c r="G51">
        <f>MAX(Hit!G51,Stand!G51)</f>
        <v>0.28344391604689856</v>
      </c>
      <c r="H51">
        <f>MAX(Hit!H51,Stand!H51)</f>
        <v>0.3995541673365518</v>
      </c>
      <c r="I51">
        <f>MAX(Hit!I51,Stand!I51)</f>
        <v>0.10595134861912359</v>
      </c>
      <c r="J51">
        <f>MAX(Hit!J51,Stand!J51)</f>
        <v>-0.18316335667343331</v>
      </c>
      <c r="K51">
        <f>MAX(Hit!K51,Stand!K51)</f>
        <v>-0.17830123379648949</v>
      </c>
      <c r="N51" s="31">
        <v>28</v>
      </c>
      <c r="O51" s="31" t="str">
        <f>IF(B51=Stand!B51,"S","H")</f>
        <v>S</v>
      </c>
      <c r="P51" s="31" t="str">
        <f>IF(C51=Stand!C51,"S","H")</f>
        <v>S</v>
      </c>
      <c r="Q51" s="31" t="str">
        <f>IF(D51=Stand!D51,"S","H")</f>
        <v>S</v>
      </c>
      <c r="R51" s="31" t="str">
        <f>IF(E51=Stand!E51,"S","H")</f>
        <v>S</v>
      </c>
      <c r="S51" s="31" t="str">
        <f>IF(F51=Stand!F51,"S","H")</f>
        <v>S</v>
      </c>
      <c r="T51" s="31" t="str">
        <f>IF(G51=Stand!G51,"S","H")</f>
        <v>S</v>
      </c>
      <c r="U51" s="31" t="str">
        <f>IF(H51=Stand!H51,"S","H")</f>
        <v>S</v>
      </c>
      <c r="V51" s="31" t="str">
        <f>IF(I51=Stand!I51,"S","H")</f>
        <v>S</v>
      </c>
      <c r="W51" s="31" t="str">
        <f>IF(J51=Stand!J51,"S","H")</f>
        <v>S</v>
      </c>
      <c r="X51" s="31" t="str">
        <f>IF(K51=Stand!K51,"S","H")</f>
        <v>S</v>
      </c>
    </row>
    <row r="52" spans="1:24" x14ac:dyDescent="0.2">
      <c r="A52">
        <v>29</v>
      </c>
      <c r="B52">
        <f>MAX(Hit!B52,Stand!B52)</f>
        <v>0.27763572376835594</v>
      </c>
      <c r="C52">
        <f>MAX(Hit!C52,Stand!C52)</f>
        <v>0.38630468602058993</v>
      </c>
      <c r="D52">
        <f>MAX(Hit!D52,Stand!D52)</f>
        <v>0.4043629365977599</v>
      </c>
      <c r="E52">
        <f>MAX(Hit!E52,Stand!E52)</f>
        <v>0.42317892482749653</v>
      </c>
      <c r="F52">
        <f>MAX(Hit!F52,Stand!F52)</f>
        <v>0.43951210416088371</v>
      </c>
      <c r="G52">
        <f>MAX(Hit!G52,Stand!G52)</f>
        <v>0.49597707378731914</v>
      </c>
      <c r="H52">
        <f>MAX(Hit!H52,Stand!H52)</f>
        <v>0.6159764957534315</v>
      </c>
      <c r="I52">
        <f>MAX(Hit!I52,Stand!I52)</f>
        <v>0.59385366828669439</v>
      </c>
      <c r="J52">
        <f>MAX(Hit!J52,Stand!J52)</f>
        <v>0.28759675706758148</v>
      </c>
      <c r="K52">
        <f>MAX(Hit!K52,Stand!K52)</f>
        <v>6.3118166335840831E-2</v>
      </c>
      <c r="N52" s="31">
        <v>29</v>
      </c>
      <c r="O52" s="31" t="str">
        <f>IF(B52=Stand!B52,"S","H")</f>
        <v>S</v>
      </c>
      <c r="P52" s="31" t="str">
        <f>IF(C52=Stand!C52,"S","H")</f>
        <v>S</v>
      </c>
      <c r="Q52" s="31" t="str">
        <f>IF(D52=Stand!D52,"S","H")</f>
        <v>S</v>
      </c>
      <c r="R52" s="31" t="str">
        <f>IF(E52=Stand!E52,"S","H")</f>
        <v>S</v>
      </c>
      <c r="S52" s="31" t="str">
        <f>IF(F52=Stand!F52,"S","H")</f>
        <v>S</v>
      </c>
      <c r="T52" s="31" t="str">
        <f>IF(G52=Stand!G52,"S","H")</f>
        <v>S</v>
      </c>
      <c r="U52" s="31" t="str">
        <f>IF(H52=Stand!H52,"S","H")</f>
        <v>S</v>
      </c>
      <c r="V52" s="31" t="str">
        <f>IF(I52=Stand!I52,"S","H")</f>
        <v>S</v>
      </c>
      <c r="W52" s="31" t="str">
        <f>IF(J52=Stand!J52,"S","H")</f>
        <v>S</v>
      </c>
      <c r="X52" s="31" t="str">
        <f>IF(K52=Stand!K52,"S","H")</f>
        <v>S</v>
      </c>
    </row>
    <row r="53" spans="1:24" x14ac:dyDescent="0.2">
      <c r="A53">
        <v>30</v>
      </c>
      <c r="B53">
        <f>MAX(Hit!B53,Stand!B53)</f>
        <v>0.65547032314990239</v>
      </c>
      <c r="C53">
        <f>MAX(Hit!C53,Stand!C53)</f>
        <v>0.63998657521683877</v>
      </c>
      <c r="D53">
        <f>MAX(Hit!D53,Stand!D53)</f>
        <v>0.65027209425148136</v>
      </c>
      <c r="E53">
        <f>MAX(Hit!E53,Stand!E53)</f>
        <v>0.66104996194807186</v>
      </c>
      <c r="F53">
        <f>MAX(Hit!F53,Stand!F53)</f>
        <v>0.67035969063279999</v>
      </c>
      <c r="G53">
        <f>MAX(Hit!G53,Stand!G53)</f>
        <v>0.70395857017134467</v>
      </c>
      <c r="H53">
        <f>MAX(Hit!H53,Stand!H53)</f>
        <v>0.77322722653717491</v>
      </c>
      <c r="I53">
        <f>MAX(Hit!I53,Stand!I53)</f>
        <v>0.79181515955189841</v>
      </c>
      <c r="J53">
        <f>MAX(Hit!J53,Stand!J53)</f>
        <v>0.75835687080859626</v>
      </c>
      <c r="K53">
        <f>MAX(Hit!K53,Stand!K53)</f>
        <v>0.55453756646817121</v>
      </c>
      <c r="N53" s="31">
        <v>30</v>
      </c>
      <c r="O53" s="31" t="str">
        <f>IF(B53=Stand!B53,"S","H")</f>
        <v>S</v>
      </c>
      <c r="P53" s="31" t="str">
        <f>IF(C53=Stand!C53,"S","H")</f>
        <v>S</v>
      </c>
      <c r="Q53" s="31" t="str">
        <f>IF(D53=Stand!D53,"S","H")</f>
        <v>S</v>
      </c>
      <c r="R53" s="31" t="str">
        <f>IF(E53=Stand!E53,"S","H")</f>
        <v>S</v>
      </c>
      <c r="S53" s="31" t="str">
        <f>IF(F53=Stand!F53,"S","H")</f>
        <v>S</v>
      </c>
      <c r="T53" s="31" t="str">
        <f>IF(G53=Stand!G53,"S","H")</f>
        <v>S</v>
      </c>
      <c r="U53" s="31" t="str">
        <f>IF(H53=Stand!H53,"S","H")</f>
        <v>S</v>
      </c>
      <c r="V53" s="31" t="str">
        <f>IF(I53=Stand!I53,"S","H")</f>
        <v>S</v>
      </c>
      <c r="W53" s="31" t="str">
        <f>IF(J53=Stand!J53,"S","H")</f>
        <v>S</v>
      </c>
      <c r="X53" s="31" t="str">
        <f>IF(K53=Stand!K53,"S","H")</f>
        <v>S</v>
      </c>
    </row>
    <row r="54" spans="1:24" x14ac:dyDescent="0.2">
      <c r="A54">
        <v>31</v>
      </c>
      <c r="B54">
        <f>MAX(Hit!B54,Stand!B54)</f>
        <v>0.92219381142033785</v>
      </c>
      <c r="C54">
        <f>MAX(Hit!C54,Stand!C54)</f>
        <v>0.88200651549403997</v>
      </c>
      <c r="D54">
        <f>MAX(Hit!D54,Stand!D54)</f>
        <v>0.88530035730174927</v>
      </c>
      <c r="E54">
        <f>MAX(Hit!E54,Stand!E54)</f>
        <v>0.88876729296591961</v>
      </c>
      <c r="F54">
        <f>MAX(Hit!F54,Stand!F54)</f>
        <v>0.89175382659528035</v>
      </c>
      <c r="G54">
        <f>MAX(Hit!G54,Stand!G54)</f>
        <v>0.90283674384257995</v>
      </c>
      <c r="H54">
        <f>MAX(Hit!H54,Stand!H54)</f>
        <v>0.92592629596452325</v>
      </c>
      <c r="I54">
        <f>MAX(Hit!I54,Stand!I54)</f>
        <v>0.93060505318396614</v>
      </c>
      <c r="J54">
        <f>MAX(Hit!J54,Stand!J54)</f>
        <v>0.93917615614724415</v>
      </c>
      <c r="K54">
        <f>MAX(Hit!K54,Stand!K54)</f>
        <v>0.96262363326716827</v>
      </c>
      <c r="N54" s="31">
        <v>31</v>
      </c>
      <c r="O54" s="31" t="str">
        <f>IF(B54=Stand!B54,"S","H")</f>
        <v>S</v>
      </c>
      <c r="P54" s="31" t="str">
        <f>IF(C54=Stand!C54,"S","H")</f>
        <v>S</v>
      </c>
      <c r="Q54" s="31" t="str">
        <f>IF(D54=Stand!D54,"S","H")</f>
        <v>S</v>
      </c>
      <c r="R54" s="31" t="str">
        <f>IF(E54=Stand!E54,"S","H")</f>
        <v>S</v>
      </c>
      <c r="S54" s="31" t="str">
        <f>IF(F54=Stand!F54,"S","H")</f>
        <v>S</v>
      </c>
      <c r="T54" s="31" t="str">
        <f>IF(G54=Stand!G54,"S","H")</f>
        <v>S</v>
      </c>
      <c r="U54" s="31" t="str">
        <f>IF(H54=Stand!H54,"S","H")</f>
        <v>S</v>
      </c>
      <c r="V54" s="31" t="str">
        <f>IF(I54=Stand!I54,"S","H")</f>
        <v>S</v>
      </c>
      <c r="W54" s="31" t="str">
        <f>IF(J54=Stand!J54,"S","H")</f>
        <v>S</v>
      </c>
      <c r="X54" s="31" t="str">
        <f>IF(K54=Stand!K54,"S","H")</f>
        <v>S</v>
      </c>
    </row>
  </sheetData>
  <sheetProtection sheet="1" objects="1" scenarios="1"/>
  <phoneticPr fontId="16" type="noConversion"/>
  <conditionalFormatting sqref="O2:X31">
    <cfRule type="containsText" dxfId="824" priority="5" operator="containsText" text="S">
      <formula>NOT(ISERROR(SEARCH("S",O2)))</formula>
    </cfRule>
    <cfRule type="containsText" dxfId="823" priority="6" operator="containsText" text="H">
      <formula>NOT(ISERROR(SEARCH("H",O2)))</formula>
    </cfRule>
  </conditionalFormatting>
  <conditionalFormatting sqref="O35:X54">
    <cfRule type="containsText" dxfId="822" priority="3" operator="containsText" text="S">
      <formula>NOT(ISERROR(SEARCH("S",O35)))</formula>
    </cfRule>
    <cfRule type="containsText" dxfId="821" priority="4" operator="containsText" text="H">
      <formula>NOT(ISERROR(SEARCH("H",O35)))</formula>
    </cfRule>
  </conditionalFormatting>
  <conditionalFormatting sqref="O34:X34">
    <cfRule type="containsText" dxfId="820" priority="1" operator="containsText" text="S">
      <formula>NOT(ISERROR(SEARCH("S",O34)))</formula>
    </cfRule>
    <cfRule type="containsText" dxfId="819" priority="2" operator="containsText" text="H">
      <formula>NOT(ISERROR(SEARCH("H",O34)))</formula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K54"/>
  <sheetViews>
    <sheetView workbookViewId="0">
      <selection activeCell="K9" sqref="K9"/>
    </sheetView>
  </sheetViews>
  <sheetFormatPr baseColWidth="10" defaultColWidth="8.83203125" defaultRowHeight="16" x14ac:dyDescent="0.2"/>
  <sheetData>
    <row r="1" spans="1:11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>
        <v>2</v>
      </c>
      <c r="B2">
        <f>IF(Rules!$B$6=Rules!$E$6,2*(SUM(Stand!B4:B11)+Rules!$B$5*Stand!B12+Stand!B36)/(9+Rules!$B$5),HS!B2)</f>
        <v>-1.3339015493710207</v>
      </c>
      <c r="C2">
        <f>IF(Rules!$B$6=Rules!$E$6,2*(SUM(Stand!C4:C11)+Rules!$B$5*Stand!C12+Stand!C36)/(9+Rules!$B$5),HS!C2)</f>
        <v>-0.58556745441855451</v>
      </c>
      <c r="D2">
        <f>IF(Rules!$B$6=Rules!$E$6,2*(SUM(Stand!D4:D11)+Rules!$B$5*Stand!D12+Stand!D36)/(9+Rules!$B$5),HS!D2)</f>
        <v>-0.5045004584714271</v>
      </c>
      <c r="E2">
        <f>IF(Rules!$B$6=Rules!$E$6,2*(SUM(Stand!E4:E11)+Rules!$B$5*Stand!E12+Stand!E36)/(9+Rules!$B$5),HS!E2)</f>
        <v>-0.42212621798982874</v>
      </c>
      <c r="F2">
        <f>IF(Rules!$B$6=Rules!$E$6,2*(SUM(Stand!F4:F11)+Rules!$B$5*Stand!F12+Stand!F36)/(9+Rules!$B$5),HS!F2)</f>
        <v>-0.33438532167095047</v>
      </c>
      <c r="G2">
        <f>IF(Rules!$B$6=Rules!$E$6,2*(SUM(Stand!G4:G11)+Rules!$B$5*Stand!G12+Stand!G36)/(9+Rules!$B$5),HS!G2)</f>
        <v>-0.30739803166000895</v>
      </c>
      <c r="H2">
        <f>IF(Rules!$B$6=Rules!$E$6,2*(SUM(Stand!H4:H11)+Rules!$B$5*Stand!H12+Stand!H36)/(9+Rules!$B$5),HS!H2)</f>
        <v>-0.95075036655386636</v>
      </c>
      <c r="I2">
        <f>IF(Rules!$B$6=Rules!$E$6,2*(SUM(Stand!I4:I11)+Rules!$B$5*Stand!I12+Stand!I36)/(9+Rules!$B$5),HS!I2)</f>
        <v>-1.0210350309952343</v>
      </c>
      <c r="J2">
        <f>IF(Rules!$B$6=Rules!$E$6,2*(SUM(Stand!J4:J11)+Rules!$B$5*Stand!J12+Stand!J36)/(9+Rules!$B$5),HS!J2)</f>
        <v>-1.0862993622622188</v>
      </c>
      <c r="K2">
        <f>IF(Rules!$B$6=Rules!$E$6,2*(SUM(Stand!K4:K11)+Rules!$B$5*Stand!K12+Stand!K36)/(9+Rules!$B$5),HS!K2)</f>
        <v>-1.0808606679899702</v>
      </c>
    </row>
    <row r="3" spans="1:11" x14ac:dyDescent="0.2">
      <c r="A3">
        <v>3</v>
      </c>
      <c r="B3">
        <f>IF(Rules!$B$6=Rules!$E$6,2*(SUM(Stand!B5:B12)+Rules!$B$5*Stand!B13+Stand!B37)/(9+Rules!$B$5),HS!B3)</f>
        <v>-1.3339015493710207</v>
      </c>
      <c r="C3">
        <f>IF(Rules!$B$6=Rules!$E$6,2*(SUM(Stand!C5:C12)+Rules!$B$5*Stand!C13+Stand!C37)/(9+Rules!$B$5),HS!C3)</f>
        <v>-0.58556745441855451</v>
      </c>
      <c r="D3">
        <f>IF(Rules!$B$6=Rules!$E$6,2*(SUM(Stand!D5:D12)+Rules!$B$5*Stand!D13+Stand!D37)/(9+Rules!$B$5),HS!D3)</f>
        <v>-0.5045004584714271</v>
      </c>
      <c r="E3">
        <f>IF(Rules!$B$6=Rules!$E$6,2*(SUM(Stand!E5:E12)+Rules!$B$5*Stand!E13+Stand!E37)/(9+Rules!$B$5),HS!E3)</f>
        <v>-0.42212621798982874</v>
      </c>
      <c r="F3">
        <f>IF(Rules!$B$6=Rules!$E$6,2*(SUM(Stand!F5:F12)+Rules!$B$5*Stand!F13+Stand!F37)/(9+Rules!$B$5),HS!F3)</f>
        <v>-0.33438532167095047</v>
      </c>
      <c r="G3">
        <f>IF(Rules!$B$6=Rules!$E$6,2*(SUM(Stand!G5:G12)+Rules!$B$5*Stand!G13+Stand!G37)/(9+Rules!$B$5),HS!G3)</f>
        <v>-0.30739803166000895</v>
      </c>
      <c r="H3">
        <f>IF(Rules!$B$6=Rules!$E$6,2*(SUM(Stand!H5:H12)+Rules!$B$5*Stand!H13+Stand!H37)/(9+Rules!$B$5),HS!H3)</f>
        <v>-0.95075036655386636</v>
      </c>
      <c r="I3">
        <f>IF(Rules!$B$6=Rules!$E$6,2*(SUM(Stand!I5:I12)+Rules!$B$5*Stand!I13+Stand!I37)/(9+Rules!$B$5),HS!I3)</f>
        <v>-1.0210350309952343</v>
      </c>
      <c r="J3">
        <f>IF(Rules!$B$6=Rules!$E$6,2*(SUM(Stand!J5:J12)+Rules!$B$5*Stand!J13+Stand!J37)/(9+Rules!$B$5),HS!J3)</f>
        <v>-1.0862993622622188</v>
      </c>
      <c r="K3">
        <f>IF(Rules!$B$6=Rules!$E$6,2*(SUM(Stand!K5:K12)+Rules!$B$5*Stand!K13+Stand!K37)/(9+Rules!$B$5),HS!K3)</f>
        <v>-1.0808606679899702</v>
      </c>
    </row>
    <row r="4" spans="1:11" x14ac:dyDescent="0.2">
      <c r="A4">
        <v>4</v>
      </c>
      <c r="B4">
        <f>IF(Rules!$B$6=Rules!$E$6,2*(SUM(Stand!B6:B13)+Rules!$B$5*Stand!B14+Stand!B38)/(9+Rules!$B$5),HS!B4)</f>
        <v>-1.3339015493710207</v>
      </c>
      <c r="C4">
        <f>IF(Rules!$B$6=Rules!$E$6,2*(SUM(Stand!C6:C13)+Rules!$B$5*Stand!C14+Stand!C38)/(9+Rules!$B$5),HS!C4)</f>
        <v>-0.58556745441855451</v>
      </c>
      <c r="D4">
        <f>IF(Rules!$B$6=Rules!$E$6,2*(SUM(Stand!D6:D13)+Rules!$B$5*Stand!D14+Stand!D38)/(9+Rules!$B$5),HS!D4)</f>
        <v>-0.5045004584714271</v>
      </c>
      <c r="E4">
        <f>IF(Rules!$B$6=Rules!$E$6,2*(SUM(Stand!E6:E13)+Rules!$B$5*Stand!E14+Stand!E38)/(9+Rules!$B$5),HS!E4)</f>
        <v>-0.42212621798982874</v>
      </c>
      <c r="F4">
        <f>IF(Rules!$B$6=Rules!$E$6,2*(SUM(Stand!F6:F13)+Rules!$B$5*Stand!F14+Stand!F38)/(9+Rules!$B$5),HS!F4)</f>
        <v>-0.33438532167095047</v>
      </c>
      <c r="G4">
        <f>IF(Rules!$B$6=Rules!$E$6,2*(SUM(Stand!G6:G13)+Rules!$B$5*Stand!G14+Stand!G38)/(9+Rules!$B$5),HS!G4)</f>
        <v>-0.30739803166000895</v>
      </c>
      <c r="H4">
        <f>IF(Rules!$B$6=Rules!$E$6,2*(SUM(Stand!H6:H13)+Rules!$B$5*Stand!H14+Stand!H38)/(9+Rules!$B$5),HS!H4)</f>
        <v>-0.95075036655386636</v>
      </c>
      <c r="I4">
        <f>IF(Rules!$B$6=Rules!$E$6,2*(SUM(Stand!I6:I13)+Rules!$B$5*Stand!I14+Stand!I38)/(9+Rules!$B$5),HS!I4)</f>
        <v>-1.0210350309952343</v>
      </c>
      <c r="J4">
        <f>IF(Rules!$B$6=Rules!$E$6,2*(SUM(Stand!J6:J13)+Rules!$B$5*Stand!J14+Stand!J38)/(9+Rules!$B$5),HS!J4)</f>
        <v>-1.0862993622622188</v>
      </c>
      <c r="K4">
        <f>IF(Rules!$B$6=Rules!$E$6,2*(SUM(Stand!K6:K13)+Rules!$B$5*Stand!K14+Stand!K38)/(9+Rules!$B$5),HS!K4)</f>
        <v>-1.0808606679899702</v>
      </c>
    </row>
    <row r="5" spans="1:11" x14ac:dyDescent="0.2">
      <c r="A5">
        <v>5</v>
      </c>
      <c r="B5">
        <f>IF(Rules!$B$6=Rules!$E$6,2*(SUM(Stand!B7:B14)+Rules!$B$5*Stand!B15+Stand!B39)/(9+Rules!$B$5),HS!B5)</f>
        <v>-1.3339015493710207</v>
      </c>
      <c r="C5">
        <f>IF(Rules!$B$6=Rules!$E$6,2*(SUM(Stand!C7:C14)+Rules!$B$5*Stand!C15+Stand!C39)/(9+Rules!$B$5),HS!C5)</f>
        <v>-0.58556745441855451</v>
      </c>
      <c r="D5">
        <f>IF(Rules!$B$6=Rules!$E$6,2*(SUM(Stand!D7:D14)+Rules!$B$5*Stand!D15+Stand!D39)/(9+Rules!$B$5),HS!D5)</f>
        <v>-0.5045004584714271</v>
      </c>
      <c r="E5">
        <f>IF(Rules!$B$6=Rules!$E$6,2*(SUM(Stand!E7:E14)+Rules!$B$5*Stand!E15+Stand!E39)/(9+Rules!$B$5),HS!E5)</f>
        <v>-0.42212621798982874</v>
      </c>
      <c r="F5">
        <f>IF(Rules!$B$6=Rules!$E$6,2*(SUM(Stand!F7:F14)+Rules!$B$5*Stand!F15+Stand!F39)/(9+Rules!$B$5),HS!F5)</f>
        <v>-0.33438532167095047</v>
      </c>
      <c r="G5">
        <f>IF(Rules!$B$6=Rules!$E$6,2*(SUM(Stand!G7:G14)+Rules!$B$5*Stand!G15+Stand!G39)/(9+Rules!$B$5),HS!G5)</f>
        <v>-0.30739803166000895</v>
      </c>
      <c r="H5">
        <f>IF(Rules!$B$6=Rules!$E$6,2*(SUM(Stand!H7:H14)+Rules!$B$5*Stand!H15+Stand!H39)/(9+Rules!$B$5),HS!H5)</f>
        <v>-0.95075036655386636</v>
      </c>
      <c r="I5">
        <f>IF(Rules!$B$6=Rules!$E$6,2*(SUM(Stand!I7:I14)+Rules!$B$5*Stand!I15+Stand!I39)/(9+Rules!$B$5),HS!I5)</f>
        <v>-1.0210350309952343</v>
      </c>
      <c r="J5">
        <f>IF(Rules!$B$6=Rules!$E$6,2*(SUM(Stand!J7:J14)+Rules!$B$5*Stand!J15+Stand!J39)/(9+Rules!$B$5),HS!J5)</f>
        <v>-1.0862993622622188</v>
      </c>
      <c r="K5">
        <f>IF(Rules!$B$6=Rules!$E$6,2*(SUM(Stand!K7:K14)+Rules!$B$5*Stand!K15+Stand!K39)/(9+Rules!$B$5),HS!K5)</f>
        <v>-1.0808606679899702</v>
      </c>
    </row>
    <row r="6" spans="1:11" x14ac:dyDescent="0.2">
      <c r="A6">
        <v>6</v>
      </c>
      <c r="B6">
        <f>IF(Rules!$B$6=Rules!$E$6,2*(SUM(Stand!B8:B15)+Rules!$B$5*Stand!B16+Stand!B40)/(9+Rules!$B$5),HS!B6)</f>
        <v>-1.3048373494185941</v>
      </c>
      <c r="C6">
        <f>IF(Rules!$B$6=Rules!$E$6,2*(SUM(Stand!C8:C15)+Rules!$B$5*Stand!C16+Stand!C40)/(9+Rules!$B$5),HS!C6)</f>
        <v>-0.56405835602967214</v>
      </c>
      <c r="D6">
        <f>IF(Rules!$B$6=Rules!$E$6,2*(SUM(Stand!D8:D15)+Rules!$B$5*Stand!D16+Stand!D40)/(9+Rules!$B$5),HS!D6)</f>
        <v>-0.4837259988081748</v>
      </c>
      <c r="E6">
        <f>IF(Rules!$B$6=Rules!$E$6,2*(SUM(Stand!E8:E15)+Rules!$B$5*Stand!E16+Stand!E40)/(9+Rules!$B$5),HS!E6)</f>
        <v>-0.40205087401296752</v>
      </c>
      <c r="F6">
        <f>IF(Rules!$B$6=Rules!$E$6,2*(SUM(Stand!F8:F15)+Rules!$B$5*Stand!F16+Stand!F40)/(9+Rules!$B$5),HS!F6)</f>
        <v>-0.31557743162932728</v>
      </c>
      <c r="G6">
        <f>IF(Rules!$B$6=Rules!$E$6,2*(SUM(Stand!G8:G15)+Rules!$B$5*Stand!G16+Stand!G40)/(9+Rules!$B$5),HS!G6)</f>
        <v>-0.281946004505648</v>
      </c>
      <c r="H6">
        <f>IF(Rules!$B$6=Rules!$E$6,2*(SUM(Stand!H8:H15)+Rules!$B$5*Stand!H16+Stand!H40)/(9+Rules!$B$5),HS!H6)</f>
        <v>-0.89404787520090667</v>
      </c>
      <c r="I6">
        <f>IF(Rules!$B$6=Rules!$E$6,2*(SUM(Stand!I8:I15)+Rules!$B$5*Stand!I16+Stand!I40)/(9+Rules!$B$5),HS!I6)</f>
        <v>-1.001255562618439</v>
      </c>
      <c r="J6">
        <f>IF(Rules!$B$6=Rules!$E$6,2*(SUM(Stand!J8:J15)+Rules!$B$5*Stand!J16+Stand!J40)/(9+Rules!$B$5),HS!J6)</f>
        <v>-1.0678385251105431</v>
      </c>
      <c r="K6">
        <f>IF(Rules!$B$6=Rules!$E$6,2*(SUM(Stand!K8:K15)+Rules!$B$5*Stand!K16+Stand!K40)/(9+Rules!$B$5),HS!K6)</f>
        <v>-1.0622899449028678</v>
      </c>
    </row>
    <row r="7" spans="1:11" x14ac:dyDescent="0.2">
      <c r="A7">
        <v>7</v>
      </c>
      <c r="B7">
        <f>IF(Rules!$B$6=Rules!$E$6,2*(SUM(Stand!B9:B16)+Rules!$B$5*Stand!B17+Stand!B41)/(9+Rules!$B$5),HS!B7)</f>
        <v>-1.1304521497040341</v>
      </c>
      <c r="C7">
        <f>IF(Rules!$B$6=Rules!$E$6,2*(SUM(Stand!C9:C16)+Rules!$B$5*Stand!C17+Stand!C41)/(9+Rules!$B$5),HS!C7)</f>
        <v>-0.43575788710453822</v>
      </c>
      <c r="D7">
        <f>IF(Rules!$B$6=Rules!$E$6,2*(SUM(Stand!D9:D16)+Rules!$B$5*Stand!D17+Stand!D41)/(9+Rules!$B$5),HS!D7)</f>
        <v>-0.35977949642195262</v>
      </c>
      <c r="E7">
        <f>IF(Rules!$B$6=Rules!$E$6,2*(SUM(Stand!E9:E16)+Rules!$B$5*Stand!E17+Stand!E41)/(9+Rules!$B$5),HS!E7)</f>
        <v>-0.28229906574509145</v>
      </c>
      <c r="F7">
        <f>IF(Rules!$B$6=Rules!$E$6,2*(SUM(Stand!F9:F16)+Rules!$B$5*Stand!F17+Stand!F41)/(9+Rules!$B$5),HS!F7)</f>
        <v>-0.20273009137958806</v>
      </c>
      <c r="G7">
        <f>IF(Rules!$B$6=Rules!$E$6,2*(SUM(Stand!G9:G16)+Rules!$B$5*Stand!G17+Stand!G41)/(9+Rules!$B$5),HS!G7)</f>
        <v>-0.13833716429227227</v>
      </c>
      <c r="H7">
        <f>IF(Rules!$B$6=Rules!$E$6,2*(SUM(Stand!H9:H16)+Rules!$B$5*Stand!H17+Stand!H41)/(9+Rules!$B$5),HS!H7)</f>
        <v>-0.58933588566302952</v>
      </c>
      <c r="I7">
        <f>IF(Rules!$B$6=Rules!$E$6,2*(SUM(Stand!I9:I16)+Rules!$B$5*Stand!I17+Stand!I41)/(9+Rules!$B$5),HS!I7)</f>
        <v>-0.84707579377778497</v>
      </c>
      <c r="J7">
        <f>IF(Rules!$B$6=Rules!$E$6,2*(SUM(Stand!J9:J16)+Rules!$B$5*Stand!J17+Stand!J41)/(9+Rules!$B$5),HS!J7)</f>
        <v>-0.95707350220048881</v>
      </c>
      <c r="K7">
        <f>IF(Rules!$B$6=Rules!$E$6,2*(SUM(Stand!K9:K16)+Rules!$B$5*Stand!K17+Stand!K41)/(9+Rules!$B$5),HS!K7)</f>
        <v>-0.95086560638025364</v>
      </c>
    </row>
    <row r="8" spans="1:11" x14ac:dyDescent="0.2">
      <c r="A8">
        <v>8</v>
      </c>
      <c r="B8">
        <f>IF(Rules!$B$6=Rules!$E$6,2*(SUM(Stand!B10:B17)+Rules!$B$5*Stand!B18+Stand!B42)/(9+Rules!$B$5),HS!B8)</f>
        <v>-0.81074595022734097</v>
      </c>
      <c r="C8">
        <f>IF(Rules!$B$6=Rules!$E$6,2*(SUM(Stand!C10:C17)+Rules!$B$5*Stand!C18+Stand!C42)/(9+Rules!$B$5),HS!C8)</f>
        <v>-0.20449052049882185</v>
      </c>
      <c r="D8">
        <f>IF(Rules!$B$6=Rules!$E$6,2*(SUM(Stand!D10:D17)+Rules!$B$5*Stand!D18+Stand!D42)/(9+Rules!$B$5),HS!D8)</f>
        <v>-0.13621609509408675</v>
      </c>
      <c r="E8">
        <f>IF(Rules!$B$6=Rules!$E$6,2*(SUM(Stand!E10:E17)+Rules!$B$5*Stand!E18+Stand!E42)/(9+Rules!$B$5),HS!E8)</f>
        <v>-6.6372071152658363E-2</v>
      </c>
      <c r="F8">
        <f>IF(Rules!$B$6=Rules!$E$6,2*(SUM(Stand!F10:F17)+Rules!$B$5*Stand!F18+Stand!F42)/(9+Rules!$B$5),HS!F8)</f>
        <v>3.456443484975604E-3</v>
      </c>
      <c r="G8">
        <f>IF(Rules!$B$6=Rules!$E$6,2*(SUM(Stand!G10:G17)+Rules!$B$5*Stand!G18+Stand!G42)/(9+Rules!$B$5),HS!G8)</f>
        <v>8.7015198128957527E-2</v>
      </c>
      <c r="H8">
        <f>IF(Rules!$B$6=Rules!$E$6,2*(SUM(Stand!H10:H17)+Rules!$B$5*Stand!H18+Stand!H42)/(9+Rules!$B$5),HS!H8)</f>
        <v>-0.18772955497255212</v>
      </c>
      <c r="I8">
        <f>IF(Rules!$B$6=Rules!$E$6,2*(SUM(Stand!I10:I17)+Rules!$B$5*Stand!I18+Stand!I42)/(9+Rules!$B$5),HS!I8)</f>
        <v>-0.45198684873362743</v>
      </c>
      <c r="J8">
        <f>IF(Rules!$B$6=Rules!$E$6,2*(SUM(Stand!J10:J17)+Rules!$B$5*Stand!J18+Stand!J42)/(9+Rules!$B$5),HS!J8)</f>
        <v>-0.7185013349521745</v>
      </c>
      <c r="K8">
        <f>IF(Rules!$B$6=Rules!$E$6,2*(SUM(Stand!K10:K17)+Rules!$B$5*Stand!K18+Stand!K42)/(9+Rules!$B$5),HS!K8)</f>
        <v>-0.7465876524221281</v>
      </c>
    </row>
    <row r="9" spans="1:11" x14ac:dyDescent="0.2">
      <c r="A9">
        <v>9</v>
      </c>
      <c r="B9">
        <f>2*(SUM(Stand!B11:B18)+Rules!$B$5*Stand!B19+Stand!B43)/(9+Rules!$B$5)</f>
        <v>-0.4329113508457943</v>
      </c>
      <c r="C9">
        <f>2*(SUM(Stand!C11:C18)+Rules!$B$5*Stand!C19+Stand!C43)/(9+Rules!$B$5)</f>
        <v>6.1118503166597012E-2</v>
      </c>
      <c r="D9">
        <f>2*(SUM(Stand!D11:D18)+Rules!$B$5*Stand!D19+Stand!D43)/(9+Rules!$B$5)</f>
        <v>0.12081635332999649</v>
      </c>
      <c r="E9">
        <f>2*(SUM(Stand!E11:E18)+Rules!$B$5*Stand!E19+Stand!E43)/(9+Rules!$B$5)</f>
        <v>0.18194893405242166</v>
      </c>
      <c r="F9">
        <f>2*(SUM(Stand!F11:F18)+Rules!$B$5*Stand!F19+Stand!F43)/(9+Rules!$B$5)</f>
        <v>0.24305722487303633</v>
      </c>
      <c r="G9">
        <f>2*(SUM(Stand!G11:G18)+Rules!$B$5*Stand!G19+Stand!G43)/(9+Rules!$B$5)</f>
        <v>0.31705474570166692</v>
      </c>
      <c r="H9">
        <f>2*(SUM(Stand!H11:H18)+Rules!$B$5*Stand!H19+Stand!H43)/(9+Rules!$B$5)</f>
        <v>0.10425035196048602</v>
      </c>
      <c r="I9">
        <f>2*(SUM(Stand!I11:I18)+Rules!$B$5*Stand!I19+Stand!I43)/(9+Rules!$B$5)</f>
        <v>-2.6442289648669331E-2</v>
      </c>
      <c r="J9">
        <f>2*(SUM(Stand!J11:J18)+Rules!$B$5*Stand!J19+Stand!J43)/(9+Rules!$B$5)</f>
        <v>-0.30099565908098225</v>
      </c>
      <c r="K9">
        <f>2*(SUM(Stand!K11:K18)+Rules!$B$5*Stand!K19+Stand!K43)/(9+Rules!$B$5)</f>
        <v>-0.46670671382825923</v>
      </c>
    </row>
    <row r="10" spans="1:11" x14ac:dyDescent="0.2">
      <c r="A10">
        <v>10</v>
      </c>
      <c r="B10">
        <f>2*(SUM(Stand!B12:B19)+Rules!$B$5*Stand!B20+Stand!B44)/(9+Rules!$B$5)</f>
        <v>-1.4042368653411651E-2</v>
      </c>
      <c r="C10">
        <f>2*(SUM(Stand!C12:C19)+Rules!$B$5*Stand!C20+Stand!C44)/(9+Rules!$B$5)</f>
        <v>0.3589394124422991</v>
      </c>
      <c r="D10">
        <f>2*(SUM(Stand!D12:D19)+Rules!$B$5*Stand!D20+Stand!D44)/(9+Rules!$B$5)</f>
        <v>0.40932067017593915</v>
      </c>
      <c r="E10">
        <f>2*(SUM(Stand!E12:E19)+Rules!$B$5*Stand!E20+Stand!E44)/(9+Rules!$B$5)</f>
        <v>0.460940243794354</v>
      </c>
      <c r="F10">
        <f>2*(SUM(Stand!F12:F19)+Rules!$B$5*Stand!F20+Stand!F44)/(9+Rules!$B$5)</f>
        <v>0.51251710900326775</v>
      </c>
      <c r="G10">
        <f>2*(SUM(Stand!G12:G19)+Rules!$B$5*Stand!G20+Stand!G44)/(9+Rules!$B$5)</f>
        <v>0.57559016859776857</v>
      </c>
      <c r="H10">
        <f>2*(SUM(Stand!H12:H19)+Rules!$B$5*Stand!H20+Stand!H44)/(9+Rules!$B$5)</f>
        <v>0.39241245528243773</v>
      </c>
      <c r="I10">
        <f>2*(SUM(Stand!I12:I19)+Rules!$B$5*Stand!I20+Stand!I44)/(9+Rules!$B$5)</f>
        <v>0.28663571688628381</v>
      </c>
      <c r="J10">
        <f>2*(SUM(Stand!J12:J19)+Rules!$B$5*Stand!J20+Stand!J44)/(9+Rules!$B$5)</f>
        <v>0.1443283683807712</v>
      </c>
      <c r="K10">
        <f>2*(SUM(Stand!K12:K19)+Rules!$B$5*Stand!K20+Stand!K44)/(9+Rules!$B$5)</f>
        <v>-8.6586880345447086E-3</v>
      </c>
    </row>
    <row r="11" spans="1:11" x14ac:dyDescent="0.2">
      <c r="A11">
        <v>11</v>
      </c>
      <c r="B11">
        <f>2*(SUM(Stand!B13:B20)+Rules!$B$5*Stand!B21+Stand!B45)/(9+Rules!$B$5)</f>
        <v>0.10906077977909699</v>
      </c>
      <c r="C11">
        <f>2*(SUM(Stand!C13:C20)+Rules!$B$5*Stand!C21+Stand!C45)/(9+Rules!$B$5)</f>
        <v>0.47064092333946889</v>
      </c>
      <c r="D11">
        <f>2*(SUM(Stand!D13:D20)+Rules!$B$5*Stand!D21+Stand!D45)/(9+Rules!$B$5)</f>
        <v>0.51779525312221675</v>
      </c>
      <c r="E11">
        <f>2*(SUM(Stand!E13:E20)+Rules!$B$5*Stand!E21+Stand!E45)/(9+Rules!$B$5)</f>
        <v>0.56604055041797607</v>
      </c>
      <c r="F11">
        <f>2*(SUM(Stand!F13:F20)+Rules!$B$5*Stand!F21+Stand!F45)/(9+Rules!$B$5)</f>
        <v>0.61469901790902803</v>
      </c>
      <c r="G11">
        <f>2*(SUM(Stand!G13:G20)+Rules!$B$5*Stand!G21+Stand!G45)/(9+Rules!$B$5)</f>
        <v>0.66738009490756944</v>
      </c>
      <c r="H11">
        <f>2*(SUM(Stand!H13:H20)+Rules!$B$5*Stand!H21+Stand!H45)/(9+Rules!$B$5)</f>
        <v>0.46288894886429077</v>
      </c>
      <c r="I11">
        <f>2*(SUM(Stand!I13:I20)+Rules!$B$5*Stand!I21+Stand!I45)/(9+Rules!$B$5)</f>
        <v>0.35069259087031501</v>
      </c>
      <c r="J11">
        <f>2*(SUM(Stand!J13:J20)+Rules!$B$5*Stand!J21+Stand!J45)/(9+Rules!$B$5)</f>
        <v>0.22778342315245487</v>
      </c>
      <c r="K11">
        <f>2*(SUM(Stand!K13:K20)+Rules!$B$5*Stand!K21+Stand!K45)/(9+Rules!$B$5)</f>
        <v>0.1796887274111463</v>
      </c>
    </row>
    <row r="12" spans="1:11" x14ac:dyDescent="0.2">
      <c r="A12">
        <v>12</v>
      </c>
      <c r="B12">
        <f>IF(Rules!$B$6=Rules!$E$6,2*(SUM(Stand!B14:B21)+Rules!$B$5*Stand!B22+Stand!B46)/(9+Rules!$B$5),HS!B12)</f>
        <v>-0.82934393707867271</v>
      </c>
      <c r="C12">
        <f>IF(Rules!$B$6=Rules!$E$6,2*(SUM(Stand!C14:C21)+Rules!$B$5*Stand!C22+Stand!C46)/(9+Rules!$B$5),HS!C12)</f>
        <v>-0.50677997193327606</v>
      </c>
      <c r="D12">
        <f>IF(Rules!$B$6=Rules!$E$6,2*(SUM(Stand!D14:D21)+Rules!$B$5*Stand!D22+Stand!D46)/(9+Rules!$B$5),HS!D12)</f>
        <v>-0.46738179959617321</v>
      </c>
      <c r="E12">
        <f>IF(Rules!$B$6=Rules!$E$6,2*(SUM(Stand!E14:E21)+Rules!$B$5*Stand!E22+Stand!E46)/(9+Rules!$B$5),HS!E12)</f>
        <v>-0.4270731064901539</v>
      </c>
      <c r="F12">
        <f>IF(Rules!$B$6=Rules!$E$6,2*(SUM(Stand!F14:F21)+Rules!$B$5*Stand!F22+Stand!F46)/(9+Rules!$B$5),HS!F12)</f>
        <v>-0.38654233885256678</v>
      </c>
      <c r="G12">
        <f>IF(Rules!$B$6=Rules!$E$6,2*(SUM(Stand!G14:G21)+Rules!$B$5*Stand!G22+Stand!G46)/(9+Rules!$B$5),HS!G12)</f>
        <v>-0.34105239981515906</v>
      </c>
      <c r="H12">
        <f>IF(Rules!$B$6=Rules!$E$6,2*(SUM(Stand!H14:H21)+Rules!$B$5*Stand!H22+Stand!H46)/(9+Rules!$B$5),HS!H12)</f>
        <v>-0.50671162107673018</v>
      </c>
      <c r="I12">
        <f>IF(Rules!$B$6=Rules!$E$6,2*(SUM(Stand!I14:I21)+Rules!$B$5*Stand!I22+Stand!I46)/(9+Rules!$B$5),HS!I12)</f>
        <v>-0.61566089283034364</v>
      </c>
      <c r="J12">
        <f>IF(Rules!$B$6=Rules!$E$6,2*(SUM(Stand!J14:J21)+Rules!$B$5*Stand!J22+Stand!J46)/(9+Rules!$B$5),HS!J12)</f>
        <v>-0.73750562104917949</v>
      </c>
      <c r="K12">
        <f>IF(Rules!$B$6=Rules!$E$6,2*(SUM(Stand!K14:K21)+Rules!$B$5*Stand!K22+Stand!K46)/(9+Rules!$B$5),HS!K12)</f>
        <v>-0.79684059040524136</v>
      </c>
    </row>
    <row r="13" spans="1:11" x14ac:dyDescent="0.2">
      <c r="A13">
        <v>13</v>
      </c>
      <c r="B13">
        <f>IF(Rules!$B$6=Rules!$E$6,2*(SUM(Stand!B15:B22)+Rules!$B$5*Stand!B23+Stand!B47)/(9+Rules!$B$5),HS!B13)</f>
        <v>-0.88058227943474798</v>
      </c>
      <c r="C13">
        <f>IF(Rules!$B$6=Rules!$E$6,2*(SUM(Stand!C15:C22)+Rules!$B$5*Stand!C23+Stand!C47)/(9+Rules!$B$5),HS!C13)</f>
        <v>-0.61558247543954125</v>
      </c>
      <c r="D13">
        <f>IF(Rules!$B$6=Rules!$E$6,2*(SUM(Stand!D15:D22)+Rules!$B$5*Stand!D23+Stand!D47)/(9+Rules!$B$5),HS!D13)</f>
        <v>-0.58242022586760189</v>
      </c>
      <c r="E13">
        <f>IF(Rules!$B$6=Rules!$E$6,2*(SUM(Stand!E15:E22)+Rules!$B$5*Stand!E23+Stand!E47)/(9+Rules!$B$5),HS!E13)</f>
        <v>-0.54844801279862854</v>
      </c>
      <c r="F13">
        <f>IF(Rules!$B$6=Rules!$E$6,2*(SUM(Stand!F15:F22)+Rules!$B$5*Stand!F23+Stand!F47)/(9+Rules!$B$5),HS!F13)</f>
        <v>-0.51466654487787822</v>
      </c>
      <c r="G13">
        <f>IF(Rules!$B$6=Rules!$E$6,2*(SUM(Stand!G15:G22)+Rules!$B$5*Stand!G23+Stand!G47)/(9+Rules!$B$5),HS!G13)</f>
        <v>-0.47125255122592757</v>
      </c>
      <c r="H13">
        <f>IF(Rules!$B$6=Rules!$E$6,2*(SUM(Stand!H15:H22)+Rules!$B$5*Stand!H23+Stand!H47)/(9+Rules!$B$5),HS!H13)</f>
        <v>-0.58742313134181745</v>
      </c>
      <c r="I13">
        <f>IF(Rules!$B$6=Rules!$E$6,2*(SUM(Stand!I15:I22)+Rules!$B$5*Stand!I23+Stand!I47)/(9+Rules!$B$5),HS!I13)</f>
        <v>-0.6909658904460948</v>
      </c>
      <c r="J13">
        <f>IF(Rules!$B$6=Rules!$E$6,2*(SUM(Stand!J15:J22)+Rules!$B$5*Stand!J23+Stand!J47)/(9+Rules!$B$5),HS!J13)</f>
        <v>-0.80779028549054732</v>
      </c>
      <c r="K13">
        <f>IF(Rules!$B$6=Rules!$E$6,2*(SUM(Stand!K15:K22)+Rules!$B$5*Stand!K23+Stand!K47)/(9+Rules!$B$5),HS!K13)</f>
        <v>-0.86754361594447438</v>
      </c>
    </row>
    <row r="14" spans="1:11" x14ac:dyDescent="0.2">
      <c r="A14">
        <v>14</v>
      </c>
      <c r="B14">
        <f>IF(Rules!$B$6=Rules!$E$6,2*(SUM(Stand!B16:B23)+Rules!$B$5*Stand!B24+Stand!B48)/(9+Rules!$B$5),HS!B14)</f>
        <v>-0.93182062179082337</v>
      </c>
      <c r="C14">
        <f>IF(Rules!$B$6=Rules!$E$6,2*(SUM(Stand!C16:C23)+Rules!$B$5*Stand!C24+Stand!C48)/(9+Rules!$B$5),HS!C14)</f>
        <v>-0.72438497894580622</v>
      </c>
      <c r="D14">
        <f>IF(Rules!$B$6=Rules!$E$6,2*(SUM(Stand!D16:D23)+Rules!$B$5*Stand!D24+Stand!D48)/(9+Rules!$B$5),HS!D14)</f>
        <v>-0.69745865213903058</v>
      </c>
      <c r="E14">
        <f>IF(Rules!$B$6=Rules!$E$6,2*(SUM(Stand!E16:E23)+Rules!$B$5*Stand!E24+Stand!E48)/(9+Rules!$B$5),HS!E14)</f>
        <v>-0.66982291910710334</v>
      </c>
      <c r="F14">
        <f>IF(Rules!$B$6=Rules!$E$6,2*(SUM(Stand!F16:F23)+Rules!$B$5*Stand!F24+Stand!F48)/(9+Rules!$B$5),HS!F14)</f>
        <v>-0.64279075090318982</v>
      </c>
      <c r="G14">
        <f>IF(Rules!$B$6=Rules!$E$6,2*(SUM(Stand!G16:G23)+Rules!$B$5*Stand!G24+Stand!G48)/(9+Rules!$B$5),HS!G14)</f>
        <v>-0.60145270263669615</v>
      </c>
      <c r="H14">
        <f>IF(Rules!$B$6=Rules!$E$6,2*(SUM(Stand!H16:H23)+Rules!$B$5*Stand!H24+Stand!H48)/(9+Rules!$B$5),HS!H14)</f>
        <v>-0.66813464160690461</v>
      </c>
      <c r="I14">
        <f>IF(Rules!$B$6=Rules!$E$6,2*(SUM(Stand!I16:I23)+Rules!$B$5*Stand!I24+Stand!I48)/(9+Rules!$B$5),HS!I14)</f>
        <v>-0.76627088806184607</v>
      </c>
      <c r="J14">
        <f>IF(Rules!$B$6=Rules!$E$6,2*(SUM(Stand!J16:J23)+Rules!$B$5*Stand!J24+Stand!J48)/(9+Rules!$B$5),HS!J14)</f>
        <v>-0.87807494993191493</v>
      </c>
      <c r="K14">
        <f>IF(Rules!$B$6=Rules!$E$6,2*(SUM(Stand!K16:K23)+Rules!$B$5*Stand!K24+Stand!K48)/(9+Rules!$B$5),HS!K14)</f>
        <v>-0.93824664148370751</v>
      </c>
    </row>
    <row r="15" spans="1:11" x14ac:dyDescent="0.2">
      <c r="A15">
        <v>15</v>
      </c>
      <c r="B15">
        <f>IF(Rules!$B$6=Rules!$E$6,2*(SUM(Stand!B17:B24)+Rules!$B$5*Stand!B25+Stand!B49)/(9+Rules!$B$5),HS!B15)</f>
        <v>-0.98305896414689875</v>
      </c>
      <c r="C15">
        <f>IF(Rules!$B$6=Rules!$E$6,2*(SUM(Stand!C17:C24)+Rules!$B$5*Stand!C25+Stand!C49)/(9+Rules!$B$5),HS!C15)</f>
        <v>-0.83318748245207119</v>
      </c>
      <c r="D15">
        <f>IF(Rules!$B$6=Rules!$E$6,2*(SUM(Stand!D17:D24)+Rules!$B$5*Stand!D25+Stand!D49)/(9+Rules!$B$5),HS!D15)</f>
        <v>-0.81249707841045926</v>
      </c>
      <c r="E15">
        <f>IF(Rules!$B$6=Rules!$E$6,2*(SUM(Stand!E17:E24)+Rules!$B$5*Stand!E25+Stand!E49)/(9+Rules!$B$5),HS!E15)</f>
        <v>-0.79119782541557804</v>
      </c>
      <c r="F15">
        <f>IF(Rules!$B$6=Rules!$E$6,2*(SUM(Stand!F17:F24)+Rules!$B$5*Stand!F25+Stand!F49)/(9+Rules!$B$5),HS!F15)</f>
        <v>-0.77091495692850132</v>
      </c>
      <c r="G15">
        <f>IF(Rules!$B$6=Rules!$E$6,2*(SUM(Stand!G17:G24)+Rules!$B$5*Stand!G25+Stand!G49)/(9+Rules!$B$5),HS!G15)</f>
        <v>-0.73165285404746472</v>
      </c>
      <c r="H15">
        <f>IF(Rules!$B$6=Rules!$E$6,2*(SUM(Stand!H17:H24)+Rules!$B$5*Stand!H25+Stand!H49)/(9+Rules!$B$5),HS!H15)</f>
        <v>-0.74884615187199166</v>
      </c>
      <c r="I15">
        <f>IF(Rules!$B$6=Rules!$E$6,2*(SUM(Stand!I17:I24)+Rules!$B$5*Stand!I25+Stand!I49)/(9+Rules!$B$5),HS!I15)</f>
        <v>-0.84157588567759711</v>
      </c>
      <c r="J15">
        <f>IF(Rules!$B$6=Rules!$E$6,2*(SUM(Stand!J17:J24)+Rules!$B$5*Stand!J25+Stand!J49)/(9+Rules!$B$5),HS!J15)</f>
        <v>-0.94835961437328287</v>
      </c>
      <c r="K15">
        <f>IF(Rules!$B$6=Rules!$E$6,2*(SUM(Stand!K17:K24)+Rules!$B$5*Stand!K25+Stand!K49)/(9+Rules!$B$5),HS!K15)</f>
        <v>-1.0089496670229408</v>
      </c>
    </row>
    <row r="16" spans="1:11" x14ac:dyDescent="0.2">
      <c r="A16">
        <v>16</v>
      </c>
      <c r="B16">
        <f>IF(Rules!$B$6=Rules!$E$6,2*(SUM(Stand!B18:B25)+Rules!$B$5*Stand!B26+Stand!B50)/(9+Rules!$B$5),HS!B16)</f>
        <v>-1.0342973065029741</v>
      </c>
      <c r="C16">
        <f>IF(Rules!$B$6=Rules!$E$6,2*(SUM(Stand!C18:C25)+Rules!$B$5*Stand!C26+Stand!C50)/(9+Rules!$B$5),HS!C16)</f>
        <v>-0.94198998595833627</v>
      </c>
      <c r="D16">
        <f>IF(Rules!$B$6=Rules!$E$6,2*(SUM(Stand!D18:D25)+Rules!$B$5*Stand!D26+Stand!D50)/(9+Rules!$B$5),HS!D16)</f>
        <v>-0.92753550468188806</v>
      </c>
      <c r="E16">
        <f>IF(Rules!$B$6=Rules!$E$6,2*(SUM(Stand!E18:E25)+Rules!$B$5*Stand!E26+Stand!E50)/(9+Rules!$B$5),HS!E16)</f>
        <v>-0.91257273172405273</v>
      </c>
      <c r="F16">
        <f>IF(Rules!$B$6=Rules!$E$6,2*(SUM(Stand!F18:F25)+Rules!$B$5*Stand!F26+Stand!F50)/(9+Rules!$B$5),HS!F16)</f>
        <v>-0.89903916295381292</v>
      </c>
      <c r="G16">
        <f>IF(Rules!$B$6=Rules!$E$6,2*(SUM(Stand!G18:G25)+Rules!$B$5*Stand!G26+Stand!G50)/(9+Rules!$B$5),HS!G16)</f>
        <v>-0.86185300545823318</v>
      </c>
      <c r="H16">
        <f>IF(Rules!$B$6=Rules!$E$6,2*(SUM(Stand!H18:H25)+Rules!$B$5*Stand!H26+Stand!H50)/(9+Rules!$B$5),HS!H16)</f>
        <v>-0.82955766213707893</v>
      </c>
      <c r="I16">
        <f>IF(Rules!$B$6=Rules!$E$6,2*(SUM(Stand!I18:I25)+Rules!$B$5*Stand!I26+Stand!I50)/(9+Rules!$B$5),HS!I16)</f>
        <v>-0.91688088329334838</v>
      </c>
      <c r="J16">
        <f>IF(Rules!$B$6=Rules!$E$6,2*(SUM(Stand!J18:J25)+Rules!$B$5*Stand!J26+Stand!J50)/(9+Rules!$B$5),HS!J16)</f>
        <v>-1.0186442788146506</v>
      </c>
      <c r="K16">
        <f>IF(Rules!$B$6=Rules!$E$6,2*(SUM(Stand!K18:K25)+Rules!$B$5*Stand!K26+Stand!K50)/(9+Rules!$B$5),HS!K16)</f>
        <v>-1.0796526925621737</v>
      </c>
    </row>
    <row r="17" spans="1:11" x14ac:dyDescent="0.2">
      <c r="A17">
        <v>17</v>
      </c>
      <c r="B17">
        <f>IF(Rules!$B$6=Rules!$E$6,2*(SUM(Stand!B19:B26)+Rules!$B$5*Stand!B27+Stand!B51)/(9+Rules!$B$5),HS!B17)</f>
        <v>-1.1145998488114761</v>
      </c>
      <c r="C17">
        <f>IF(Rules!$B$6=Rules!$E$6,2*(SUM(Stand!C19:C26)+Rules!$B$5*Stand!C27+Stand!C51)/(9+Rules!$B$5),HS!C17)</f>
        <v>-1.0723015878534836</v>
      </c>
      <c r="D17">
        <f>IF(Rules!$B$6=Rules!$E$6,2*(SUM(Stand!D19:D26)+Rules!$B$5*Stand!D27+Stand!D51)/(9+Rules!$B$5),HS!D17)</f>
        <v>-1.0633483906165688</v>
      </c>
      <c r="E17">
        <f>IF(Rules!$B$6=Rules!$E$6,2*(SUM(Stand!E19:E26)+Rules!$B$5*Stand!E27+Stand!E51)/(9+Rules!$B$5),HS!E17)</f>
        <v>-1.0540229820093887</v>
      </c>
      <c r="F17">
        <f>IF(Rules!$B$6=Rules!$E$6,2*(SUM(Stand!F19:F26)+Rules!$B$5*Stand!F27+Stand!F51)/(9+Rules!$B$5),HS!F17)</f>
        <v>-1.0459712590207475</v>
      </c>
      <c r="G17">
        <f>IF(Rules!$B$6=Rules!$E$6,2*(SUM(Stand!G19:G26)+Rules!$B$5*Stand!G27+Stand!G51)/(9+Rules!$B$5),HS!G17)</f>
        <v>-1.0175051840233627</v>
      </c>
      <c r="H17">
        <f>IF(Rules!$B$6=Rules!$E$6,2*(SUM(Stand!H19:H26)+Rules!$B$5*Stand!H27+Stand!H51)/(9+Rules!$B$5),HS!H17)</f>
        <v>-0.96697166375512589</v>
      </c>
      <c r="I17">
        <f>IF(Rules!$B$6=Rules!$E$6,2*(SUM(Stand!I19:I26)+Rules!$B$5*Stand!I27+Stand!I51)/(9+Rules!$B$5),HS!I17)</f>
        <v>-1.0119653492858949</v>
      </c>
      <c r="J17">
        <f>IF(Rules!$B$6=Rules!$E$6,2*(SUM(Stand!J19:J26)+Rules!$B$5*Stand!J27+Stand!J51)/(9+Rules!$B$5),HS!J17)</f>
        <v>-1.107389780407694</v>
      </c>
      <c r="K17">
        <f>IF(Rules!$B$6=Rules!$E$6,2*(SUM(Stand!K19:K26)+Rules!$B$5*Stand!K27+Stand!K51)/(9+Rules!$B$5),HS!K17)</f>
        <v>-1.168926441188509</v>
      </c>
    </row>
    <row r="18" spans="1:11" x14ac:dyDescent="0.2">
      <c r="A18">
        <v>18</v>
      </c>
      <c r="B18">
        <f>IF(Rules!$B$6=Rules!$E$6,2*(SUM(Stand!B20:B27)+Rules!$B$5*Stand!B28+Stand!B52)/(9+Rules!$B$5),HS!B18)</f>
        <v>-1.2530307910248315</v>
      </c>
      <c r="C18">
        <f>IF(Rules!$B$6=Rules!$E$6,2*(SUM(Stand!C20:C27)+Rules!$B$5*Stand!C28+Stand!C52)/(9+Rules!$B$5),HS!C18)</f>
        <v>-1.2448772651182354</v>
      </c>
      <c r="D18">
        <f>IF(Rules!$B$6=Rules!$E$6,2*(SUM(Stand!D20:D27)+Rules!$B$5*Stand!D28+Stand!D52)/(9+Rules!$B$5),HS!D18)</f>
        <v>-1.2400099402844629</v>
      </c>
      <c r="E18">
        <f>IF(Rules!$B$6=Rules!$E$6,2*(SUM(Stand!E20:E27)+Rules!$B$5*Stand!E28+Stand!E52)/(9+Rules!$B$5),HS!E18)</f>
        <v>-1.2349236646551558</v>
      </c>
      <c r="F18">
        <f>IF(Rules!$B$6=Rules!$E$6,2*(SUM(Stand!F20:F27)+Rules!$B$5*Stand!F28+Stand!F52)/(9+Rules!$B$5),HS!F18)</f>
        <v>-1.2305191351709284</v>
      </c>
      <c r="G18">
        <f>IF(Rules!$B$6=Rules!$E$6,2*(SUM(Stand!G20:G27)+Rules!$B$5*Stand!G28+Stand!G52)/(9+Rules!$B$5),HS!G18)</f>
        <v>-1.214958094184424</v>
      </c>
      <c r="H18">
        <f>IF(Rules!$B$6=Rules!$E$6,2*(SUM(Stand!H20:H27)+Rules!$B$5*Stand!H28+Stand!H52)/(9+Rules!$B$5),HS!H18)</f>
        <v>-1.1822876894992109</v>
      </c>
      <c r="I18">
        <f>IF(Rules!$B$6=Rules!$E$6,2*(SUM(Stand!I20:I27)+Rules!$B$5*Stand!I28+Stand!I52)/(9+Rules!$B$5),HS!I18)</f>
        <v>-1.1821117106119141</v>
      </c>
      <c r="J18">
        <f>IF(Rules!$B$6=Rules!$E$6,2*(SUM(Stand!J20:J27)+Rules!$B$5*Stand!J28+Stand!J52)/(9+Rules!$B$5),HS!J18)</f>
        <v>-1.2330569563040892</v>
      </c>
      <c r="K18">
        <f>IF(Rules!$B$6=Rules!$E$6,2*(SUM(Stand!K20:K27)+Rules!$B$5*Stand!K28+Stand!K52)/(9+Rules!$B$5),HS!K18)</f>
        <v>-1.2953416359890493</v>
      </c>
    </row>
    <row r="19" spans="1:11" x14ac:dyDescent="0.2">
      <c r="A19">
        <v>19</v>
      </c>
      <c r="B19">
        <f>IF(Rules!$B$6=Rules!$E$6,2*(SUM(Stand!B21:B28)+Rules!$B$5*Stand!B29+Stand!B53)/(9+Rules!$B$5),HS!B19)</f>
        <v>-1.4495901331430399</v>
      </c>
      <c r="C19">
        <f>IF(Rules!$B$6=Rules!$E$6,2*(SUM(Stand!C21:C28)+Rules!$B$5*Stand!C29+Stand!C53)/(9+Rules!$B$5),HS!C19)</f>
        <v>-1.4581549091214032</v>
      </c>
      <c r="D19">
        <f>IF(Rules!$B$6=Rules!$E$6,2*(SUM(Stand!D21:D28)+Rules!$B$5*Stand!D29+Stand!D53)/(9+Rules!$B$5),HS!D19)</f>
        <v>-1.4560657766841187</v>
      </c>
      <c r="E19">
        <f>IF(Rules!$B$6=Rules!$E$6,2*(SUM(Stand!E21:E28)+Rules!$B$5*Stand!E29+Stand!E53)/(9+Rules!$B$5),HS!E19)</f>
        <v>-1.4538742684747705</v>
      </c>
      <c r="F19">
        <f>IF(Rules!$B$6=Rules!$E$6,2*(SUM(Stand!F21:F28)+Rules!$B$5*Stand!F29+Stand!F53)/(9+Rules!$B$5),HS!F19)</f>
        <v>-1.4519825358110645</v>
      </c>
      <c r="G19">
        <f>IF(Rules!$B$6=Rules!$E$6,2*(SUM(Stand!G21:G28)+Rules!$B$5*Stand!G29+Stand!G53)/(9+Rules!$B$5),HS!G19)</f>
        <v>-1.4451084132286267</v>
      </c>
      <c r="H19">
        <f>IF(Rules!$B$6=Rules!$E$6,2*(SUM(Stand!H21:H28)+Rules!$B$5*Stand!H29+Stand!H53)/(9+Rules!$B$5),HS!H19)</f>
        <v>-1.4308994580766619</v>
      </c>
      <c r="I19">
        <f>IF(Rules!$B$6=Rules!$E$6,2*(SUM(Stand!I21:I28)+Rules!$B$5*Stand!I29+Stand!I53)/(9+Rules!$B$5),HS!I19)</f>
        <v>-1.4273199672714054</v>
      </c>
      <c r="J19">
        <f>IF(Rules!$B$6=Rules!$E$6,2*(SUM(Stand!J21:J28)+Rules!$B$5*Stand!J29+Stand!J53)/(9+Rules!$B$5),HS!J19)</f>
        <v>-1.4311487650837169</v>
      </c>
      <c r="K19">
        <f>IF(Rules!$B$6=Rules!$E$6,2*(SUM(Stand!K21:K28)+Rules!$B$5*Stand!K29+Stand!K53)/(9+Rules!$B$5),HS!K19)</f>
        <v>-1.4588982769637939</v>
      </c>
    </row>
    <row r="20" spans="1:11" x14ac:dyDescent="0.2">
      <c r="A20">
        <v>20</v>
      </c>
      <c r="B20">
        <f>IF(Rules!$B$6=Rules!$E$6,2*(SUM(Stand!B22:B29)+Rules!$B$5*Stand!B30+Stand!B54)/(9+Rules!$B$5),HS!B20)</f>
        <v>-1.7042778751661021</v>
      </c>
      <c r="C20">
        <f>IF(Rules!$B$6=Rules!$E$6,2*(SUM(Stand!C22:C29)+Rules!$B$5*Stand!C30+Stand!C54)/(9+Rules!$B$5),HS!C20)</f>
        <v>-1.7104605360778398</v>
      </c>
      <c r="D20">
        <f>IF(Rules!$B$6=Rules!$E$6,2*(SUM(Stand!D22:D29)+Rules!$B$5*Stand!D30+Stand!D54)/(9+Rules!$B$5),HS!D20)</f>
        <v>-1.7099537911843461</v>
      </c>
      <c r="E20">
        <f>IF(Rules!$B$6=Rules!$E$6,2*(SUM(Stand!E22:E29)+Rules!$B$5*Stand!E30+Stand!E54)/(9+Rules!$B$5),HS!E20)</f>
        <v>-1.7094204164667817</v>
      </c>
      <c r="F20">
        <f>IF(Rules!$B$6=Rules!$E$6,2*(SUM(Stand!F22:F29)+Rules!$B$5*Stand!F30+Stand!F54)/(9+Rules!$B$5),HS!F20)</f>
        <v>-1.7089609497545721</v>
      </c>
      <c r="G20">
        <f>IF(Rules!$B$6=Rules!$E$6,2*(SUM(Stand!G22:G29)+Rules!$B$5*Stand!G30+Stand!G54)/(9+Rules!$B$5),HS!G20)</f>
        <v>-1.70725588556268</v>
      </c>
      <c r="H20">
        <f>IF(Rules!$B$6=Rules!$E$6,2*(SUM(Stand!H22:H29)+Rules!$B$5*Stand!H30+Stand!H54)/(9+Rules!$B$5),HS!H20)</f>
        <v>-1.7037036467746889</v>
      </c>
      <c r="I20">
        <f>IF(Rules!$B$6=Rules!$E$6,2*(SUM(Stand!I22:I29)+Rules!$B$5*Stand!I30+Stand!I54)/(9+Rules!$B$5),HS!I20)</f>
        <v>-1.7029838379716975</v>
      </c>
      <c r="J20">
        <f>IF(Rules!$B$6=Rules!$E$6,2*(SUM(Stand!J22:J29)+Rules!$B$5*Stand!J30+Stand!J54)/(9+Rules!$B$5),HS!J20)</f>
        <v>-1.7016652067465778</v>
      </c>
      <c r="K20">
        <f>IF(Rules!$B$6=Rules!$E$6,2*(SUM(Stand!K22:K29)+Rules!$B$5*Stand!K30+Stand!K54)/(9+Rules!$B$5),HS!K20)</f>
        <v>-1.6980579025742819</v>
      </c>
    </row>
    <row r="21" spans="1:11" x14ac:dyDescent="0.2">
      <c r="A21">
        <v>21</v>
      </c>
      <c r="B21">
        <f>IF(Rules!$B$6=Rules!$E$6,2*(SUM(Stand!B23:B30)+Rules!$B$5*Stand!B31+Stand!B55)/(9+Rules!$B$5),HS!B21)</f>
        <v>-1.8461538461538463</v>
      </c>
      <c r="C21">
        <f>IF(Rules!$B$6=Rules!$E$6,2*(SUM(Stand!C23:C30)+Rules!$B$5*Stand!C31+Stand!C55)/(9+Rules!$B$5),HS!C21)</f>
        <v>-1.8461538461538463</v>
      </c>
      <c r="D21">
        <f>IF(Rules!$B$6=Rules!$E$6,2*(SUM(Stand!D23:D30)+Rules!$B$5*Stand!D31+Stand!D55)/(9+Rules!$B$5),HS!D21)</f>
        <v>-1.8461538461538463</v>
      </c>
      <c r="E21">
        <f>IF(Rules!$B$6=Rules!$E$6,2*(SUM(Stand!E23:E30)+Rules!$B$5*Stand!E31+Stand!E55)/(9+Rules!$B$5),HS!E21)</f>
        <v>-1.8461538461538463</v>
      </c>
      <c r="F21">
        <f>IF(Rules!$B$6=Rules!$E$6,2*(SUM(Stand!F23:F30)+Rules!$B$5*Stand!F31+Stand!F55)/(9+Rules!$B$5),HS!F21)</f>
        <v>-1.8461538461538463</v>
      </c>
      <c r="G21">
        <f>IF(Rules!$B$6=Rules!$E$6,2*(SUM(Stand!G23:G30)+Rules!$B$5*Stand!G31+Stand!G55)/(9+Rules!$B$5),HS!G21)</f>
        <v>-1.8461538461538463</v>
      </c>
      <c r="H21">
        <f>IF(Rules!$B$6=Rules!$E$6,2*(SUM(Stand!H23:H30)+Rules!$B$5*Stand!H31+Stand!H55)/(9+Rules!$B$5),HS!H21)</f>
        <v>-1.8461538461538463</v>
      </c>
      <c r="I21">
        <f>IF(Rules!$B$6=Rules!$E$6,2*(SUM(Stand!I23:I30)+Rules!$B$5*Stand!I31+Stand!I55)/(9+Rules!$B$5),HS!I21)</f>
        <v>-1.8461538461538463</v>
      </c>
      <c r="J21">
        <f>IF(Rules!$B$6=Rules!$E$6,2*(SUM(Stand!J23:J30)+Rules!$B$5*Stand!J31+Stand!J55)/(9+Rules!$B$5),HS!J21)</f>
        <v>-1.8461538461538463</v>
      </c>
      <c r="K21">
        <f>IF(Rules!$B$6=Rules!$E$6,2*(SUM(Stand!K23:K30)+Rules!$B$5*Stand!K31+Stand!K55)/(9+Rules!$B$5),HS!K21)</f>
        <v>-1.8461538461538463</v>
      </c>
    </row>
    <row r="22" spans="1:11" x14ac:dyDescent="0.2">
      <c r="A22">
        <v>22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2">
      <c r="A23">
        <v>23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2">
      <c r="A24">
        <v>24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2">
      <c r="A25">
        <v>25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2">
      <c r="A26">
        <v>26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2">
      <c r="A27">
        <v>27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2">
      <c r="A28">
        <v>28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2">
      <c r="A29">
        <v>29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0" spans="1:11" x14ac:dyDescent="0.2">
      <c r="A30">
        <v>30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</row>
    <row r="31" spans="1:11" x14ac:dyDescent="0.2">
      <c r="A31">
        <v>31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</row>
    <row r="33" spans="1:11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</row>
    <row r="34" spans="1:11" x14ac:dyDescent="0.2">
      <c r="A34">
        <v>11</v>
      </c>
      <c r="B34">
        <f>IF(Rules!$B$6=Rules!$E$6,2*(SUM(Stand!B35:B43)+Rules!$B$5*Stand!B44)/(9+Rules!$B$5),HS!B34)</f>
        <v>0.10906077977909699</v>
      </c>
      <c r="C34">
        <f>IF(Rules!$B$6=Rules!$E$6,2*(SUM(Stand!C35:C43)+Rules!$B$5*Stand!C44)/(9+Rules!$B$5),HS!C34)</f>
        <v>0.47064092333946894</v>
      </c>
      <c r="D34">
        <f>IF(Rules!$B$6=Rules!$E$6,2*(SUM(Stand!D35:D43)+Rules!$B$5*Stand!D44)/(9+Rules!$B$5),HS!D34)</f>
        <v>0.51779525312221664</v>
      </c>
      <c r="E34">
        <f>IF(Rules!$B$6=Rules!$E$6,2*(SUM(Stand!E35:E43)+Rules!$B$5*Stand!E44)/(9+Rules!$B$5),HS!E34)</f>
        <v>0.56604055041797596</v>
      </c>
      <c r="F34">
        <f>IF(Rules!$B$6=Rules!$E$6,2*(SUM(Stand!F35:F43)+Rules!$B$5*Stand!F44)/(9+Rules!$B$5),HS!F34)</f>
        <v>0.61469901790902803</v>
      </c>
      <c r="G34">
        <f>IF(Rules!$B$6=Rules!$E$6,2*(SUM(Stand!G35:G43)+Rules!$B$5*Stand!G44)/(9+Rules!$B$5),HS!G34)</f>
        <v>0.66738009490756944</v>
      </c>
      <c r="H34">
        <f>IF(Rules!$B$6=Rules!$E$6,2*(SUM(Stand!H35:H43)+Rules!$B$5*Stand!H44)/(9+Rules!$B$5),HS!H34)</f>
        <v>0.46288894886429088</v>
      </c>
      <c r="I34">
        <f>IF(Rules!$B$6=Rules!$E$6,2*(SUM(Stand!I35:I43)+Rules!$B$5*Stand!I44)/(9+Rules!$B$5),HS!I34)</f>
        <v>0.35069259087031512</v>
      </c>
      <c r="J34">
        <f>IF(Rules!$B$6=Rules!$E$6,2*(SUM(Stand!J35:J43)+Rules!$B$5*Stand!J44)/(9+Rules!$B$5),HS!J34)</f>
        <v>0.22778342315245487</v>
      </c>
      <c r="K34">
        <f>IF(Rules!$B$6=Rules!$E$6,2*(SUM(Stand!K35:K43)+Rules!$B$5*Stand!K44)/(9+Rules!$B$5),HS!K34)</f>
        <v>0.17968872741114625</v>
      </c>
    </row>
    <row r="35" spans="1:11" x14ac:dyDescent="0.2">
      <c r="A35">
        <v>12</v>
      </c>
      <c r="B35">
        <f>IF(Rules!$B$6=Rules!$E$6,2*(SUM(Stand!B36:B44)+Rules!$B$5*Stand!B45)/(9+Rules!$B$5),HS!B35)</f>
        <v>-0.6243905676543714</v>
      </c>
      <c r="C35">
        <f>IF(Rules!$B$6=Rules!$E$6,2*(SUM(Stand!C36:C44)+Rules!$B$5*Stand!C45)/(9+Rules!$B$5),HS!C35)</f>
        <v>-7.1569957908215978E-2</v>
      </c>
      <c r="D35">
        <f>IF(Rules!$B$6=Rules!$E$6,2*(SUM(Stand!D36:D44)+Rules!$B$5*Stand!D45)/(9+Rules!$B$5),HS!D35)</f>
        <v>-7.2280945104584455E-3</v>
      </c>
      <c r="E35">
        <f>IF(Rules!$B$6=Rules!$E$6,2*(SUM(Stand!E36:E44)+Rules!$B$5*Stand!E45)/(9+Rules!$B$5),HS!E35)</f>
        <v>5.8426518743744951E-2</v>
      </c>
      <c r="F35">
        <f>IF(Rules!$B$6=Rules!$E$6,2*(SUM(Stand!F36:F44)+Rules!$B$5*Stand!F45)/(9+Rules!$B$5),HS!F35)</f>
        <v>0.12595448524867925</v>
      </c>
      <c r="G35">
        <f>IF(Rules!$B$6=Rules!$E$6,2*(SUM(Stand!G36:G44)+Rules!$B$5*Stand!G45)/(9+Rules!$B$5),HS!G35)</f>
        <v>0.17974820582791512</v>
      </c>
      <c r="H35">
        <f>IF(Rules!$B$6=Rules!$E$6,2*(SUM(Stand!H36:H44)+Rules!$B$5*Stand!H45)/(9+Rules!$B$5),HS!H35)</f>
        <v>-0.1838655800163814</v>
      </c>
      <c r="I35">
        <f>IF(Rules!$B$6=Rules!$E$6,2*(SUM(Stand!I36:I44)+Rules!$B$5*Stand!I45)/(9+Rules!$B$5),HS!I35)</f>
        <v>-0.31444090236733879</v>
      </c>
      <c r="J35">
        <f>IF(Rules!$B$6=Rules!$E$6,2*(SUM(Stand!J36:J44)+Rules!$B$5*Stand!J45)/(9+Rules!$B$5),HS!J35)</f>
        <v>-0.45636696328370829</v>
      </c>
      <c r="K35">
        <f>IF(Rules!$B$6=Rules!$E$6,2*(SUM(Stand!K36:K44)+Rules!$B$5*Stand!K45)/(9+Rules!$B$5),HS!K35)</f>
        <v>-0.51402848824830905</v>
      </c>
    </row>
    <row r="36" spans="1:11" x14ac:dyDescent="0.2">
      <c r="A36">
        <v>13</v>
      </c>
      <c r="B36">
        <f>IF(Rules!$B$6=Rules!$E$6,2*(SUM(Stand!B37:B45)+Rules!$B$5*Stand!B46)/(9+Rules!$B$5),HS!B36)</f>
        <v>-0.6243905676543714</v>
      </c>
      <c r="C36">
        <f>IF(Rules!$B$6=Rules!$E$6,2*(SUM(Stand!C37:C45)+Rules!$B$5*Stand!C46)/(9+Rules!$B$5),HS!C36)</f>
        <v>-7.1569957908215978E-2</v>
      </c>
      <c r="D36">
        <f>IF(Rules!$B$6=Rules!$E$6,2*(SUM(Stand!D37:D45)+Rules!$B$5*Stand!D46)/(9+Rules!$B$5),HS!D36)</f>
        <v>-7.228094510458429E-3</v>
      </c>
      <c r="E36">
        <f>IF(Rules!$B$6=Rules!$E$6,2*(SUM(Stand!E37:E45)+Rules!$B$5*Stand!E46)/(9+Rules!$B$5),HS!E36)</f>
        <v>5.8426518743744923E-2</v>
      </c>
      <c r="F36">
        <f>IF(Rules!$B$6=Rules!$E$6,2*(SUM(Stand!F37:F45)+Rules!$B$5*Stand!F46)/(9+Rules!$B$5),HS!F36)</f>
        <v>0.12595448524867925</v>
      </c>
      <c r="G36">
        <f>IF(Rules!$B$6=Rules!$E$6,2*(SUM(Stand!G37:G45)+Rules!$B$5*Stand!G46)/(9+Rules!$B$5),HS!G36)</f>
        <v>0.17974820582791512</v>
      </c>
      <c r="H36">
        <f>IF(Rules!$B$6=Rules!$E$6,2*(SUM(Stand!H37:H45)+Rules!$B$5*Stand!H46)/(9+Rules!$B$5),HS!H36)</f>
        <v>-0.18386558001638137</v>
      </c>
      <c r="I36">
        <f>IF(Rules!$B$6=Rules!$E$6,2*(SUM(Stand!I37:I45)+Rules!$B$5*Stand!I46)/(9+Rules!$B$5),HS!I36)</f>
        <v>-0.31444090236733879</v>
      </c>
      <c r="J36">
        <f>IF(Rules!$B$6=Rules!$E$6,2*(SUM(Stand!J37:J45)+Rules!$B$5*Stand!J46)/(9+Rules!$B$5),HS!J36)</f>
        <v>-0.45636696328370829</v>
      </c>
      <c r="K36">
        <f>IF(Rules!$B$6=Rules!$E$6,2*(SUM(Stand!K37:K45)+Rules!$B$5*Stand!K46)/(9+Rules!$B$5),HS!K36)</f>
        <v>-0.51402848824830905</v>
      </c>
    </row>
    <row r="37" spans="1:11" x14ac:dyDescent="0.2">
      <c r="A37">
        <v>14</v>
      </c>
      <c r="B37">
        <f>IF(Rules!$B$6=Rules!$E$6,2*(SUM(Stand!B38:B46)+Rules!$B$5*Stand!B47)/(9+Rules!$B$5),HS!B37)</f>
        <v>-0.6243905676543714</v>
      </c>
      <c r="C37">
        <f>IF(Rules!$B$6=Rules!$E$6,2*(SUM(Stand!C38:C46)+Rules!$B$5*Stand!C47)/(9+Rules!$B$5),HS!C37)</f>
        <v>-7.1569957908215978E-2</v>
      </c>
      <c r="D37">
        <f>IF(Rules!$B$6=Rules!$E$6,2*(SUM(Stand!D38:D46)+Rules!$B$5*Stand!D47)/(9+Rules!$B$5),HS!D37)</f>
        <v>-7.228094510458429E-3</v>
      </c>
      <c r="E37">
        <f>IF(Rules!$B$6=Rules!$E$6,2*(SUM(Stand!E38:E46)+Rules!$B$5*Stand!E47)/(9+Rules!$B$5),HS!E37)</f>
        <v>5.8426518743744951E-2</v>
      </c>
      <c r="F37">
        <f>IF(Rules!$B$6=Rules!$E$6,2*(SUM(Stand!F38:F46)+Rules!$B$5*Stand!F47)/(9+Rules!$B$5),HS!F37)</f>
        <v>0.12595448524867925</v>
      </c>
      <c r="G37">
        <f>IF(Rules!$B$6=Rules!$E$6,2*(SUM(Stand!G38:G46)+Rules!$B$5*Stand!G47)/(9+Rules!$B$5),HS!G37)</f>
        <v>0.17974820582791512</v>
      </c>
      <c r="H37">
        <f>IF(Rules!$B$6=Rules!$E$6,2*(SUM(Stand!H38:H46)+Rules!$B$5*Stand!H47)/(9+Rules!$B$5),HS!H37)</f>
        <v>-0.1838655800163814</v>
      </c>
      <c r="I37">
        <f>IF(Rules!$B$6=Rules!$E$6,2*(SUM(Stand!I38:I46)+Rules!$B$5*Stand!I47)/(9+Rules!$B$5),HS!I37)</f>
        <v>-0.31444090236733879</v>
      </c>
      <c r="J37">
        <f>IF(Rules!$B$6=Rules!$E$6,2*(SUM(Stand!J38:J46)+Rules!$B$5*Stand!J47)/(9+Rules!$B$5),HS!J37)</f>
        <v>-0.45636696328370829</v>
      </c>
      <c r="K37">
        <f>IF(Rules!$B$6=Rules!$E$6,2*(SUM(Stand!K38:K46)+Rules!$B$5*Stand!K47)/(9+Rules!$B$5),HS!K37)</f>
        <v>-0.51402848824830905</v>
      </c>
    </row>
    <row r="38" spans="1:11" x14ac:dyDescent="0.2">
      <c r="A38">
        <v>15</v>
      </c>
      <c r="B38">
        <f>IF(Rules!$B$6=Rules!$E$6,2*(SUM(Stand!B39:B47)+Rules!$B$5*Stand!B48)/(9+Rules!$B$5),HS!B38)</f>
        <v>-0.6243905676543714</v>
      </c>
      <c r="C38">
        <f>IF(Rules!$B$6=Rules!$E$6,2*(SUM(Stand!C39:C47)+Rules!$B$5*Stand!C48)/(9+Rules!$B$5),HS!C38)</f>
        <v>-7.1569957908215937E-2</v>
      </c>
      <c r="D38">
        <f>IF(Rules!$B$6=Rules!$E$6,2*(SUM(Stand!D39:D47)+Rules!$B$5*Stand!D48)/(9+Rules!$B$5),HS!D38)</f>
        <v>-7.2280945104584975E-3</v>
      </c>
      <c r="E38">
        <f>IF(Rules!$B$6=Rules!$E$6,2*(SUM(Stand!E39:E47)+Rules!$B$5*Stand!E48)/(9+Rules!$B$5),HS!E38)</f>
        <v>5.8426518743744923E-2</v>
      </c>
      <c r="F38">
        <f>IF(Rules!$B$6=Rules!$E$6,2*(SUM(Stand!F39:F47)+Rules!$B$5*Stand!F48)/(9+Rules!$B$5),HS!F38)</f>
        <v>0.12595448524867925</v>
      </c>
      <c r="G38">
        <f>IF(Rules!$B$6=Rules!$E$6,2*(SUM(Stand!G39:G47)+Rules!$B$5*Stand!G48)/(9+Rules!$B$5),HS!G38)</f>
        <v>0.17974820582791512</v>
      </c>
      <c r="H38">
        <f>IF(Rules!$B$6=Rules!$E$6,2*(SUM(Stand!H39:H47)+Rules!$B$5*Stand!H48)/(9+Rules!$B$5),HS!H38)</f>
        <v>-0.18386558001638142</v>
      </c>
      <c r="I38">
        <f>IF(Rules!$B$6=Rules!$E$6,2*(SUM(Stand!I39:I47)+Rules!$B$5*Stand!I48)/(9+Rules!$B$5),HS!I38)</f>
        <v>-0.31444090236733874</v>
      </c>
      <c r="J38">
        <f>IF(Rules!$B$6=Rules!$E$6,2*(SUM(Stand!J39:J47)+Rules!$B$5*Stand!J48)/(9+Rules!$B$5),HS!J38)</f>
        <v>-0.45636696328370829</v>
      </c>
      <c r="K38">
        <f>IF(Rules!$B$6=Rules!$E$6,2*(SUM(Stand!K39:K47)+Rules!$B$5*Stand!K48)/(9+Rules!$B$5),HS!K38)</f>
        <v>-0.51402848824830905</v>
      </c>
    </row>
    <row r="39" spans="1:11" x14ac:dyDescent="0.2">
      <c r="A39">
        <v>16</v>
      </c>
      <c r="B39">
        <f>IF(Rules!$B$6=Rules!$E$6,2*(SUM(Stand!B40:B48)+Rules!$B$5*Stand!B49)/(9+Rules!$B$5),HS!B39)</f>
        <v>-0.6243905676543714</v>
      </c>
      <c r="C39">
        <f>IF(Rules!$B$6=Rules!$E$6,2*(SUM(Stand!C40:C48)+Rules!$B$5*Stand!C49)/(9+Rules!$B$5),HS!C39)</f>
        <v>-7.1569957908215937E-2</v>
      </c>
      <c r="D39">
        <f>IF(Rules!$B$6=Rules!$E$6,2*(SUM(Stand!D40:D48)+Rules!$B$5*Stand!D49)/(9+Rules!$B$5),HS!D39)</f>
        <v>-7.2280945104584975E-3</v>
      </c>
      <c r="E39">
        <f>IF(Rules!$B$6=Rules!$E$6,2*(SUM(Stand!E40:E48)+Rules!$B$5*Stand!E49)/(9+Rules!$B$5),HS!E39)</f>
        <v>5.8426518743744951E-2</v>
      </c>
      <c r="F39">
        <f>IF(Rules!$B$6=Rules!$E$6,2*(SUM(Stand!F40:F48)+Rules!$B$5*Stand!F49)/(9+Rules!$B$5),HS!F39)</f>
        <v>0.12595448524867925</v>
      </c>
      <c r="G39">
        <f>IF(Rules!$B$6=Rules!$E$6,2*(SUM(Stand!G40:G48)+Rules!$B$5*Stand!G49)/(9+Rules!$B$5),HS!G39)</f>
        <v>0.17974820582791512</v>
      </c>
      <c r="H39">
        <f>IF(Rules!$B$6=Rules!$E$6,2*(SUM(Stand!H40:H48)+Rules!$B$5*Stand!H49)/(9+Rules!$B$5),HS!H39)</f>
        <v>-0.18386558001638142</v>
      </c>
      <c r="I39">
        <f>IF(Rules!$B$6=Rules!$E$6,2*(SUM(Stand!I40:I48)+Rules!$B$5*Stand!I49)/(9+Rules!$B$5),HS!I39)</f>
        <v>-0.31444090236733874</v>
      </c>
      <c r="J39">
        <f>IF(Rules!$B$6=Rules!$E$6,2*(SUM(Stand!J40:J48)+Rules!$B$5*Stand!J49)/(9+Rules!$B$5),HS!J39)</f>
        <v>-0.45636696328370829</v>
      </c>
      <c r="K39">
        <f>IF(Rules!$B$6=Rules!$E$6,2*(SUM(Stand!K40:K48)+Rules!$B$5*Stand!K49)/(9+Rules!$B$5),HS!K39)</f>
        <v>-0.51402848824830905</v>
      </c>
    </row>
    <row r="40" spans="1:11" x14ac:dyDescent="0.2">
      <c r="A40">
        <v>17</v>
      </c>
      <c r="B40">
        <f>IF(Rules!$B$6=Rules!$E$6,2*(SUM(Stand!B41:B49)+Rules!$B$5*Stand!B50)/(9+Rules!$B$5),HS!B40)</f>
        <v>-0.53719796779709139</v>
      </c>
      <c r="C40">
        <f>IF(Rules!$B$6=Rules!$E$6,2*(SUM(Stand!C41:C49)+Rules!$B$5*Stand!C50)/(9+Rules!$B$5),HS!C40)</f>
        <v>-7.0426627415689164E-3</v>
      </c>
      <c r="D40">
        <f>IF(Rules!$B$6=Rules!$E$6,2*(SUM(Stand!D41:D49)+Rules!$B$5*Stand!D50)/(9+Rules!$B$5),HS!D40)</f>
        <v>5.5095284479298338E-2</v>
      </c>
      <c r="E40">
        <f>IF(Rules!$B$6=Rules!$E$6,2*(SUM(Stand!E41:E49)+Rules!$B$5*Stand!E50)/(9+Rules!$B$5),HS!E40)</f>
        <v>0.11865255067432869</v>
      </c>
      <c r="F40">
        <f>IF(Rules!$B$6=Rules!$E$6,2*(SUM(Stand!F41:F49)+Rules!$B$5*Stand!F50)/(9+Rules!$B$5),HS!F40)</f>
        <v>0.18237815537354879</v>
      </c>
      <c r="G40">
        <f>IF(Rules!$B$6=Rules!$E$6,2*(SUM(Stand!G41:G49)+Rules!$B$5*Stand!G50)/(9+Rules!$B$5),HS!G40)</f>
        <v>0.2561042872909981</v>
      </c>
      <c r="H40">
        <f>IF(Rules!$B$6=Rules!$E$6,2*(SUM(Stand!H41:H49)+Rules!$B$5*Stand!H50)/(9+Rules!$B$5),HS!H40)</f>
        <v>-1.3758105957502069E-2</v>
      </c>
      <c r="I40">
        <f>IF(Rules!$B$6=Rules!$E$6,2*(SUM(Stand!I41:I49)+Rules!$B$5*Stand!I50)/(9+Rules!$B$5),HS!I40)</f>
        <v>-0.25510249723695255</v>
      </c>
      <c r="J40">
        <f>IF(Rules!$B$6=Rules!$E$6,2*(SUM(Stand!J41:J49)+Rules!$B$5*Stand!J50)/(9+Rules!$B$5),HS!J40)</f>
        <v>-0.40098445182868125</v>
      </c>
      <c r="K40">
        <f>IF(Rules!$B$6=Rules!$E$6,2*(SUM(Stand!K41:K49)+Rules!$B$5*Stand!K50)/(9+Rules!$B$5),HS!K40)</f>
        <v>-0.45831631898700209</v>
      </c>
    </row>
    <row r="41" spans="1:11" x14ac:dyDescent="0.2">
      <c r="A41">
        <v>18</v>
      </c>
      <c r="B41">
        <f>IF(Rules!$B$6=Rules!$E$6,2*(SUM(Stand!B42:B50)+Rules!$B$5*Stand!B51)/(9+Rules!$B$5),HS!B41)</f>
        <v>-0.36281276808253149</v>
      </c>
      <c r="C41">
        <f>IF(Rules!$B$6=Rules!$E$6,2*(SUM(Stand!C42:C50)+Rules!$B$5*Stand!C51)/(9+Rules!$B$5),HS!C41)</f>
        <v>0.11974956336724479</v>
      </c>
      <c r="D41">
        <f>IF(Rules!$B$6=Rules!$E$6,2*(SUM(Stand!D42:D50)+Rules!$B$5*Stand!D51)/(9+Rules!$B$5),HS!D41)</f>
        <v>0.17764127567893753</v>
      </c>
      <c r="E41">
        <f>IF(Rules!$B$6=Rules!$E$6,2*(SUM(Stand!E42:E50)+Rules!$B$5*Stand!E51)/(9+Rules!$B$5),HS!E41)</f>
        <v>0.23700384775562167</v>
      </c>
      <c r="F41">
        <f>IF(Rules!$B$6=Rules!$E$6,2*(SUM(Stand!F42:F50)+Rules!$B$5*Stand!F51)/(9+Rules!$B$5),HS!F41)</f>
        <v>0.29522549562328804</v>
      </c>
      <c r="G41">
        <f>IF(Rules!$B$6=Rules!$E$6,2*(SUM(Stand!G42:G50)+Rules!$B$5*Stand!G51)/(9+Rules!$B$5),HS!G41)</f>
        <v>0.38150648207879345</v>
      </c>
      <c r="H41">
        <f>IF(Rules!$B$6=Rules!$E$6,2*(SUM(Stand!H42:H50)+Rules!$B$5*Stand!H51)/(9+Rules!$B$5),HS!H41)</f>
        <v>0.21994796642061171</v>
      </c>
      <c r="I41">
        <f>IF(Rules!$B$6=Rules!$E$6,2*(SUM(Stand!I42:I50)+Rules!$B$5*Stand!I51)/(9+Rules!$B$5),HS!I41)</f>
        <v>-2.9916811236535352E-2</v>
      </c>
      <c r="J41">
        <f>IF(Rules!$B$6=Rules!$E$6,2*(SUM(Stand!J42:J50)+Rules!$B$5*Stand!J51)/(9+Rules!$B$5),HS!J41)</f>
        <v>-0.29021942891862701</v>
      </c>
      <c r="K41">
        <f>IF(Rules!$B$6=Rules!$E$6,2*(SUM(Stand!K42:K50)+Rules!$B$5*Stand!K51)/(9+Rules!$B$5),HS!K41)</f>
        <v>-0.34689198046438807</v>
      </c>
    </row>
    <row r="42" spans="1:11" x14ac:dyDescent="0.2">
      <c r="A42">
        <v>19</v>
      </c>
      <c r="B42">
        <f>2*(SUM(Stand!B43:B51)+Rules!$B$5*Stand!B52)/(9+Rules!$B$5)</f>
        <v>-0.18842756836797164</v>
      </c>
      <c r="C42">
        <f>2*(SUM(Stand!C43:C51)+Rules!$B$5*Stand!C52)/(9+Rules!$B$5)</f>
        <v>0.24185546358249196</v>
      </c>
      <c r="D42">
        <f>2*(SUM(Stand!D43:D51)+Rules!$B$5*Stand!D52)/(9+Rules!$B$5)</f>
        <v>0.29582413587422152</v>
      </c>
      <c r="E42">
        <f>2*(SUM(Stand!E43:E51)+Rules!$B$5*Stand!E52)/(9+Rules!$B$5)</f>
        <v>0.35115361127716532</v>
      </c>
      <c r="F42">
        <f>2*(SUM(Stand!F43:F51)+Rules!$B$5*Stand!F52)/(9+Rules!$B$5)</f>
        <v>0.40597206909315264</v>
      </c>
      <c r="G42">
        <f>2*(SUM(Stand!G43:G51)+Rules!$B$5*Stand!G52)/(9+Rules!$B$5)</f>
        <v>0.47959870872821841</v>
      </c>
      <c r="H42">
        <f>2*(SUM(Stand!H43:H51)+Rules!$B$5*Stand!H52)/(9+Rules!$B$5)</f>
        <v>0.31983519492071005</v>
      </c>
      <c r="I42">
        <f>2*(SUM(Stand!I43:I51)+Rules!$B$5*Stand!I52)/(9+Rules!$B$5)</f>
        <v>0.19526887476388194</v>
      </c>
      <c r="J42">
        <f>2*(SUM(Stand!J43:J51)+Rules!$B$5*Stand!J52)/(9+Rules!$B$5)</f>
        <v>-7.294553026892793E-2</v>
      </c>
      <c r="K42">
        <f>2*(SUM(Stand!K43:K51)+Rules!$B$5*Stand!K52)/(9+Rules!$B$5)</f>
        <v>-0.23546764194177403</v>
      </c>
    </row>
    <row r="43" spans="1:11" x14ac:dyDescent="0.2">
      <c r="A43">
        <v>20</v>
      </c>
      <c r="B43">
        <f>2*(SUM(Stand!B44:B52)+Rules!$B$5*Stand!B53)/(9+Rules!$B$5)</f>
        <v>-1.4042368653411618E-2</v>
      </c>
      <c r="C43">
        <f>2*(SUM(Stand!C44:C52)+Rules!$B$5*Stand!C53)/(9+Rules!$B$5)</f>
        <v>0.3589394124422991</v>
      </c>
      <c r="D43">
        <f>2*(SUM(Stand!D44:D52)+Rules!$B$5*Stand!D53)/(9+Rules!$B$5)</f>
        <v>0.40932067017593915</v>
      </c>
      <c r="E43">
        <f>2*(SUM(Stand!E44:E52)+Rules!$B$5*Stand!E53)/(9+Rules!$B$5)</f>
        <v>0.460940243794354</v>
      </c>
      <c r="F43">
        <f>2*(SUM(Stand!F44:F52)+Rules!$B$5*Stand!F53)/(9+Rules!$B$5)</f>
        <v>0.51251710900326775</v>
      </c>
      <c r="G43">
        <f>2*(SUM(Stand!G44:G52)+Rules!$B$5*Stand!G53)/(9+Rules!$B$5)</f>
        <v>0.57559016859776857</v>
      </c>
      <c r="H43">
        <f>2*(SUM(Stand!H44:H52)+Rules!$B$5*Stand!H53)/(9+Rules!$B$5)</f>
        <v>0.39241245528243773</v>
      </c>
      <c r="I43">
        <f>2*(SUM(Stand!I44:I52)+Rules!$B$5*Stand!I53)/(9+Rules!$B$5)</f>
        <v>0.28663571688628375</v>
      </c>
      <c r="J43">
        <f>2*(SUM(Stand!J44:J52)+Rules!$B$5*Stand!J53)/(9+Rules!$B$5)</f>
        <v>0.1443283683807712</v>
      </c>
      <c r="K43">
        <f>2*(SUM(Stand!K44:K52)+Rules!$B$5*Stand!K53)/(9+Rules!$B$5)</f>
        <v>-8.6586880345446409E-3</v>
      </c>
    </row>
    <row r="44" spans="1:11" x14ac:dyDescent="0.2">
      <c r="A44">
        <v>21</v>
      </c>
      <c r="B44">
        <f>2*(SUM(Stand!B45:B53)+Rules!$B$5*Stand!B54)/(9+Rules!$B$5)</f>
        <v>0.10906077977909699</v>
      </c>
      <c r="C44">
        <f>2*(SUM(Stand!C45:C53)+Rules!$B$5*Stand!C54)/(9+Rules!$B$5)</f>
        <v>0.47064092333946894</v>
      </c>
      <c r="D44">
        <f>2*(SUM(Stand!D45:D53)+Rules!$B$5*Stand!D54)/(9+Rules!$B$5)</f>
        <v>0.51779525312221664</v>
      </c>
      <c r="E44">
        <f>2*(SUM(Stand!E45:E53)+Rules!$B$5*Stand!E54)/(9+Rules!$B$5)</f>
        <v>0.56604055041797596</v>
      </c>
      <c r="F44">
        <f>2*(SUM(Stand!F45:F53)+Rules!$B$5*Stand!F54)/(9+Rules!$B$5)</f>
        <v>0.61469901790902803</v>
      </c>
      <c r="G44">
        <f>2*(SUM(Stand!G45:G53)+Rules!$B$5*Stand!G54)/(9+Rules!$B$5)</f>
        <v>0.66738009490756944</v>
      </c>
      <c r="H44">
        <f>2*(SUM(Stand!H45:H53)+Rules!$B$5*Stand!H54)/(9+Rules!$B$5)</f>
        <v>0.46288894886429088</v>
      </c>
      <c r="I44">
        <f>2*(SUM(Stand!I45:I53)+Rules!$B$5*Stand!I54)/(9+Rules!$B$5)</f>
        <v>0.35069259087031512</v>
      </c>
      <c r="J44">
        <f>2*(SUM(Stand!J45:J53)+Rules!$B$5*Stand!J54)/(9+Rules!$B$5)</f>
        <v>0.22778342315245487</v>
      </c>
      <c r="K44">
        <f>2*(SUM(Stand!K45:K53)+Rules!$B$5*Stand!K54)/(9+Rules!$B$5)</f>
        <v>0.17968872741114625</v>
      </c>
    </row>
    <row r="45" spans="1:11" x14ac:dyDescent="0.2">
      <c r="A45">
        <v>22</v>
      </c>
      <c r="B45">
        <f>B12</f>
        <v>-0.82934393707867271</v>
      </c>
      <c r="C45">
        <f t="shared" ref="C45:K45" si="0">C12</f>
        <v>-0.50677997193327606</v>
      </c>
      <c r="D45">
        <f t="shared" si="0"/>
        <v>-0.46738179959617321</v>
      </c>
      <c r="E45">
        <f t="shared" si="0"/>
        <v>-0.4270731064901539</v>
      </c>
      <c r="F45">
        <f t="shared" si="0"/>
        <v>-0.38654233885256678</v>
      </c>
      <c r="G45">
        <f t="shared" si="0"/>
        <v>-0.34105239981515906</v>
      </c>
      <c r="H45">
        <f t="shared" si="0"/>
        <v>-0.50671162107673018</v>
      </c>
      <c r="I45">
        <f t="shared" si="0"/>
        <v>-0.61566089283034364</v>
      </c>
      <c r="J45">
        <f t="shared" si="0"/>
        <v>-0.73750562104917949</v>
      </c>
      <c r="K45">
        <f t="shared" si="0"/>
        <v>-0.79684059040524136</v>
      </c>
    </row>
    <row r="46" spans="1:11" x14ac:dyDescent="0.2">
      <c r="A46">
        <v>23</v>
      </c>
      <c r="B46">
        <f t="shared" ref="B46:K54" si="1">B13</f>
        <v>-0.88058227943474798</v>
      </c>
      <c r="C46">
        <f t="shared" si="1"/>
        <v>-0.61558247543954125</v>
      </c>
      <c r="D46">
        <f t="shared" si="1"/>
        <v>-0.58242022586760189</v>
      </c>
      <c r="E46">
        <f t="shared" si="1"/>
        <v>-0.54844801279862854</v>
      </c>
      <c r="F46">
        <f t="shared" si="1"/>
        <v>-0.51466654487787822</v>
      </c>
      <c r="G46">
        <f t="shared" si="1"/>
        <v>-0.47125255122592757</v>
      </c>
      <c r="H46">
        <f t="shared" si="1"/>
        <v>-0.58742313134181745</v>
      </c>
      <c r="I46">
        <f t="shared" si="1"/>
        <v>-0.6909658904460948</v>
      </c>
      <c r="J46">
        <f t="shared" si="1"/>
        <v>-0.80779028549054732</v>
      </c>
      <c r="K46">
        <f t="shared" si="1"/>
        <v>-0.86754361594447438</v>
      </c>
    </row>
    <row r="47" spans="1:11" x14ac:dyDescent="0.2">
      <c r="A47">
        <v>24</v>
      </c>
      <c r="B47">
        <f t="shared" si="1"/>
        <v>-0.93182062179082337</v>
      </c>
      <c r="C47">
        <f t="shared" si="1"/>
        <v>-0.72438497894580622</v>
      </c>
      <c r="D47">
        <f t="shared" si="1"/>
        <v>-0.69745865213903058</v>
      </c>
      <c r="E47">
        <f t="shared" si="1"/>
        <v>-0.66982291910710334</v>
      </c>
      <c r="F47">
        <f t="shared" si="1"/>
        <v>-0.64279075090318982</v>
      </c>
      <c r="G47">
        <f t="shared" si="1"/>
        <v>-0.60145270263669615</v>
      </c>
      <c r="H47">
        <f t="shared" si="1"/>
        <v>-0.66813464160690461</v>
      </c>
      <c r="I47">
        <f t="shared" si="1"/>
        <v>-0.76627088806184607</v>
      </c>
      <c r="J47">
        <f t="shared" si="1"/>
        <v>-0.87807494993191493</v>
      </c>
      <c r="K47">
        <f t="shared" si="1"/>
        <v>-0.93824664148370751</v>
      </c>
    </row>
    <row r="48" spans="1:11" x14ac:dyDescent="0.2">
      <c r="A48">
        <v>25</v>
      </c>
      <c r="B48">
        <f t="shared" si="1"/>
        <v>-0.98305896414689875</v>
      </c>
      <c r="C48">
        <f t="shared" si="1"/>
        <v>-0.83318748245207119</v>
      </c>
      <c r="D48">
        <f t="shared" si="1"/>
        <v>-0.81249707841045926</v>
      </c>
      <c r="E48">
        <f t="shared" si="1"/>
        <v>-0.79119782541557804</v>
      </c>
      <c r="F48">
        <f t="shared" si="1"/>
        <v>-0.77091495692850132</v>
      </c>
      <c r="G48">
        <f t="shared" si="1"/>
        <v>-0.73165285404746472</v>
      </c>
      <c r="H48">
        <f t="shared" si="1"/>
        <v>-0.74884615187199166</v>
      </c>
      <c r="I48">
        <f t="shared" si="1"/>
        <v>-0.84157588567759711</v>
      </c>
      <c r="J48">
        <f t="shared" si="1"/>
        <v>-0.94835961437328287</v>
      </c>
      <c r="K48">
        <f t="shared" si="1"/>
        <v>-1.0089496670229408</v>
      </c>
    </row>
    <row r="49" spans="1:11" x14ac:dyDescent="0.2">
      <c r="A49">
        <v>26</v>
      </c>
      <c r="B49">
        <f t="shared" si="1"/>
        <v>-1.0342973065029741</v>
      </c>
      <c r="C49">
        <f t="shared" si="1"/>
        <v>-0.94198998595833627</v>
      </c>
      <c r="D49">
        <f t="shared" si="1"/>
        <v>-0.92753550468188806</v>
      </c>
      <c r="E49">
        <f t="shared" si="1"/>
        <v>-0.91257273172405273</v>
      </c>
      <c r="F49">
        <f t="shared" si="1"/>
        <v>-0.89903916295381292</v>
      </c>
      <c r="G49">
        <f t="shared" si="1"/>
        <v>-0.86185300545823318</v>
      </c>
      <c r="H49">
        <f t="shared" si="1"/>
        <v>-0.82955766213707893</v>
      </c>
      <c r="I49">
        <f t="shared" si="1"/>
        <v>-0.91688088329334838</v>
      </c>
      <c r="J49">
        <f t="shared" si="1"/>
        <v>-1.0186442788146506</v>
      </c>
      <c r="K49">
        <f t="shared" si="1"/>
        <v>-1.0796526925621737</v>
      </c>
    </row>
    <row r="50" spans="1:11" x14ac:dyDescent="0.2">
      <c r="A50">
        <v>27</v>
      </c>
      <c r="B50">
        <f t="shared" si="1"/>
        <v>-1.1145998488114761</v>
      </c>
      <c r="C50">
        <f t="shared" si="1"/>
        <v>-1.0723015878534836</v>
      </c>
      <c r="D50">
        <f t="shared" si="1"/>
        <v>-1.0633483906165688</v>
      </c>
      <c r="E50">
        <f t="shared" si="1"/>
        <v>-1.0540229820093887</v>
      </c>
      <c r="F50">
        <f t="shared" si="1"/>
        <v>-1.0459712590207475</v>
      </c>
      <c r="G50">
        <f t="shared" si="1"/>
        <v>-1.0175051840233627</v>
      </c>
      <c r="H50">
        <f t="shared" si="1"/>
        <v>-0.96697166375512589</v>
      </c>
      <c r="I50">
        <f t="shared" si="1"/>
        <v>-1.0119653492858949</v>
      </c>
      <c r="J50">
        <f t="shared" si="1"/>
        <v>-1.107389780407694</v>
      </c>
      <c r="K50">
        <f t="shared" si="1"/>
        <v>-1.168926441188509</v>
      </c>
    </row>
    <row r="51" spans="1:11" x14ac:dyDescent="0.2">
      <c r="A51">
        <v>28</v>
      </c>
      <c r="B51">
        <f t="shared" si="1"/>
        <v>-1.2530307910248315</v>
      </c>
      <c r="C51">
        <f t="shared" si="1"/>
        <v>-1.2448772651182354</v>
      </c>
      <c r="D51">
        <f t="shared" si="1"/>
        <v>-1.2400099402844629</v>
      </c>
      <c r="E51">
        <f t="shared" si="1"/>
        <v>-1.2349236646551558</v>
      </c>
      <c r="F51">
        <f t="shared" si="1"/>
        <v>-1.2305191351709284</v>
      </c>
      <c r="G51">
        <f t="shared" si="1"/>
        <v>-1.214958094184424</v>
      </c>
      <c r="H51">
        <f t="shared" si="1"/>
        <v>-1.1822876894992109</v>
      </c>
      <c r="I51">
        <f t="shared" si="1"/>
        <v>-1.1821117106119141</v>
      </c>
      <c r="J51">
        <f t="shared" si="1"/>
        <v>-1.2330569563040892</v>
      </c>
      <c r="K51">
        <f t="shared" si="1"/>
        <v>-1.2953416359890493</v>
      </c>
    </row>
    <row r="52" spans="1:11" x14ac:dyDescent="0.2">
      <c r="A52">
        <v>29</v>
      </c>
      <c r="B52">
        <f t="shared" si="1"/>
        <v>-1.4495901331430399</v>
      </c>
      <c r="C52">
        <f t="shared" si="1"/>
        <v>-1.4581549091214032</v>
      </c>
      <c r="D52">
        <f t="shared" si="1"/>
        <v>-1.4560657766841187</v>
      </c>
      <c r="E52">
        <f t="shared" si="1"/>
        <v>-1.4538742684747705</v>
      </c>
      <c r="F52">
        <f t="shared" si="1"/>
        <v>-1.4519825358110645</v>
      </c>
      <c r="G52">
        <f t="shared" si="1"/>
        <v>-1.4451084132286267</v>
      </c>
      <c r="H52">
        <f t="shared" si="1"/>
        <v>-1.4308994580766619</v>
      </c>
      <c r="I52">
        <f t="shared" si="1"/>
        <v>-1.4273199672714054</v>
      </c>
      <c r="J52">
        <f t="shared" si="1"/>
        <v>-1.4311487650837169</v>
      </c>
      <c r="K52">
        <f t="shared" si="1"/>
        <v>-1.4588982769637939</v>
      </c>
    </row>
    <row r="53" spans="1:11" x14ac:dyDescent="0.2">
      <c r="A53">
        <v>30</v>
      </c>
      <c r="B53">
        <f t="shared" si="1"/>
        <v>-1.7042778751661021</v>
      </c>
      <c r="C53">
        <f t="shared" si="1"/>
        <v>-1.7104605360778398</v>
      </c>
      <c r="D53">
        <f t="shared" si="1"/>
        <v>-1.7099537911843461</v>
      </c>
      <c r="E53">
        <f t="shared" si="1"/>
        <v>-1.7094204164667817</v>
      </c>
      <c r="F53">
        <f t="shared" si="1"/>
        <v>-1.7089609497545721</v>
      </c>
      <c r="G53">
        <f t="shared" si="1"/>
        <v>-1.70725588556268</v>
      </c>
      <c r="H53">
        <f t="shared" si="1"/>
        <v>-1.7037036467746889</v>
      </c>
      <c r="I53">
        <f t="shared" si="1"/>
        <v>-1.7029838379716975</v>
      </c>
      <c r="J53">
        <f t="shared" si="1"/>
        <v>-1.7016652067465778</v>
      </c>
      <c r="K53">
        <f t="shared" si="1"/>
        <v>-1.6980579025742819</v>
      </c>
    </row>
    <row r="54" spans="1:11" x14ac:dyDescent="0.2">
      <c r="A54">
        <v>31</v>
      </c>
      <c r="B54">
        <f t="shared" si="1"/>
        <v>-1.8461538461538463</v>
      </c>
      <c r="C54">
        <f t="shared" si="1"/>
        <v>-1.8461538461538463</v>
      </c>
      <c r="D54">
        <f t="shared" si="1"/>
        <v>-1.8461538461538463</v>
      </c>
      <c r="E54">
        <f t="shared" si="1"/>
        <v>-1.8461538461538463</v>
      </c>
      <c r="F54">
        <f t="shared" si="1"/>
        <v>-1.8461538461538463</v>
      </c>
      <c r="G54">
        <f t="shared" si="1"/>
        <v>-1.8461538461538463</v>
      </c>
      <c r="H54">
        <f t="shared" si="1"/>
        <v>-1.8461538461538463</v>
      </c>
      <c r="I54">
        <f t="shared" si="1"/>
        <v>-1.8461538461538463</v>
      </c>
      <c r="J54">
        <f t="shared" si="1"/>
        <v>-1.8461538461538463</v>
      </c>
      <c r="K54">
        <f t="shared" si="1"/>
        <v>-1.8461538461538463</v>
      </c>
    </row>
  </sheetData>
  <sheetProtection sheet="1" objects="1" scenarios="1"/>
  <phoneticPr fontId="16" type="noConversion"/>
  <pageMargins left="0.7" right="0.7" top="0.75" bottom="0.75" header="0.3" footer="0.3"/>
  <pageSetup paperSize="9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X54"/>
  <sheetViews>
    <sheetView topLeftCell="A31" workbookViewId="0">
      <selection activeCell="K9" sqref="K9"/>
    </sheetView>
  </sheetViews>
  <sheetFormatPr baseColWidth="10" defaultColWidth="8.83203125" defaultRowHeight="16" x14ac:dyDescent="0.2"/>
  <cols>
    <col min="12" max="12" width="4.83203125" customWidth="1"/>
    <col min="13" max="13" width="4.6640625" customWidth="1"/>
    <col min="14" max="24" width="4" style="31" customWidth="1"/>
  </cols>
  <sheetData>
    <row r="1" spans="1:24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N1" s="31" t="s">
        <v>7</v>
      </c>
      <c r="O1" s="31">
        <v>1</v>
      </c>
      <c r="P1" s="31">
        <v>2</v>
      </c>
      <c r="Q1" s="31">
        <v>3</v>
      </c>
      <c r="R1" s="31">
        <v>4</v>
      </c>
      <c r="S1" s="31">
        <v>5</v>
      </c>
      <c r="T1" s="31">
        <v>6</v>
      </c>
      <c r="U1" s="31">
        <v>7</v>
      </c>
      <c r="V1" s="31">
        <v>8</v>
      </c>
      <c r="W1" s="31">
        <v>9</v>
      </c>
      <c r="X1" s="31">
        <v>10</v>
      </c>
    </row>
    <row r="2" spans="1:24" x14ac:dyDescent="0.2">
      <c r="A2">
        <v>2</v>
      </c>
      <c r="B2">
        <f>MAX(Hit!B2,Stand!B2,Double!B2)</f>
        <v>-0.20335368314889377</v>
      </c>
      <c r="C2">
        <f>MAX(Hit!C2,Stand!C2,Double!C2)</f>
        <v>-7.5884358318949102E-2</v>
      </c>
      <c r="D2">
        <f>MAX(Hit!D2,Stand!D2,Double!D2)</f>
        <v>-4.9750706146412048E-2</v>
      </c>
      <c r="E2">
        <f>MAX(Hit!E2,Stand!E2,Double!E2)</f>
        <v>-2.2100412135834389E-2</v>
      </c>
      <c r="F2">
        <f>MAX(Hit!F2,Stand!F2,Double!F2)</f>
        <v>1.3730032284783571E-2</v>
      </c>
      <c r="G2">
        <f>MAX(Hit!G2,Stand!G2,Double!G2)</f>
        <v>3.8883411946301231E-2</v>
      </c>
      <c r="H2">
        <f>MAX(Hit!H2,Stand!H2,Double!H2)</f>
        <v>-2.7257021375862247E-2</v>
      </c>
      <c r="I2">
        <f>MAX(Hit!I2,Stand!I2,Double!I2)</f>
        <v>-0.10316172777512726</v>
      </c>
      <c r="J2">
        <f>MAX(Hit!J2,Stand!J2,Double!J2)</f>
        <v>-0.19004714305350842</v>
      </c>
      <c r="K2">
        <f>MAX(Hit!K2,Stand!K2,Double!K2)</f>
        <v>-0.24199803315764098</v>
      </c>
      <c r="N2" s="31">
        <v>2</v>
      </c>
      <c r="O2" s="31" t="str">
        <f>IF(B2=HS!B2,HS!O2,"D")</f>
        <v>H</v>
      </c>
      <c r="P2" s="31" t="str">
        <f>IF(C2=HS!C2,HS!P2,"D")</f>
        <v>H</v>
      </c>
      <c r="Q2" s="31" t="str">
        <f>IF(D2=HS!D2,HS!Q2,"D")</f>
        <v>H</v>
      </c>
      <c r="R2" s="31" t="str">
        <f>IF(E2=HS!E2,HS!R2,"D")</f>
        <v>H</v>
      </c>
      <c r="S2" s="31" t="str">
        <f>IF(F2=HS!F2,HS!S2,"D")</f>
        <v>H</v>
      </c>
      <c r="T2" s="31" t="str">
        <f>IF(G2=HS!G2,HS!T2,"D")</f>
        <v>H</v>
      </c>
      <c r="U2" s="31" t="str">
        <f>IF(H2=HS!H2,HS!U2,"D")</f>
        <v>H</v>
      </c>
      <c r="V2" s="31" t="str">
        <f>IF(I2=HS!I2,HS!V2,"D")</f>
        <v>H</v>
      </c>
      <c r="W2" s="31" t="str">
        <f>IF(J2=HS!J2,HS!W2,"D")</f>
        <v>H</v>
      </c>
      <c r="X2" s="31" t="str">
        <f>IF(K2=HS!K2,HS!X2,"D")</f>
        <v>H</v>
      </c>
    </row>
    <row r="3" spans="1:24" x14ac:dyDescent="0.2">
      <c r="A3">
        <v>3</v>
      </c>
      <c r="B3">
        <f>MAX(Hit!B3,Stand!B3,Double!B3)</f>
        <v>-0.22793749290805351</v>
      </c>
      <c r="C3">
        <f>MAX(Hit!C3,Stand!C3,Double!C3)</f>
        <v>-0.10052250439785246</v>
      </c>
      <c r="D3">
        <f>MAX(Hit!D3,Stand!D3,Double!D3)</f>
        <v>-6.8875858278897514E-2</v>
      </c>
      <c r="E3">
        <f>MAX(Hit!E3,Stand!E3,Double!E3)</f>
        <v>-3.6261290708905339E-2</v>
      </c>
      <c r="F3">
        <f>MAX(Hit!F3,Stand!F3,Double!F3)</f>
        <v>1.6995712139687808E-4</v>
      </c>
      <c r="G3">
        <f>MAX(Hit!G3,Stand!G3,Double!G3)</f>
        <v>2.447130320655936E-2</v>
      </c>
      <c r="H3">
        <f>MAX(Hit!H3,Stand!H3,Double!H3)</f>
        <v>-5.7437588540356667E-2</v>
      </c>
      <c r="I3">
        <f>MAX(Hit!I3,Stand!I3,Double!I3)</f>
        <v>-0.13094188065020101</v>
      </c>
      <c r="J3">
        <f>MAX(Hit!J3,Stand!J3,Double!J3)</f>
        <v>-0.21507662281362433</v>
      </c>
      <c r="K3">
        <f>MAX(Hit!K3,Stand!K3,Double!K3)</f>
        <v>-0.26532921479747562</v>
      </c>
      <c r="N3" s="31">
        <v>3</v>
      </c>
      <c r="O3" s="31" t="str">
        <f>IF(B3=HS!B3,HS!O3,"D")</f>
        <v>H</v>
      </c>
      <c r="P3" s="31" t="str">
        <f>IF(C3=HS!C3,HS!P3,"D")</f>
        <v>H</v>
      </c>
      <c r="Q3" s="31" t="str">
        <f>IF(D3=HS!D3,HS!Q3,"D")</f>
        <v>H</v>
      </c>
      <c r="R3" s="31" t="str">
        <f>IF(E3=HS!E3,HS!R3,"D")</f>
        <v>H</v>
      </c>
      <c r="S3" s="31" t="str">
        <f>IF(F3=HS!F3,HS!S3,"D")</f>
        <v>H</v>
      </c>
      <c r="T3" s="31" t="str">
        <f>IF(G3=HS!G3,HS!T3,"D")</f>
        <v>H</v>
      </c>
      <c r="U3" s="31" t="str">
        <f>IF(H3=HS!H3,HS!U3,"D")</f>
        <v>H</v>
      </c>
      <c r="V3" s="31" t="str">
        <f>IF(I3=HS!I3,HS!V3,"D")</f>
        <v>H</v>
      </c>
      <c r="W3" s="31" t="str">
        <f>IF(J3=HS!J3,HS!W3,"D")</f>
        <v>H</v>
      </c>
      <c r="X3" s="31" t="str">
        <f>IF(K3=HS!K3,HS!X3,"D")</f>
        <v>H</v>
      </c>
    </row>
    <row r="4" spans="1:24" x14ac:dyDescent="0.2">
      <c r="A4">
        <v>4</v>
      </c>
      <c r="B4">
        <f>MAX(Hit!B4,Stand!B4,Double!B4)</f>
        <v>-0.25307699440390863</v>
      </c>
      <c r="C4">
        <f>MAX(Hit!C4,Stand!C4,Double!C4)</f>
        <v>-0.11491332761892134</v>
      </c>
      <c r="D4">
        <f>MAX(Hit!D4,Stand!D4,Double!D4)</f>
        <v>-8.2613314299744361E-2</v>
      </c>
      <c r="E4">
        <f>MAX(Hit!E4,Stand!E4,Double!E4)</f>
        <v>-4.9367420106916922E-2</v>
      </c>
      <c r="F4">
        <f>MAX(Hit!F4,Stand!F4,Double!F4)</f>
        <v>-1.2379926519926384E-2</v>
      </c>
      <c r="G4">
        <f>MAX(Hit!G4,Stand!G4,Double!G4)</f>
        <v>1.1130417280979797E-2</v>
      </c>
      <c r="H4">
        <f>MAX(Hit!H4,Stand!H4,Double!H4)</f>
        <v>-8.8279201058463722E-2</v>
      </c>
      <c r="I4">
        <f>MAX(Hit!I4,Stand!I4,Double!I4)</f>
        <v>-0.15933415266020512</v>
      </c>
      <c r="J4">
        <f>MAX(Hit!J4,Stand!J4,Double!J4)</f>
        <v>-0.24066617915336547</v>
      </c>
      <c r="K4">
        <f>MAX(Hit!K4,Stand!K4,Double!K4)</f>
        <v>-0.28919791448567511</v>
      </c>
      <c r="N4" s="31">
        <v>4</v>
      </c>
      <c r="O4" s="31" t="str">
        <f>IF(B4=HS!B4,HS!O4,"D")</f>
        <v>H</v>
      </c>
      <c r="P4" s="31" t="str">
        <f>IF(C4=HS!C4,HS!P4,"D")</f>
        <v>H</v>
      </c>
      <c r="Q4" s="31" t="str">
        <f>IF(D4=HS!D4,HS!Q4,"D")</f>
        <v>H</v>
      </c>
      <c r="R4" s="31" t="str">
        <f>IF(E4=HS!E4,HS!R4,"D")</f>
        <v>H</v>
      </c>
      <c r="S4" s="31" t="str">
        <f>IF(F4=HS!F4,HS!S4,"D")</f>
        <v>H</v>
      </c>
      <c r="T4" s="31" t="str">
        <f>IF(G4=HS!G4,HS!T4,"D")</f>
        <v>H</v>
      </c>
      <c r="U4" s="31" t="str">
        <f>IF(H4=HS!H4,HS!U4,"D")</f>
        <v>H</v>
      </c>
      <c r="V4" s="31" t="str">
        <f>IF(I4=HS!I4,HS!V4,"D")</f>
        <v>H</v>
      </c>
      <c r="W4" s="31" t="str">
        <f>IF(J4=HS!J4,HS!W4,"D")</f>
        <v>H</v>
      </c>
      <c r="X4" s="31" t="str">
        <f>IF(K4=HS!K4,HS!X4,"D")</f>
        <v>H</v>
      </c>
    </row>
    <row r="5" spans="1:24" x14ac:dyDescent="0.2">
      <c r="A5">
        <v>5</v>
      </c>
      <c r="B5">
        <f>MAX(Hit!B5,Stand!B5,Double!B5)</f>
        <v>-0.27857459755181968</v>
      </c>
      <c r="C5">
        <f>MAX(Hit!C5,Stand!C5,Double!C5)</f>
        <v>-0.12821556706374745</v>
      </c>
      <c r="D5">
        <f>MAX(Hit!D5,Stand!D5,Double!D5)</f>
        <v>-9.5310227261489883E-2</v>
      </c>
      <c r="E5">
        <f>MAX(Hit!E5,Stand!E5,Double!E5)</f>
        <v>-6.1479464199694238E-2</v>
      </c>
      <c r="F5">
        <f>MAX(Hit!F5,Stand!F5,Double!F5)</f>
        <v>-2.397897039185962E-2</v>
      </c>
      <c r="G5">
        <f>MAX(Hit!G5,Stand!G5,Double!G5)</f>
        <v>-1.1863378384401623E-3</v>
      </c>
      <c r="H5">
        <f>MAX(Hit!H5,Stand!H5,Double!H5)</f>
        <v>-0.11944744188414852</v>
      </c>
      <c r="I5">
        <f>MAX(Hit!I5,Stand!I5,Double!I5)</f>
        <v>-0.18809330390318524</v>
      </c>
      <c r="J5">
        <f>MAX(Hit!J5,Stand!J5,Double!J5)</f>
        <v>-0.26661505335795899</v>
      </c>
      <c r="K5">
        <f>MAX(Hit!K5,Stand!K5,Double!K5)</f>
        <v>-0.31341164336497107</v>
      </c>
      <c r="N5" s="31">
        <v>5</v>
      </c>
      <c r="O5" s="31" t="str">
        <f>IF(B5=HS!B5,HS!O5,"D")</f>
        <v>H</v>
      </c>
      <c r="P5" s="31" t="str">
        <f>IF(C5=HS!C5,HS!P5,"D")</f>
        <v>H</v>
      </c>
      <c r="Q5" s="31" t="str">
        <f>IF(D5=HS!D5,HS!Q5,"D")</f>
        <v>H</v>
      </c>
      <c r="R5" s="31" t="str">
        <f>IF(E5=HS!E5,HS!R5,"D")</f>
        <v>H</v>
      </c>
      <c r="S5" s="31" t="str">
        <f>IF(F5=HS!F5,HS!S5,"D")</f>
        <v>H</v>
      </c>
      <c r="T5" s="31" t="str">
        <f>IF(G5=HS!G5,HS!T5,"D")</f>
        <v>H</v>
      </c>
      <c r="U5" s="31" t="str">
        <f>IF(H5=HS!H5,HS!U5,"D")</f>
        <v>H</v>
      </c>
      <c r="V5" s="31" t="str">
        <f>IF(I5=HS!I5,HS!V5,"D")</f>
        <v>H</v>
      </c>
      <c r="W5" s="31" t="str">
        <f>IF(J5=HS!J5,HS!W5,"D")</f>
        <v>H</v>
      </c>
      <c r="X5" s="31" t="str">
        <f>IF(K5=HS!K5,HS!X5,"D")</f>
        <v>H</v>
      </c>
    </row>
    <row r="6" spans="1:24" x14ac:dyDescent="0.2">
      <c r="A6">
        <v>6</v>
      </c>
      <c r="B6">
        <f>MAX(Hit!B6,Stand!B6,Double!B6)</f>
        <v>-0.30414663097569933</v>
      </c>
      <c r="C6">
        <f>MAX(Hit!C6,Stand!C6,Double!C6)</f>
        <v>-0.14075911746001987</v>
      </c>
      <c r="D6">
        <f>MAX(Hit!D6,Stand!D6,Double!D6)</f>
        <v>-0.10729107800860836</v>
      </c>
      <c r="E6">
        <f>MAX(Hit!E6,Stand!E6,Double!E6)</f>
        <v>-7.2917141926387305E-2</v>
      </c>
      <c r="F6">
        <f>MAX(Hit!F6,Stand!F6,Double!F6)</f>
        <v>-3.4915973330102178E-2</v>
      </c>
      <c r="G6">
        <f>MAX(Hit!G6,Stand!G6,Double!G6)</f>
        <v>-1.3005835529874294E-2</v>
      </c>
      <c r="H6">
        <f>MAX(Hit!H6,Stand!H6,Double!H6)</f>
        <v>-0.15193270723669944</v>
      </c>
      <c r="I6">
        <f>MAX(Hit!I6,Stand!I6,Double!I6)</f>
        <v>-0.21724188132078476</v>
      </c>
      <c r="J6">
        <f>MAX(Hit!J6,Stand!J6,Double!J6)</f>
        <v>-0.29264070019772598</v>
      </c>
      <c r="K6">
        <f>MAX(Hit!K6,Stand!K6,Double!K6)</f>
        <v>-0.33774944037840804</v>
      </c>
      <c r="N6" s="31">
        <v>6</v>
      </c>
      <c r="O6" s="31" t="str">
        <f>IF(B6=HS!B6,HS!O6,"D")</f>
        <v>H</v>
      </c>
      <c r="P6" s="31" t="str">
        <f>IF(C6=HS!C6,HS!P6,"D")</f>
        <v>H</v>
      </c>
      <c r="Q6" s="31" t="str">
        <f>IF(D6=HS!D6,HS!Q6,"D")</f>
        <v>H</v>
      </c>
      <c r="R6" s="31" t="str">
        <f>IF(E6=HS!E6,HS!R6,"D")</f>
        <v>H</v>
      </c>
      <c r="S6" s="31" t="str">
        <f>IF(F6=HS!F6,HS!S6,"D")</f>
        <v>H</v>
      </c>
      <c r="T6" s="31" t="str">
        <f>IF(G6=HS!G6,HS!T6,"D")</f>
        <v>H</v>
      </c>
      <c r="U6" s="31" t="str">
        <f>IF(H6=HS!H6,HS!U6,"D")</f>
        <v>H</v>
      </c>
      <c r="V6" s="31" t="str">
        <f>IF(I6=HS!I6,HS!V6,"D")</f>
        <v>H</v>
      </c>
      <c r="W6" s="31" t="str">
        <f>IF(J6=HS!J6,HS!W6,"D")</f>
        <v>H</v>
      </c>
      <c r="X6" s="31" t="str">
        <f>IF(K6=HS!K6,HS!X6,"D")</f>
        <v>H</v>
      </c>
    </row>
    <row r="7" spans="1:24" x14ac:dyDescent="0.2">
      <c r="A7">
        <v>7</v>
      </c>
      <c r="B7">
        <f>MAX(Hit!B7,Stand!B7,Double!B7)</f>
        <v>-0.31007165033163697</v>
      </c>
      <c r="C7">
        <f>MAX(Hit!C7,Stand!C7,Double!C7)</f>
        <v>-0.10918342786661633</v>
      </c>
      <c r="D7">
        <f>MAX(Hit!D7,Stand!D7,Double!D7)</f>
        <v>-7.658298190446361E-2</v>
      </c>
      <c r="E7">
        <f>MAX(Hit!E7,Stand!E7,Double!E7)</f>
        <v>-4.3021794004341876E-2</v>
      </c>
      <c r="F7">
        <f>MAX(Hit!F7,Stand!F7,Double!F7)</f>
        <v>-7.2713609029408845E-3</v>
      </c>
      <c r="G7">
        <f>MAX(Hit!G7,Stand!G7,Double!G7)</f>
        <v>2.9185342353860864E-2</v>
      </c>
      <c r="H7">
        <f>MAX(Hit!H7,Stand!H7,Double!H7)</f>
        <v>-6.8807799580427764E-2</v>
      </c>
      <c r="I7">
        <f>MAX(Hit!I7,Stand!I7,Double!I7)</f>
        <v>-0.21060476872434969</v>
      </c>
      <c r="J7">
        <f>MAX(Hit!J7,Stand!J7,Double!J7)</f>
        <v>-0.28536544048687656</v>
      </c>
      <c r="K7">
        <f>MAX(Hit!K7,Stand!K7,Double!K7)</f>
        <v>-0.31905479139833842</v>
      </c>
      <c r="N7" s="31">
        <v>7</v>
      </c>
      <c r="O7" s="31" t="str">
        <f>IF(B7=HS!B7,HS!O7,"D")</f>
        <v>H</v>
      </c>
      <c r="P7" s="31" t="str">
        <f>IF(C7=HS!C7,HS!P7,"D")</f>
        <v>H</v>
      </c>
      <c r="Q7" s="31" t="str">
        <f>IF(D7=HS!D7,HS!Q7,"D")</f>
        <v>H</v>
      </c>
      <c r="R7" s="31" t="str">
        <f>IF(E7=HS!E7,HS!R7,"D")</f>
        <v>H</v>
      </c>
      <c r="S7" s="31" t="str">
        <f>IF(F7=HS!F7,HS!S7,"D")</f>
        <v>H</v>
      </c>
      <c r="T7" s="31" t="str">
        <f>IF(G7=HS!G7,HS!T7,"D")</f>
        <v>H</v>
      </c>
      <c r="U7" s="31" t="str">
        <f>IF(H7=HS!H7,HS!U7,"D")</f>
        <v>H</v>
      </c>
      <c r="V7" s="31" t="str">
        <f>IF(I7=HS!I7,HS!V7,"D")</f>
        <v>H</v>
      </c>
      <c r="W7" s="31" t="str">
        <f>IF(J7=HS!J7,HS!W7,"D")</f>
        <v>H</v>
      </c>
      <c r="X7" s="31" t="str">
        <f>IF(K7=HS!K7,HS!X7,"D")</f>
        <v>H</v>
      </c>
    </row>
    <row r="8" spans="1:24" x14ac:dyDescent="0.2">
      <c r="A8">
        <v>8</v>
      </c>
      <c r="B8">
        <f>MAX(Hit!B8,Stand!B8,Double!B8)</f>
        <v>-0.1970288105741636</v>
      </c>
      <c r="C8">
        <f>MAX(Hit!C8,Stand!C8,Double!C8)</f>
        <v>-2.1798188008805668E-2</v>
      </c>
      <c r="D8">
        <f>MAX(Hit!D8,Stand!D8,Double!D8)</f>
        <v>8.0052625306546825E-3</v>
      </c>
      <c r="E8">
        <f>MAX(Hit!E8,Stand!E8,Double!E8)</f>
        <v>3.8784473277208811E-2</v>
      </c>
      <c r="F8">
        <f>MAX(Hit!F8,Stand!F8,Double!F8)</f>
        <v>7.0804635983033826E-2</v>
      </c>
      <c r="G8">
        <f>MAX(Hit!G8,Stand!G8,Double!G8)</f>
        <v>0.11496015009622321</v>
      </c>
      <c r="H8">
        <f>MAX(Hit!H8,Stand!H8,Double!H8)</f>
        <v>8.2207439363742862E-2</v>
      </c>
      <c r="I8">
        <f>MAX(Hit!I8,Stand!I8,Double!I8)</f>
        <v>-5.9898275658656304E-2</v>
      </c>
      <c r="J8">
        <f>MAX(Hit!J8,Stand!J8,Double!J8)</f>
        <v>-0.21018633199821757</v>
      </c>
      <c r="K8">
        <f>MAX(Hit!K8,Stand!K8,Double!K8)</f>
        <v>-0.24937508055334259</v>
      </c>
      <c r="N8" s="31">
        <v>8</v>
      </c>
      <c r="O8" s="31" t="str">
        <f>IF(B8=HS!B8,HS!O8,"D")</f>
        <v>H</v>
      </c>
      <c r="P8" s="31" t="str">
        <f>IF(C8=HS!C8,HS!P8,"D")</f>
        <v>H</v>
      </c>
      <c r="Q8" s="31" t="str">
        <f>IF(D8=HS!D8,HS!Q8,"D")</f>
        <v>H</v>
      </c>
      <c r="R8" s="31" t="str">
        <f>IF(E8=HS!E8,HS!R8,"D")</f>
        <v>H</v>
      </c>
      <c r="S8" s="31" t="str">
        <f>IF(F8=HS!F8,HS!S8,"D")</f>
        <v>H</v>
      </c>
      <c r="T8" s="31" t="str">
        <f>IF(G8=HS!G8,HS!T8,"D")</f>
        <v>H</v>
      </c>
      <c r="U8" s="31" t="str">
        <f>IF(H8=HS!H8,HS!U8,"D")</f>
        <v>H</v>
      </c>
      <c r="V8" s="31" t="str">
        <f>IF(I8=HS!I8,HS!V8,"D")</f>
        <v>H</v>
      </c>
      <c r="W8" s="31" t="str">
        <f>IF(J8=HS!J8,HS!W8,"D")</f>
        <v>H</v>
      </c>
      <c r="X8" s="31" t="str">
        <f>IF(K8=HS!K8,HS!X8,"D")</f>
        <v>H</v>
      </c>
    </row>
    <row r="9" spans="1:24" x14ac:dyDescent="0.2">
      <c r="A9">
        <v>9</v>
      </c>
      <c r="B9">
        <f>MAX(Hit!B9,Stand!B9,Double!B9)</f>
        <v>-6.5680778778066204E-2</v>
      </c>
      <c r="C9">
        <f>MAX(Hit!C9,Stand!C9,Double!C9)</f>
        <v>7.4446037576340524E-2</v>
      </c>
      <c r="D9">
        <f>MAX(Hit!D9,Stand!D9,Double!D9)</f>
        <v>0.12081635332999649</v>
      </c>
      <c r="E9">
        <f>MAX(Hit!E9,Stand!E9,Double!E9)</f>
        <v>0.18194893405242166</v>
      </c>
      <c r="F9">
        <f>MAX(Hit!F9,Stand!F9,Double!F9)</f>
        <v>0.24305722487303633</v>
      </c>
      <c r="G9">
        <f>MAX(Hit!G9,Stand!G9,Double!G9)</f>
        <v>0.31705474570166692</v>
      </c>
      <c r="H9">
        <f>MAX(Hit!H9,Stand!H9,Double!H9)</f>
        <v>0.17186785993695267</v>
      </c>
      <c r="I9">
        <f>MAX(Hit!I9,Stand!I9,Double!I9)</f>
        <v>9.8376217435392516E-2</v>
      </c>
      <c r="J9">
        <f>MAX(Hit!J9,Stand!J9,Double!J9)</f>
        <v>-5.2178053462651669E-2</v>
      </c>
      <c r="K9">
        <f>MAX(Hit!K9,Stand!K9,Double!K9)</f>
        <v>-0.15295298487455075</v>
      </c>
      <c r="N9" s="31">
        <v>9</v>
      </c>
      <c r="O9" s="31" t="str">
        <f>IF(B9=HS!B9,HS!O9,"D")</f>
        <v>H</v>
      </c>
      <c r="P9" s="31" t="str">
        <f>IF(C9=HS!C9,HS!P9,"D")</f>
        <v>H</v>
      </c>
      <c r="Q9" s="31" t="str">
        <f>IF(D9=HS!D9,HS!Q9,"D")</f>
        <v>D</v>
      </c>
      <c r="R9" s="31" t="str">
        <f>IF(E9=HS!E9,HS!R9,"D")</f>
        <v>D</v>
      </c>
      <c r="S9" s="31" t="str">
        <f>IF(F9=HS!F9,HS!S9,"D")</f>
        <v>D</v>
      </c>
      <c r="T9" s="31" t="str">
        <f>IF(G9=HS!G9,HS!T9,"D")</f>
        <v>D</v>
      </c>
      <c r="U9" s="31" t="str">
        <f>IF(H9=HS!H9,HS!U9,"D")</f>
        <v>H</v>
      </c>
      <c r="V9" s="31" t="str">
        <f>IF(I9=HS!I9,HS!V9,"D")</f>
        <v>H</v>
      </c>
      <c r="W9" s="31" t="str">
        <f>IF(J9=HS!J9,HS!W9,"D")</f>
        <v>H</v>
      </c>
      <c r="X9" s="31" t="str">
        <f>IF(K9=HS!K9,HS!X9,"D")</f>
        <v>H</v>
      </c>
    </row>
    <row r="10" spans="1:24" x14ac:dyDescent="0.2">
      <c r="A10">
        <v>10</v>
      </c>
      <c r="B10">
        <f>MAX(Hit!B10,Stand!B10,Double!B10)</f>
        <v>8.1449707945275923E-2</v>
      </c>
      <c r="C10">
        <f>MAX(Hit!C10,Stand!C10,Double!C10)</f>
        <v>0.3589394124422991</v>
      </c>
      <c r="D10">
        <f>MAX(Hit!D10,Stand!D10,Double!D10)</f>
        <v>0.40932067017593915</v>
      </c>
      <c r="E10">
        <f>MAX(Hit!E10,Stand!E10,Double!E10)</f>
        <v>0.460940243794354</v>
      </c>
      <c r="F10">
        <f>MAX(Hit!F10,Stand!F10,Double!F10)</f>
        <v>0.51251710900326775</v>
      </c>
      <c r="G10">
        <f>MAX(Hit!G10,Stand!G10,Double!G10)</f>
        <v>0.57559016859776857</v>
      </c>
      <c r="H10">
        <f>MAX(Hit!H10,Stand!H10,Double!H10)</f>
        <v>0.39241245528243773</v>
      </c>
      <c r="I10">
        <f>MAX(Hit!I10,Stand!I10,Double!I10)</f>
        <v>0.28663571688628381</v>
      </c>
      <c r="J10">
        <f>MAX(Hit!J10,Stand!J10,Double!J10)</f>
        <v>0.1443283683807712</v>
      </c>
      <c r="K10">
        <f>MAX(Hit!K10,Stand!K10,Double!K10)</f>
        <v>2.5308523040868145E-2</v>
      </c>
      <c r="N10" s="31">
        <v>10</v>
      </c>
      <c r="O10" s="31" t="str">
        <f>IF(B10=HS!B10,HS!O10,"D")</f>
        <v>H</v>
      </c>
      <c r="P10" s="31" t="str">
        <f>IF(C10=HS!C10,HS!P10,"D")</f>
        <v>D</v>
      </c>
      <c r="Q10" s="31" t="str">
        <f>IF(D10=HS!D10,HS!Q10,"D")</f>
        <v>D</v>
      </c>
      <c r="R10" s="31" t="str">
        <f>IF(E10=HS!E10,HS!R10,"D")</f>
        <v>D</v>
      </c>
      <c r="S10" s="31" t="str">
        <f>IF(F10=HS!F10,HS!S10,"D")</f>
        <v>D</v>
      </c>
      <c r="T10" s="31" t="str">
        <f>IF(G10=HS!G10,HS!T10,"D")</f>
        <v>D</v>
      </c>
      <c r="U10" s="31" t="str">
        <f>IF(H10=HS!H10,HS!U10,"D")</f>
        <v>D</v>
      </c>
      <c r="V10" s="31" t="str">
        <f>IF(I10=HS!I10,HS!V10,"D")</f>
        <v>D</v>
      </c>
      <c r="W10" s="31" t="str">
        <f>IF(J10=HS!J10,HS!W10,"D")</f>
        <v>D</v>
      </c>
      <c r="X10" s="31" t="str">
        <f>IF(K10=HS!K10,HS!X10,"D")</f>
        <v>H</v>
      </c>
    </row>
    <row r="11" spans="1:24" x14ac:dyDescent="0.2">
      <c r="A11">
        <v>11</v>
      </c>
      <c r="B11">
        <f>MAX(Hit!B11,Stand!B11,Double!B11)</f>
        <v>0.14300128216153027</v>
      </c>
      <c r="C11">
        <f>MAX(Hit!C11,Stand!C11,Double!C11)</f>
        <v>0.47064092333946889</v>
      </c>
      <c r="D11">
        <f>MAX(Hit!D11,Stand!D11,Double!D11)</f>
        <v>0.51779525312221675</v>
      </c>
      <c r="E11">
        <f>MAX(Hit!E11,Stand!E11,Double!E11)</f>
        <v>0.56604055041797607</v>
      </c>
      <c r="F11">
        <f>MAX(Hit!F11,Stand!F11,Double!F11)</f>
        <v>0.61469901790902803</v>
      </c>
      <c r="G11">
        <f>MAX(Hit!G11,Stand!G11,Double!G11)</f>
        <v>0.66738009490756944</v>
      </c>
      <c r="H11">
        <f>MAX(Hit!H11,Stand!H11,Double!H11)</f>
        <v>0.46288894886429077</v>
      </c>
      <c r="I11">
        <f>MAX(Hit!I11,Stand!I11,Double!I11)</f>
        <v>0.35069259087031501</v>
      </c>
      <c r="J11">
        <f>MAX(Hit!J11,Stand!J11,Double!J11)</f>
        <v>0.22778342315245487</v>
      </c>
      <c r="K11">
        <f>MAX(Hit!K11,Stand!K11,Double!K11)</f>
        <v>0.1796887274111463</v>
      </c>
      <c r="N11" s="31">
        <v>11</v>
      </c>
      <c r="O11" s="31" t="str">
        <f>IF(B11=HS!B11,HS!O11,"D")</f>
        <v>H</v>
      </c>
      <c r="P11" s="31" t="str">
        <f>IF(C11=HS!C11,HS!P11,"D")</f>
        <v>D</v>
      </c>
      <c r="Q11" s="31" t="str">
        <f>IF(D11=HS!D11,HS!Q11,"D")</f>
        <v>D</v>
      </c>
      <c r="R11" s="31" t="str">
        <f>IF(E11=HS!E11,HS!R11,"D")</f>
        <v>D</v>
      </c>
      <c r="S11" s="31" t="str">
        <f>IF(F11=HS!F11,HS!S11,"D")</f>
        <v>D</v>
      </c>
      <c r="T11" s="31" t="str">
        <f>IF(G11=HS!G11,HS!T11,"D")</f>
        <v>D</v>
      </c>
      <c r="U11" s="31" t="str">
        <f>IF(H11=HS!H11,HS!U11,"D")</f>
        <v>D</v>
      </c>
      <c r="V11" s="31" t="str">
        <f>IF(I11=HS!I11,HS!V11,"D")</f>
        <v>D</v>
      </c>
      <c r="W11" s="31" t="str">
        <f>IF(J11=HS!J11,HS!W11,"D")</f>
        <v>D</v>
      </c>
      <c r="X11" s="31" t="str">
        <f>IF(K11=HS!K11,HS!X11,"D")</f>
        <v>D</v>
      </c>
    </row>
    <row r="12" spans="1:24" x14ac:dyDescent="0.2">
      <c r="A12">
        <v>12</v>
      </c>
      <c r="B12">
        <f>MAX(Hit!B12,Stand!B12,Double!B12)</f>
        <v>-0.35054034044008009</v>
      </c>
      <c r="C12">
        <f>MAX(Hit!C12,Stand!C12,Double!C12)</f>
        <v>-0.25338998596663809</v>
      </c>
      <c r="D12">
        <f>MAX(Hit!D12,Stand!D12,Double!D12)</f>
        <v>-0.2336908997980866</v>
      </c>
      <c r="E12">
        <f>MAX(Hit!E12,Stand!E12,Double!E12)</f>
        <v>-0.21106310899491437</v>
      </c>
      <c r="F12">
        <f>MAX(Hit!F12,Stand!F12,Double!F12)</f>
        <v>-0.16719266083547524</v>
      </c>
      <c r="G12">
        <f>MAX(Hit!G12,Stand!G12,Double!G12)</f>
        <v>-0.1536990158300045</v>
      </c>
      <c r="H12">
        <f>MAX(Hit!H12,Stand!H12,Double!H12)</f>
        <v>-0.21284771451731424</v>
      </c>
      <c r="I12">
        <f>MAX(Hit!I12,Stand!I12,Double!I12)</f>
        <v>-0.27157480502428616</v>
      </c>
      <c r="J12">
        <f>MAX(Hit!J12,Stand!J12,Double!J12)</f>
        <v>-0.3400132806089356</v>
      </c>
      <c r="K12">
        <f>MAX(Hit!K12,Stand!K12,Double!K12)</f>
        <v>-0.38104299284808768</v>
      </c>
      <c r="N12" s="31">
        <v>12</v>
      </c>
      <c r="O12" s="31" t="str">
        <f>IF(B12=HS!B12,HS!O12,"D")</f>
        <v>H</v>
      </c>
      <c r="P12" s="31" t="str">
        <f>IF(C12=HS!C12,HS!P12,"D")</f>
        <v>H</v>
      </c>
      <c r="Q12" s="31" t="str">
        <f>IF(D12=HS!D12,HS!Q12,"D")</f>
        <v>H</v>
      </c>
      <c r="R12" s="31" t="str">
        <f>IF(E12=HS!E12,HS!R12,"D")</f>
        <v>S</v>
      </c>
      <c r="S12" s="31" t="str">
        <f>IF(F12=HS!F12,HS!S12,"D")</f>
        <v>S</v>
      </c>
      <c r="T12" s="31" t="str">
        <f>IF(G12=HS!G12,HS!T12,"D")</f>
        <v>S</v>
      </c>
      <c r="U12" s="31" t="str">
        <f>IF(H12=HS!H12,HS!U12,"D")</f>
        <v>H</v>
      </c>
      <c r="V12" s="31" t="str">
        <f>IF(I12=HS!I12,HS!V12,"D")</f>
        <v>H</v>
      </c>
      <c r="W12" s="31" t="str">
        <f>IF(J12=HS!J12,HS!W12,"D")</f>
        <v>H</v>
      </c>
      <c r="X12" s="31" t="str">
        <f>IF(K12=HS!K12,HS!X12,"D")</f>
        <v>H</v>
      </c>
    </row>
    <row r="13" spans="1:24" x14ac:dyDescent="0.2">
      <c r="A13">
        <v>13</v>
      </c>
      <c r="B13">
        <f>MAX(Hit!B13,Stand!B13,Double!B13)</f>
        <v>-0.3969303161229315</v>
      </c>
      <c r="C13">
        <f>MAX(Hit!C13,Stand!C13,Double!C13)</f>
        <v>-0.29278372720927726</v>
      </c>
      <c r="D13">
        <f>MAX(Hit!D13,Stand!D13,Double!D13)</f>
        <v>-0.2522502292357135</v>
      </c>
      <c r="E13">
        <f>MAX(Hit!E13,Stand!E13,Double!E13)</f>
        <v>-0.21106310899491437</v>
      </c>
      <c r="F13">
        <f>MAX(Hit!F13,Stand!F13,Double!F13)</f>
        <v>-0.16719266083547524</v>
      </c>
      <c r="G13">
        <f>MAX(Hit!G13,Stand!G13,Double!G13)</f>
        <v>-0.1536990158300045</v>
      </c>
      <c r="H13">
        <f>MAX(Hit!H13,Stand!H13,Double!H13)</f>
        <v>-0.26907287776607752</v>
      </c>
      <c r="I13">
        <f>MAX(Hit!I13,Stand!I13,Double!I13)</f>
        <v>-0.32360517609397998</v>
      </c>
      <c r="J13">
        <f>MAX(Hit!J13,Stand!J13,Double!J13)</f>
        <v>-0.38715518913686875</v>
      </c>
      <c r="K13">
        <f>MAX(Hit!K13,Stand!K13,Double!K13)</f>
        <v>-0.42525420764465277</v>
      </c>
      <c r="N13" s="31">
        <v>13</v>
      </c>
      <c r="O13" s="31" t="str">
        <f>IF(B13=HS!B13,HS!O13,"D")</f>
        <v>H</v>
      </c>
      <c r="P13" s="31" t="str">
        <f>IF(C13=HS!C13,HS!P13,"D")</f>
        <v>S</v>
      </c>
      <c r="Q13" s="31" t="str">
        <f>IF(D13=HS!D13,HS!Q13,"D")</f>
        <v>S</v>
      </c>
      <c r="R13" s="31" t="str">
        <f>IF(E13=HS!E13,HS!R13,"D")</f>
        <v>S</v>
      </c>
      <c r="S13" s="31" t="str">
        <f>IF(F13=HS!F13,HS!S13,"D")</f>
        <v>S</v>
      </c>
      <c r="T13" s="31" t="str">
        <f>IF(G13=HS!G13,HS!T13,"D")</f>
        <v>S</v>
      </c>
      <c r="U13" s="31" t="str">
        <f>IF(H13=HS!H13,HS!U13,"D")</f>
        <v>H</v>
      </c>
      <c r="V13" s="31" t="str">
        <f>IF(I13=HS!I13,HS!V13,"D")</f>
        <v>H</v>
      </c>
      <c r="W13" s="31" t="str">
        <f>IF(J13=HS!J13,HS!W13,"D")</f>
        <v>H</v>
      </c>
      <c r="X13" s="31" t="str">
        <f>IF(K13=HS!K13,HS!X13,"D")</f>
        <v>H</v>
      </c>
    </row>
    <row r="14" spans="1:24" x14ac:dyDescent="0.2">
      <c r="A14">
        <v>14</v>
      </c>
      <c r="B14">
        <f>MAX(Hit!B14,Stand!B14,Double!B14)</f>
        <v>-0.44000672211415065</v>
      </c>
      <c r="C14">
        <f>MAX(Hit!C14,Stand!C14,Double!C14)</f>
        <v>-0.29278372720927726</v>
      </c>
      <c r="D14">
        <f>MAX(Hit!D14,Stand!D14,Double!D14)</f>
        <v>-0.2522502292357135</v>
      </c>
      <c r="E14">
        <f>MAX(Hit!E14,Stand!E14,Double!E14)</f>
        <v>-0.21106310899491437</v>
      </c>
      <c r="F14">
        <f>MAX(Hit!F14,Stand!F14,Double!F14)</f>
        <v>-0.16719266083547524</v>
      </c>
      <c r="G14">
        <f>MAX(Hit!G14,Stand!G14,Double!G14)</f>
        <v>-0.1536990158300045</v>
      </c>
      <c r="H14">
        <f>MAX(Hit!H14,Stand!H14,Double!H14)</f>
        <v>-0.3212819579256434</v>
      </c>
      <c r="I14">
        <f>MAX(Hit!I14,Stand!I14,Double!I14)</f>
        <v>-0.37191909208726714</v>
      </c>
      <c r="J14">
        <f>MAX(Hit!J14,Stand!J14,Double!J14)</f>
        <v>-0.43092981848423528</v>
      </c>
      <c r="K14">
        <f>MAX(Hit!K14,Stand!K14,Double!K14)</f>
        <v>-0.46630747852717758</v>
      </c>
      <c r="N14" s="31">
        <v>14</v>
      </c>
      <c r="O14" s="31" t="str">
        <f>IF(B14=HS!B14,HS!O14,"D")</f>
        <v>H</v>
      </c>
      <c r="P14" s="31" t="str">
        <f>IF(C14=HS!C14,HS!P14,"D")</f>
        <v>S</v>
      </c>
      <c r="Q14" s="31" t="str">
        <f>IF(D14=HS!D14,HS!Q14,"D")</f>
        <v>S</v>
      </c>
      <c r="R14" s="31" t="str">
        <f>IF(E14=HS!E14,HS!R14,"D")</f>
        <v>S</v>
      </c>
      <c r="S14" s="31" t="str">
        <f>IF(F14=HS!F14,HS!S14,"D")</f>
        <v>S</v>
      </c>
      <c r="T14" s="31" t="str">
        <f>IF(G14=HS!G14,HS!T14,"D")</f>
        <v>S</v>
      </c>
      <c r="U14" s="31" t="str">
        <f>IF(H14=HS!H14,HS!U14,"D")</f>
        <v>H</v>
      </c>
      <c r="V14" s="31" t="str">
        <f>IF(I14=HS!I14,HS!V14,"D")</f>
        <v>H</v>
      </c>
      <c r="W14" s="31" t="str">
        <f>IF(J14=HS!J14,HS!W14,"D")</f>
        <v>H</v>
      </c>
      <c r="X14" s="31" t="str">
        <f>IF(K14=HS!K14,HS!X14,"D")</f>
        <v>H</v>
      </c>
    </row>
    <row r="15" spans="1:24" x14ac:dyDescent="0.2">
      <c r="A15">
        <v>15</v>
      </c>
      <c r="B15">
        <f>MAX(Hit!B15,Stand!B15,Double!B15)</f>
        <v>-0.4800062419631399</v>
      </c>
      <c r="C15">
        <f>MAX(Hit!C15,Stand!C15,Double!C15)</f>
        <v>-0.29278372720927726</v>
      </c>
      <c r="D15">
        <f>MAX(Hit!D15,Stand!D15,Double!D15)</f>
        <v>-0.2522502292357135</v>
      </c>
      <c r="E15">
        <f>MAX(Hit!E15,Stand!E15,Double!E15)</f>
        <v>-0.21106310899491437</v>
      </c>
      <c r="F15">
        <f>MAX(Hit!F15,Stand!F15,Double!F15)</f>
        <v>-0.16719266083547524</v>
      </c>
      <c r="G15">
        <f>MAX(Hit!G15,Stand!G15,Double!G15)</f>
        <v>-0.1536990158300045</v>
      </c>
      <c r="H15">
        <f>MAX(Hit!H15,Stand!H15,Double!H15)</f>
        <v>-0.36976181807381175</v>
      </c>
      <c r="I15">
        <f>MAX(Hit!I15,Stand!I15,Double!I15)</f>
        <v>-0.41678201408103371</v>
      </c>
      <c r="J15">
        <f>MAX(Hit!J15,Stand!J15,Double!J15)</f>
        <v>-0.47157768859250415</v>
      </c>
      <c r="K15">
        <f>MAX(Hit!K15,Stand!K15,Double!K15)</f>
        <v>-0.5044283729180935</v>
      </c>
      <c r="N15" s="31">
        <v>15</v>
      </c>
      <c r="O15" s="31" t="str">
        <f>IF(B15=HS!B15,HS!O15,"D")</f>
        <v>H</v>
      </c>
      <c r="P15" s="31" t="str">
        <f>IF(C15=HS!C15,HS!P15,"D")</f>
        <v>S</v>
      </c>
      <c r="Q15" s="31" t="str">
        <f>IF(D15=HS!D15,HS!Q15,"D")</f>
        <v>S</v>
      </c>
      <c r="R15" s="31" t="str">
        <f>IF(E15=HS!E15,HS!R15,"D")</f>
        <v>S</v>
      </c>
      <c r="S15" s="31" t="str">
        <f>IF(F15=HS!F15,HS!S15,"D")</f>
        <v>S</v>
      </c>
      <c r="T15" s="31" t="str">
        <f>IF(G15=HS!G15,HS!T15,"D")</f>
        <v>S</v>
      </c>
      <c r="U15" s="31" t="str">
        <f>IF(H15=HS!H15,HS!U15,"D")</f>
        <v>H</v>
      </c>
      <c r="V15" s="31" t="str">
        <f>IF(I15=HS!I15,HS!V15,"D")</f>
        <v>H</v>
      </c>
      <c r="W15" s="31" t="str">
        <f>IF(J15=HS!J15,HS!W15,"D")</f>
        <v>H</v>
      </c>
      <c r="X15" s="31" t="str">
        <f>IF(K15=HS!K15,HS!X15,"D")</f>
        <v>H</v>
      </c>
    </row>
    <row r="16" spans="1:24" x14ac:dyDescent="0.2">
      <c r="A16">
        <v>16</v>
      </c>
      <c r="B16">
        <f>MAX(Hit!B16,Stand!B16,Double!B16)</f>
        <v>-0.51714865325148707</v>
      </c>
      <c r="C16">
        <f>MAX(Hit!C16,Stand!C16,Double!C16)</f>
        <v>-0.29278372720927726</v>
      </c>
      <c r="D16">
        <f>MAX(Hit!D16,Stand!D16,Double!D16)</f>
        <v>-0.2522502292357135</v>
      </c>
      <c r="E16">
        <f>MAX(Hit!E16,Stand!E16,Double!E16)</f>
        <v>-0.21106310899491437</v>
      </c>
      <c r="F16">
        <f>MAX(Hit!F16,Stand!F16,Double!F16)</f>
        <v>-0.16719266083547524</v>
      </c>
      <c r="G16">
        <f>MAX(Hit!G16,Stand!G16,Double!G16)</f>
        <v>-0.1536990158300045</v>
      </c>
      <c r="H16">
        <f>MAX(Hit!H16,Stand!H16,Double!H16)</f>
        <v>-0.41477883106853947</v>
      </c>
      <c r="I16">
        <f>MAX(Hit!I16,Stand!I16,Double!I16)</f>
        <v>-0.45844044164667419</v>
      </c>
      <c r="J16">
        <f>MAX(Hit!J16,Stand!J16,Double!J16)</f>
        <v>-0.50932213940732529</v>
      </c>
      <c r="K16">
        <f>MAX(Hit!K16,Stand!K16,Double!K16)</f>
        <v>-0.53982634628108683</v>
      </c>
      <c r="N16" s="31">
        <v>16</v>
      </c>
      <c r="O16" s="31" t="str">
        <f>IF(B16=HS!B16,HS!O16,"D")</f>
        <v>H</v>
      </c>
      <c r="P16" s="31" t="str">
        <f>IF(C16=HS!C16,HS!P16,"D")</f>
        <v>S</v>
      </c>
      <c r="Q16" s="31" t="str">
        <f>IF(D16=HS!D16,HS!Q16,"D")</f>
        <v>S</v>
      </c>
      <c r="R16" s="31" t="str">
        <f>IF(E16=HS!E16,HS!R16,"D")</f>
        <v>S</v>
      </c>
      <c r="S16" s="31" t="str">
        <f>IF(F16=HS!F16,HS!S16,"D")</f>
        <v>S</v>
      </c>
      <c r="T16" s="31" t="str">
        <f>IF(G16=HS!G16,HS!T16,"D")</f>
        <v>S</v>
      </c>
      <c r="U16" s="31" t="str">
        <f>IF(H16=HS!H16,HS!U16,"D")</f>
        <v>H</v>
      </c>
      <c r="V16" s="31" t="str">
        <f>IF(I16=HS!I16,HS!V16,"D")</f>
        <v>H</v>
      </c>
      <c r="W16" s="31" t="str">
        <f>IF(J16=HS!J16,HS!W16,"D")</f>
        <v>H</v>
      </c>
      <c r="X16" s="31" t="str">
        <f>IF(K16=HS!K16,HS!X16,"D")</f>
        <v>H</v>
      </c>
    </row>
    <row r="17" spans="1:24" x14ac:dyDescent="0.2">
      <c r="A17">
        <v>17</v>
      </c>
      <c r="B17">
        <f>MAX(Hit!B17,Stand!B17,Double!B17)</f>
        <v>-0.47803347499473703</v>
      </c>
      <c r="C17">
        <f>MAX(Hit!C17,Stand!C17,Double!C17)</f>
        <v>-0.15297458768154204</v>
      </c>
      <c r="D17">
        <f>MAX(Hit!D17,Stand!D17,Double!D17)</f>
        <v>-0.11721624142457365</v>
      </c>
      <c r="E17">
        <f>MAX(Hit!E17,Stand!E17,Double!E17)</f>
        <v>-8.0573373145316152E-2</v>
      </c>
      <c r="F17">
        <f>MAX(Hit!F17,Stand!F17,Double!F17)</f>
        <v>-4.4941375564924446E-2</v>
      </c>
      <c r="G17">
        <f>MAX(Hit!G17,Stand!G17,Double!G17)</f>
        <v>1.1739160673341853E-2</v>
      </c>
      <c r="H17">
        <f>MAX(Hit!H17,Stand!H17,Double!H17)</f>
        <v>-0.10680898948269468</v>
      </c>
      <c r="I17">
        <f>MAX(Hit!I17,Stand!I17,Double!I17)</f>
        <v>-0.38195097104844711</v>
      </c>
      <c r="J17">
        <f>MAX(Hit!J17,Stand!J17,Double!J17)</f>
        <v>-0.42315423964521737</v>
      </c>
      <c r="K17">
        <f>MAX(Hit!K17,Stand!K17,Double!K17)</f>
        <v>-0.41972063392881986</v>
      </c>
      <c r="N17" s="31">
        <v>17</v>
      </c>
      <c r="O17" s="31" t="str">
        <f>IF(B17=HS!B17,HS!O17,"D")</f>
        <v>S</v>
      </c>
      <c r="P17" s="31" t="str">
        <f>IF(C17=HS!C17,HS!P17,"D")</f>
        <v>S</v>
      </c>
      <c r="Q17" s="31" t="str">
        <f>IF(D17=HS!D17,HS!Q17,"D")</f>
        <v>S</v>
      </c>
      <c r="R17" s="31" t="str">
        <f>IF(E17=HS!E17,HS!R17,"D")</f>
        <v>S</v>
      </c>
      <c r="S17" s="31" t="str">
        <f>IF(F17=HS!F17,HS!S17,"D")</f>
        <v>S</v>
      </c>
      <c r="T17" s="31" t="str">
        <f>IF(G17=HS!G17,HS!T17,"D")</f>
        <v>S</v>
      </c>
      <c r="U17" s="31" t="str">
        <f>IF(H17=HS!H17,HS!U17,"D")</f>
        <v>S</v>
      </c>
      <c r="V17" s="31" t="str">
        <f>IF(I17=HS!I17,HS!V17,"D")</f>
        <v>S</v>
      </c>
      <c r="W17" s="31" t="str">
        <f>IF(J17=HS!J17,HS!W17,"D")</f>
        <v>S</v>
      </c>
      <c r="X17" s="31" t="str">
        <f>IF(K17=HS!K17,HS!X17,"D")</f>
        <v>S</v>
      </c>
    </row>
    <row r="18" spans="1:24" x14ac:dyDescent="0.2">
      <c r="A18">
        <v>18</v>
      </c>
      <c r="B18">
        <f>MAX(Hit!B18,Stand!B18,Double!B18)</f>
        <v>-0.10019887561319057</v>
      </c>
      <c r="C18">
        <f>MAX(Hit!C18,Stand!C18,Double!C18)</f>
        <v>0.12174190222088771</v>
      </c>
      <c r="D18">
        <f>MAX(Hit!D18,Stand!D18,Double!D18)</f>
        <v>0.14830007284131119</v>
      </c>
      <c r="E18">
        <f>MAX(Hit!E18,Stand!E18,Double!E18)</f>
        <v>0.17585443719748528</v>
      </c>
      <c r="F18">
        <f>MAX(Hit!F18,Stand!F18,Double!F18)</f>
        <v>0.19956119497617719</v>
      </c>
      <c r="G18">
        <f>MAX(Hit!G18,Stand!G18,Double!G18)</f>
        <v>0.28344391604689856</v>
      </c>
      <c r="H18">
        <f>MAX(Hit!H18,Stand!H18,Double!H18)</f>
        <v>0.3995541673365518</v>
      </c>
      <c r="I18">
        <f>MAX(Hit!I18,Stand!I18,Double!I18)</f>
        <v>0.10595134861912359</v>
      </c>
      <c r="J18">
        <f>MAX(Hit!J18,Stand!J18,Double!J18)</f>
        <v>-0.18316335667343331</v>
      </c>
      <c r="K18">
        <f>MAX(Hit!K18,Stand!K18,Double!K18)</f>
        <v>-0.17830123379648949</v>
      </c>
      <c r="N18" s="31">
        <v>18</v>
      </c>
      <c r="O18" s="31" t="str">
        <f>IF(B18=HS!B18,HS!O18,"D")</f>
        <v>S</v>
      </c>
      <c r="P18" s="31" t="str">
        <f>IF(C18=HS!C18,HS!P18,"D")</f>
        <v>S</v>
      </c>
      <c r="Q18" s="31" t="str">
        <f>IF(D18=HS!D18,HS!Q18,"D")</f>
        <v>S</v>
      </c>
      <c r="R18" s="31" t="str">
        <f>IF(E18=HS!E18,HS!R18,"D")</f>
        <v>S</v>
      </c>
      <c r="S18" s="31" t="str">
        <f>IF(F18=HS!F18,HS!S18,"D")</f>
        <v>S</v>
      </c>
      <c r="T18" s="31" t="str">
        <f>IF(G18=HS!G18,HS!T18,"D")</f>
        <v>S</v>
      </c>
      <c r="U18" s="31" t="str">
        <f>IF(H18=HS!H18,HS!U18,"D")</f>
        <v>S</v>
      </c>
      <c r="V18" s="31" t="str">
        <f>IF(I18=HS!I18,HS!V18,"D")</f>
        <v>S</v>
      </c>
      <c r="W18" s="31" t="str">
        <f>IF(J18=HS!J18,HS!W18,"D")</f>
        <v>S</v>
      </c>
      <c r="X18" s="31" t="str">
        <f>IF(K18=HS!K18,HS!X18,"D")</f>
        <v>S</v>
      </c>
    </row>
    <row r="19" spans="1:24" x14ac:dyDescent="0.2">
      <c r="A19">
        <v>19</v>
      </c>
      <c r="B19">
        <f>MAX(Hit!B19,Stand!B19,Double!B19)</f>
        <v>0.27763572376835594</v>
      </c>
      <c r="C19">
        <f>MAX(Hit!C19,Stand!C19,Double!C19)</f>
        <v>0.38630468602058993</v>
      </c>
      <c r="D19">
        <f>MAX(Hit!D19,Stand!D19,Double!D19)</f>
        <v>0.4043629365977599</v>
      </c>
      <c r="E19">
        <f>MAX(Hit!E19,Stand!E19,Double!E19)</f>
        <v>0.42317892482749653</v>
      </c>
      <c r="F19">
        <f>MAX(Hit!F19,Stand!F19,Double!F19)</f>
        <v>0.43951210416088371</v>
      </c>
      <c r="G19">
        <f>MAX(Hit!G19,Stand!G19,Double!G19)</f>
        <v>0.49597707378731914</v>
      </c>
      <c r="H19">
        <f>MAX(Hit!H19,Stand!H19,Double!H19)</f>
        <v>0.6159764957534315</v>
      </c>
      <c r="I19">
        <f>MAX(Hit!I19,Stand!I19,Double!I19)</f>
        <v>0.59385366828669439</v>
      </c>
      <c r="J19">
        <f>MAX(Hit!J19,Stand!J19,Double!J19)</f>
        <v>0.28759675706758148</v>
      </c>
      <c r="K19">
        <f>MAX(Hit!K19,Stand!K19,Double!K19)</f>
        <v>6.3118166335840831E-2</v>
      </c>
      <c r="N19" s="31">
        <v>19</v>
      </c>
      <c r="O19" s="31" t="str">
        <f>IF(B19=HS!B19,HS!O19,"D")</f>
        <v>S</v>
      </c>
      <c r="P19" s="31" t="str">
        <f>IF(C19=HS!C19,HS!P19,"D")</f>
        <v>S</v>
      </c>
      <c r="Q19" s="31" t="str">
        <f>IF(D19=HS!D19,HS!Q19,"D")</f>
        <v>S</v>
      </c>
      <c r="R19" s="31" t="str">
        <f>IF(E19=HS!E19,HS!R19,"D")</f>
        <v>S</v>
      </c>
      <c r="S19" s="31" t="str">
        <f>IF(F19=HS!F19,HS!S19,"D")</f>
        <v>S</v>
      </c>
      <c r="T19" s="31" t="str">
        <f>IF(G19=HS!G19,HS!T19,"D")</f>
        <v>S</v>
      </c>
      <c r="U19" s="31" t="str">
        <f>IF(H19=HS!H19,HS!U19,"D")</f>
        <v>S</v>
      </c>
      <c r="V19" s="31" t="str">
        <f>IF(I19=HS!I19,HS!V19,"D")</f>
        <v>S</v>
      </c>
      <c r="W19" s="31" t="str">
        <f>IF(J19=HS!J19,HS!W19,"D")</f>
        <v>S</v>
      </c>
      <c r="X19" s="31" t="str">
        <f>IF(K19=HS!K19,HS!X19,"D")</f>
        <v>S</v>
      </c>
    </row>
    <row r="20" spans="1:24" x14ac:dyDescent="0.2">
      <c r="A20">
        <v>20</v>
      </c>
      <c r="B20">
        <f>MAX(Hit!B20,Stand!B20,Double!B20)</f>
        <v>0.65547032314990239</v>
      </c>
      <c r="C20">
        <f>MAX(Hit!C20,Stand!C20,Double!C20)</f>
        <v>0.63998657521683877</v>
      </c>
      <c r="D20">
        <f>MAX(Hit!D20,Stand!D20,Double!D20)</f>
        <v>0.65027209425148136</v>
      </c>
      <c r="E20">
        <f>MAX(Hit!E20,Stand!E20,Double!E20)</f>
        <v>0.66104996194807186</v>
      </c>
      <c r="F20">
        <f>MAX(Hit!F20,Stand!F20,Double!F20)</f>
        <v>0.67035969063279999</v>
      </c>
      <c r="G20">
        <f>MAX(Hit!G20,Stand!G20,Double!G20)</f>
        <v>0.70395857017134467</v>
      </c>
      <c r="H20">
        <f>MAX(Hit!H20,Stand!H20,Double!H20)</f>
        <v>0.77322722653717491</v>
      </c>
      <c r="I20">
        <f>MAX(Hit!I20,Stand!I20,Double!I20)</f>
        <v>0.79181515955189841</v>
      </c>
      <c r="J20">
        <f>MAX(Hit!J20,Stand!J20,Double!J20)</f>
        <v>0.75835687080859626</v>
      </c>
      <c r="K20">
        <f>MAX(Hit!K20,Stand!K20,Double!K20)</f>
        <v>0.55453756646817121</v>
      </c>
      <c r="N20" s="31">
        <v>20</v>
      </c>
      <c r="O20" s="31" t="str">
        <f>IF(B20=HS!B20,HS!O20,"D")</f>
        <v>S</v>
      </c>
      <c r="P20" s="31" t="str">
        <f>IF(C20=HS!C20,HS!P20,"D")</f>
        <v>S</v>
      </c>
      <c r="Q20" s="31" t="str">
        <f>IF(D20=HS!D20,HS!Q20,"D")</f>
        <v>S</v>
      </c>
      <c r="R20" s="31" t="str">
        <f>IF(E20=HS!E20,HS!R20,"D")</f>
        <v>S</v>
      </c>
      <c r="S20" s="31" t="str">
        <f>IF(F20=HS!F20,HS!S20,"D")</f>
        <v>S</v>
      </c>
      <c r="T20" s="31" t="str">
        <f>IF(G20=HS!G20,HS!T20,"D")</f>
        <v>S</v>
      </c>
      <c r="U20" s="31" t="str">
        <f>IF(H20=HS!H20,HS!U20,"D")</f>
        <v>S</v>
      </c>
      <c r="V20" s="31" t="str">
        <f>IF(I20=HS!I20,HS!V20,"D")</f>
        <v>S</v>
      </c>
      <c r="W20" s="31" t="str">
        <f>IF(J20=HS!J20,HS!W20,"D")</f>
        <v>S</v>
      </c>
      <c r="X20" s="31" t="str">
        <f>IF(K20=HS!K20,HS!X20,"D")</f>
        <v>S</v>
      </c>
    </row>
    <row r="21" spans="1:24" x14ac:dyDescent="0.2">
      <c r="A21">
        <v>21</v>
      </c>
      <c r="B21">
        <f>MAX(Hit!B21,Stand!B21,Double!B21)</f>
        <v>0.92219381142033785</v>
      </c>
      <c r="C21">
        <f>MAX(Hit!C21,Stand!C21,Double!C21)</f>
        <v>0.88200651549403997</v>
      </c>
      <c r="D21">
        <f>MAX(Hit!D21,Stand!D21,Double!D21)</f>
        <v>0.88530035730174927</v>
      </c>
      <c r="E21">
        <f>MAX(Hit!E21,Stand!E21,Double!E21)</f>
        <v>0.88876729296591961</v>
      </c>
      <c r="F21">
        <f>MAX(Hit!F21,Stand!F21,Double!F21)</f>
        <v>0.89175382659528035</v>
      </c>
      <c r="G21">
        <f>MAX(Hit!G21,Stand!G21,Double!G21)</f>
        <v>0.90283674384257995</v>
      </c>
      <c r="H21">
        <f>MAX(Hit!H21,Stand!H21,Double!H21)</f>
        <v>0.92592629596452325</v>
      </c>
      <c r="I21">
        <f>MAX(Hit!I21,Stand!I21,Double!I21)</f>
        <v>0.93060505318396614</v>
      </c>
      <c r="J21">
        <f>MAX(Hit!J21,Stand!J21,Double!J21)</f>
        <v>0.93917615614724415</v>
      </c>
      <c r="K21">
        <f>MAX(Hit!K21,Stand!K21,Double!K21)</f>
        <v>0.96262363326716827</v>
      </c>
      <c r="N21" s="31">
        <v>21</v>
      </c>
      <c r="O21" s="31" t="str">
        <f>IF(B21=HS!B21,HS!O21,"D")</f>
        <v>S</v>
      </c>
      <c r="P21" s="31" t="str">
        <f>IF(C21=HS!C21,HS!P21,"D")</f>
        <v>S</v>
      </c>
      <c r="Q21" s="31" t="str">
        <f>IF(D21=HS!D21,HS!Q21,"D")</f>
        <v>S</v>
      </c>
      <c r="R21" s="31" t="str">
        <f>IF(E21=HS!E21,HS!R21,"D")</f>
        <v>S</v>
      </c>
      <c r="S21" s="31" t="str">
        <f>IF(F21=HS!F21,HS!S21,"D")</f>
        <v>S</v>
      </c>
      <c r="T21" s="31" t="str">
        <f>IF(G21=HS!G21,HS!T21,"D")</f>
        <v>S</v>
      </c>
      <c r="U21" s="31" t="str">
        <f>IF(H21=HS!H21,HS!U21,"D")</f>
        <v>S</v>
      </c>
      <c r="V21" s="31" t="str">
        <f>IF(I21=HS!I21,HS!V21,"D")</f>
        <v>S</v>
      </c>
      <c r="W21" s="31" t="str">
        <f>IF(J21=HS!J21,HS!W21,"D")</f>
        <v>S</v>
      </c>
      <c r="X21" s="31" t="str">
        <f>IF(K21=HS!K21,HS!X21,"D")</f>
        <v>S</v>
      </c>
    </row>
    <row r="22" spans="1:24" x14ac:dyDescent="0.2">
      <c r="A22">
        <v>22</v>
      </c>
      <c r="B22">
        <f>MAX(Hit!B22,Stand!B22,Double!B22)</f>
        <v>-1</v>
      </c>
      <c r="C22">
        <f>MAX(Hit!C22,Stand!C22,Double!C22)</f>
        <v>-1</v>
      </c>
      <c r="D22">
        <f>MAX(Hit!D22,Stand!D22,Double!D22)</f>
        <v>-1</v>
      </c>
      <c r="E22">
        <f>MAX(Hit!E22,Stand!E22,Double!E22)</f>
        <v>-1</v>
      </c>
      <c r="F22">
        <f>MAX(Hit!F22,Stand!F22,Double!F22)</f>
        <v>-1</v>
      </c>
      <c r="G22">
        <f>MAX(Hit!G22,Stand!G22,Double!G22)</f>
        <v>-1</v>
      </c>
      <c r="H22">
        <f>MAX(Hit!H22,Stand!H22,Double!H22)</f>
        <v>-1</v>
      </c>
      <c r="I22">
        <f>MAX(Hit!I22,Stand!I22,Double!I22)</f>
        <v>-1</v>
      </c>
      <c r="J22">
        <f>MAX(Hit!J22,Stand!J22,Double!J22)</f>
        <v>-1</v>
      </c>
      <c r="K22">
        <f>MAX(Hit!K22,Stand!K22,Double!K22)</f>
        <v>-1</v>
      </c>
      <c r="N22" s="31">
        <v>22</v>
      </c>
      <c r="O22" s="31" t="str">
        <f>IF(B22=HS!B22,HS!O22,"D")</f>
        <v>S</v>
      </c>
      <c r="P22" s="31" t="str">
        <f>IF(C22=HS!C22,HS!P22,"D")</f>
        <v>S</v>
      </c>
      <c r="Q22" s="31" t="str">
        <f>IF(D22=HS!D22,HS!Q22,"D")</f>
        <v>S</v>
      </c>
      <c r="R22" s="31" t="str">
        <f>IF(E22=HS!E22,HS!R22,"D")</f>
        <v>S</v>
      </c>
      <c r="S22" s="31" t="str">
        <f>IF(F22=HS!F22,HS!S22,"D")</f>
        <v>S</v>
      </c>
      <c r="T22" s="31" t="str">
        <f>IF(G22=HS!G22,HS!T22,"D")</f>
        <v>S</v>
      </c>
      <c r="U22" s="31" t="str">
        <f>IF(H22=HS!H22,HS!U22,"D")</f>
        <v>S</v>
      </c>
      <c r="V22" s="31" t="str">
        <f>IF(I22=HS!I22,HS!V22,"D")</f>
        <v>S</v>
      </c>
      <c r="W22" s="31" t="str">
        <f>IF(J22=HS!J22,HS!W22,"D")</f>
        <v>S</v>
      </c>
      <c r="X22" s="31" t="str">
        <f>IF(K22=HS!K22,HS!X22,"D")</f>
        <v>S</v>
      </c>
    </row>
    <row r="23" spans="1:24" x14ac:dyDescent="0.2">
      <c r="A23">
        <v>23</v>
      </c>
      <c r="B23">
        <f>MAX(Hit!B23,Stand!B23,Double!B23)</f>
        <v>-1</v>
      </c>
      <c r="C23">
        <f>MAX(Hit!C23,Stand!C23,Double!C23)</f>
        <v>-1</v>
      </c>
      <c r="D23">
        <f>MAX(Hit!D23,Stand!D23,Double!D23)</f>
        <v>-1</v>
      </c>
      <c r="E23">
        <f>MAX(Hit!E23,Stand!E23,Double!E23)</f>
        <v>-1</v>
      </c>
      <c r="F23">
        <f>MAX(Hit!F23,Stand!F23,Double!F23)</f>
        <v>-1</v>
      </c>
      <c r="G23">
        <f>MAX(Hit!G23,Stand!G23,Double!G23)</f>
        <v>-1</v>
      </c>
      <c r="H23">
        <f>MAX(Hit!H23,Stand!H23,Double!H23)</f>
        <v>-1</v>
      </c>
      <c r="I23">
        <f>MAX(Hit!I23,Stand!I23,Double!I23)</f>
        <v>-1</v>
      </c>
      <c r="J23">
        <f>MAX(Hit!J23,Stand!J23,Double!J23)</f>
        <v>-1</v>
      </c>
      <c r="K23">
        <f>MAX(Hit!K23,Stand!K23,Double!K23)</f>
        <v>-1</v>
      </c>
      <c r="N23" s="31">
        <v>23</v>
      </c>
      <c r="O23" s="31" t="str">
        <f>IF(B23=HS!B23,HS!O23,"D")</f>
        <v>S</v>
      </c>
      <c r="P23" s="31" t="str">
        <f>IF(C23=HS!C23,HS!P23,"D")</f>
        <v>S</v>
      </c>
      <c r="Q23" s="31" t="str">
        <f>IF(D23=HS!D23,HS!Q23,"D")</f>
        <v>S</v>
      </c>
      <c r="R23" s="31" t="str">
        <f>IF(E23=HS!E23,HS!R23,"D")</f>
        <v>S</v>
      </c>
      <c r="S23" s="31" t="str">
        <f>IF(F23=HS!F23,HS!S23,"D")</f>
        <v>S</v>
      </c>
      <c r="T23" s="31" t="str">
        <f>IF(G23=HS!G23,HS!T23,"D")</f>
        <v>S</v>
      </c>
      <c r="U23" s="31" t="str">
        <f>IF(H23=HS!H23,HS!U23,"D")</f>
        <v>S</v>
      </c>
      <c r="V23" s="31" t="str">
        <f>IF(I23=HS!I23,HS!V23,"D")</f>
        <v>S</v>
      </c>
      <c r="W23" s="31" t="str">
        <f>IF(J23=HS!J23,HS!W23,"D")</f>
        <v>S</v>
      </c>
      <c r="X23" s="31" t="str">
        <f>IF(K23=HS!K23,HS!X23,"D")</f>
        <v>S</v>
      </c>
    </row>
    <row r="24" spans="1:24" x14ac:dyDescent="0.2">
      <c r="A24">
        <v>24</v>
      </c>
      <c r="B24">
        <f>MAX(Hit!B24,Stand!B24,Double!B24)</f>
        <v>-1</v>
      </c>
      <c r="C24">
        <f>MAX(Hit!C24,Stand!C24,Double!C24)</f>
        <v>-1</v>
      </c>
      <c r="D24">
        <f>MAX(Hit!D24,Stand!D24,Double!D24)</f>
        <v>-1</v>
      </c>
      <c r="E24">
        <f>MAX(Hit!E24,Stand!E24,Double!E24)</f>
        <v>-1</v>
      </c>
      <c r="F24">
        <f>MAX(Hit!F24,Stand!F24,Double!F24)</f>
        <v>-1</v>
      </c>
      <c r="G24">
        <f>MAX(Hit!G24,Stand!G24,Double!G24)</f>
        <v>-1</v>
      </c>
      <c r="H24">
        <f>MAX(Hit!H24,Stand!H24,Double!H24)</f>
        <v>-1</v>
      </c>
      <c r="I24">
        <f>MAX(Hit!I24,Stand!I24,Double!I24)</f>
        <v>-1</v>
      </c>
      <c r="J24">
        <f>MAX(Hit!J24,Stand!J24,Double!J24)</f>
        <v>-1</v>
      </c>
      <c r="K24">
        <f>MAX(Hit!K24,Stand!K24,Double!K24)</f>
        <v>-1</v>
      </c>
      <c r="N24" s="31">
        <v>24</v>
      </c>
      <c r="O24" s="31" t="str">
        <f>IF(B24=HS!B24,HS!O24,"D")</f>
        <v>S</v>
      </c>
      <c r="P24" s="31" t="str">
        <f>IF(C24=HS!C24,HS!P24,"D")</f>
        <v>S</v>
      </c>
      <c r="Q24" s="31" t="str">
        <f>IF(D24=HS!D24,HS!Q24,"D")</f>
        <v>S</v>
      </c>
      <c r="R24" s="31" t="str">
        <f>IF(E24=HS!E24,HS!R24,"D")</f>
        <v>S</v>
      </c>
      <c r="S24" s="31" t="str">
        <f>IF(F24=HS!F24,HS!S24,"D")</f>
        <v>S</v>
      </c>
      <c r="T24" s="31" t="str">
        <f>IF(G24=HS!G24,HS!T24,"D")</f>
        <v>S</v>
      </c>
      <c r="U24" s="31" t="str">
        <f>IF(H24=HS!H24,HS!U24,"D")</f>
        <v>S</v>
      </c>
      <c r="V24" s="31" t="str">
        <f>IF(I24=HS!I24,HS!V24,"D")</f>
        <v>S</v>
      </c>
      <c r="W24" s="31" t="str">
        <f>IF(J24=HS!J24,HS!W24,"D")</f>
        <v>S</v>
      </c>
      <c r="X24" s="31" t="str">
        <f>IF(K24=HS!K24,HS!X24,"D")</f>
        <v>S</v>
      </c>
    </row>
    <row r="25" spans="1:24" x14ac:dyDescent="0.2">
      <c r="A25">
        <v>25</v>
      </c>
      <c r="B25">
        <f>MAX(Hit!B25,Stand!B25,Double!B25)</f>
        <v>-1</v>
      </c>
      <c r="C25">
        <f>MAX(Hit!C25,Stand!C25,Double!C25)</f>
        <v>-1</v>
      </c>
      <c r="D25">
        <f>MAX(Hit!D25,Stand!D25,Double!D25)</f>
        <v>-1</v>
      </c>
      <c r="E25">
        <f>MAX(Hit!E25,Stand!E25,Double!E25)</f>
        <v>-1</v>
      </c>
      <c r="F25">
        <f>MAX(Hit!F25,Stand!F25,Double!F25)</f>
        <v>-1</v>
      </c>
      <c r="G25">
        <f>MAX(Hit!G25,Stand!G25,Double!G25)</f>
        <v>-1</v>
      </c>
      <c r="H25">
        <f>MAX(Hit!H25,Stand!H25,Double!H25)</f>
        <v>-1</v>
      </c>
      <c r="I25">
        <f>MAX(Hit!I25,Stand!I25,Double!I25)</f>
        <v>-1</v>
      </c>
      <c r="J25">
        <f>MAX(Hit!J25,Stand!J25,Double!J25)</f>
        <v>-1</v>
      </c>
      <c r="K25">
        <f>MAX(Hit!K25,Stand!K25,Double!K25)</f>
        <v>-1</v>
      </c>
      <c r="N25" s="31">
        <v>25</v>
      </c>
      <c r="O25" s="31" t="str">
        <f>IF(B25=HS!B25,HS!O25,"D")</f>
        <v>S</v>
      </c>
      <c r="P25" s="31" t="str">
        <f>IF(C25=HS!C25,HS!P25,"D")</f>
        <v>S</v>
      </c>
      <c r="Q25" s="31" t="str">
        <f>IF(D25=HS!D25,HS!Q25,"D")</f>
        <v>S</v>
      </c>
      <c r="R25" s="31" t="str">
        <f>IF(E25=HS!E25,HS!R25,"D")</f>
        <v>S</v>
      </c>
      <c r="S25" s="31" t="str">
        <f>IF(F25=HS!F25,HS!S25,"D")</f>
        <v>S</v>
      </c>
      <c r="T25" s="31" t="str">
        <f>IF(G25=HS!G25,HS!T25,"D")</f>
        <v>S</v>
      </c>
      <c r="U25" s="31" t="str">
        <f>IF(H25=HS!H25,HS!U25,"D")</f>
        <v>S</v>
      </c>
      <c r="V25" s="31" t="str">
        <f>IF(I25=HS!I25,HS!V25,"D")</f>
        <v>S</v>
      </c>
      <c r="W25" s="31" t="str">
        <f>IF(J25=HS!J25,HS!W25,"D")</f>
        <v>S</v>
      </c>
      <c r="X25" s="31" t="str">
        <f>IF(K25=HS!K25,HS!X25,"D")</f>
        <v>S</v>
      </c>
    </row>
    <row r="26" spans="1:24" x14ac:dyDescent="0.2">
      <c r="A26">
        <v>26</v>
      </c>
      <c r="B26">
        <f>MAX(Hit!B26,Stand!B26,Double!B26)</f>
        <v>-1</v>
      </c>
      <c r="C26">
        <f>MAX(Hit!C26,Stand!C26,Double!C26)</f>
        <v>-1</v>
      </c>
      <c r="D26">
        <f>MAX(Hit!D26,Stand!D26,Double!D26)</f>
        <v>-1</v>
      </c>
      <c r="E26">
        <f>MAX(Hit!E26,Stand!E26,Double!E26)</f>
        <v>-1</v>
      </c>
      <c r="F26">
        <f>MAX(Hit!F26,Stand!F26,Double!F26)</f>
        <v>-1</v>
      </c>
      <c r="G26">
        <f>MAX(Hit!G26,Stand!G26,Double!G26)</f>
        <v>-1</v>
      </c>
      <c r="H26">
        <f>MAX(Hit!H26,Stand!H26,Double!H26)</f>
        <v>-1</v>
      </c>
      <c r="I26">
        <f>MAX(Hit!I26,Stand!I26,Double!I26)</f>
        <v>-1</v>
      </c>
      <c r="J26">
        <f>MAX(Hit!J26,Stand!J26,Double!J26)</f>
        <v>-1</v>
      </c>
      <c r="K26">
        <f>MAX(Hit!K26,Stand!K26,Double!K26)</f>
        <v>-1</v>
      </c>
      <c r="N26" s="31">
        <v>26</v>
      </c>
      <c r="O26" s="31" t="str">
        <f>IF(B26=HS!B26,HS!O26,"D")</f>
        <v>S</v>
      </c>
      <c r="P26" s="31" t="str">
        <f>IF(C26=HS!C26,HS!P26,"D")</f>
        <v>S</v>
      </c>
      <c r="Q26" s="31" t="str">
        <f>IF(D26=HS!D26,HS!Q26,"D")</f>
        <v>S</v>
      </c>
      <c r="R26" s="31" t="str">
        <f>IF(E26=HS!E26,HS!R26,"D")</f>
        <v>S</v>
      </c>
      <c r="S26" s="31" t="str">
        <f>IF(F26=HS!F26,HS!S26,"D")</f>
        <v>S</v>
      </c>
      <c r="T26" s="31" t="str">
        <f>IF(G26=HS!G26,HS!T26,"D")</f>
        <v>S</v>
      </c>
      <c r="U26" s="31" t="str">
        <f>IF(H26=HS!H26,HS!U26,"D")</f>
        <v>S</v>
      </c>
      <c r="V26" s="31" t="str">
        <f>IF(I26=HS!I26,HS!V26,"D")</f>
        <v>S</v>
      </c>
      <c r="W26" s="31" t="str">
        <f>IF(J26=HS!J26,HS!W26,"D")</f>
        <v>S</v>
      </c>
      <c r="X26" s="31" t="str">
        <f>IF(K26=HS!K26,HS!X26,"D")</f>
        <v>S</v>
      </c>
    </row>
    <row r="27" spans="1:24" x14ac:dyDescent="0.2">
      <c r="A27">
        <v>27</v>
      </c>
      <c r="B27">
        <f>MAX(Hit!B27,Stand!B27,Double!B27)</f>
        <v>-1</v>
      </c>
      <c r="C27">
        <f>MAX(Hit!C27,Stand!C27,Double!C27)</f>
        <v>-1</v>
      </c>
      <c r="D27">
        <f>MAX(Hit!D27,Stand!D27,Double!D27)</f>
        <v>-1</v>
      </c>
      <c r="E27">
        <f>MAX(Hit!E27,Stand!E27,Double!E27)</f>
        <v>-1</v>
      </c>
      <c r="F27">
        <f>MAX(Hit!F27,Stand!F27,Double!F27)</f>
        <v>-1</v>
      </c>
      <c r="G27">
        <f>MAX(Hit!G27,Stand!G27,Double!G27)</f>
        <v>-1</v>
      </c>
      <c r="H27">
        <f>MAX(Hit!H27,Stand!H27,Double!H27)</f>
        <v>-1</v>
      </c>
      <c r="I27">
        <f>MAX(Hit!I27,Stand!I27,Double!I27)</f>
        <v>-1</v>
      </c>
      <c r="J27">
        <f>MAX(Hit!J27,Stand!J27,Double!J27)</f>
        <v>-1</v>
      </c>
      <c r="K27">
        <f>MAX(Hit!K27,Stand!K27,Double!K27)</f>
        <v>-1</v>
      </c>
      <c r="N27" s="31">
        <v>27</v>
      </c>
      <c r="O27" s="31" t="str">
        <f>IF(B27=HS!B27,HS!O27,"D")</f>
        <v>S</v>
      </c>
      <c r="P27" s="31" t="str">
        <f>IF(C27=HS!C27,HS!P27,"D")</f>
        <v>S</v>
      </c>
      <c r="Q27" s="31" t="str">
        <f>IF(D27=HS!D27,HS!Q27,"D")</f>
        <v>S</v>
      </c>
      <c r="R27" s="31" t="str">
        <f>IF(E27=HS!E27,HS!R27,"D")</f>
        <v>S</v>
      </c>
      <c r="S27" s="31" t="str">
        <f>IF(F27=HS!F27,HS!S27,"D")</f>
        <v>S</v>
      </c>
      <c r="T27" s="31" t="str">
        <f>IF(G27=HS!G27,HS!T27,"D")</f>
        <v>S</v>
      </c>
      <c r="U27" s="31" t="str">
        <f>IF(H27=HS!H27,HS!U27,"D")</f>
        <v>S</v>
      </c>
      <c r="V27" s="31" t="str">
        <f>IF(I27=HS!I27,HS!V27,"D")</f>
        <v>S</v>
      </c>
      <c r="W27" s="31" t="str">
        <f>IF(J27=HS!J27,HS!W27,"D")</f>
        <v>S</v>
      </c>
      <c r="X27" s="31" t="str">
        <f>IF(K27=HS!K27,HS!X27,"D")</f>
        <v>S</v>
      </c>
    </row>
    <row r="28" spans="1:24" x14ac:dyDescent="0.2">
      <c r="A28">
        <v>28</v>
      </c>
      <c r="B28">
        <f>MAX(Hit!B28,Stand!B28,Double!B28)</f>
        <v>-1</v>
      </c>
      <c r="C28">
        <f>MAX(Hit!C28,Stand!C28,Double!C28)</f>
        <v>-1</v>
      </c>
      <c r="D28">
        <f>MAX(Hit!D28,Stand!D28,Double!D28)</f>
        <v>-1</v>
      </c>
      <c r="E28">
        <f>MAX(Hit!E28,Stand!E28,Double!E28)</f>
        <v>-1</v>
      </c>
      <c r="F28">
        <f>MAX(Hit!F28,Stand!F28,Double!F28)</f>
        <v>-1</v>
      </c>
      <c r="G28">
        <f>MAX(Hit!G28,Stand!G28,Double!G28)</f>
        <v>-1</v>
      </c>
      <c r="H28">
        <f>MAX(Hit!H28,Stand!H28,Double!H28)</f>
        <v>-1</v>
      </c>
      <c r="I28">
        <f>MAX(Hit!I28,Stand!I28,Double!I28)</f>
        <v>-1</v>
      </c>
      <c r="J28">
        <f>MAX(Hit!J28,Stand!J28,Double!J28)</f>
        <v>-1</v>
      </c>
      <c r="K28">
        <f>MAX(Hit!K28,Stand!K28,Double!K28)</f>
        <v>-1</v>
      </c>
      <c r="N28" s="31">
        <v>28</v>
      </c>
      <c r="O28" s="31" t="str">
        <f>IF(B28=HS!B28,HS!O28,"D")</f>
        <v>S</v>
      </c>
      <c r="P28" s="31" t="str">
        <f>IF(C28=HS!C28,HS!P28,"D")</f>
        <v>S</v>
      </c>
      <c r="Q28" s="31" t="str">
        <f>IF(D28=HS!D28,HS!Q28,"D")</f>
        <v>S</v>
      </c>
      <c r="R28" s="31" t="str">
        <f>IF(E28=HS!E28,HS!R28,"D")</f>
        <v>S</v>
      </c>
      <c r="S28" s="31" t="str">
        <f>IF(F28=HS!F28,HS!S28,"D")</f>
        <v>S</v>
      </c>
      <c r="T28" s="31" t="str">
        <f>IF(G28=HS!G28,HS!T28,"D")</f>
        <v>S</v>
      </c>
      <c r="U28" s="31" t="str">
        <f>IF(H28=HS!H28,HS!U28,"D")</f>
        <v>S</v>
      </c>
      <c r="V28" s="31" t="str">
        <f>IF(I28=HS!I28,HS!V28,"D")</f>
        <v>S</v>
      </c>
      <c r="W28" s="31" t="str">
        <f>IF(J28=HS!J28,HS!W28,"D")</f>
        <v>S</v>
      </c>
      <c r="X28" s="31" t="str">
        <f>IF(K28=HS!K28,HS!X28,"D")</f>
        <v>S</v>
      </c>
    </row>
    <row r="29" spans="1:24" x14ac:dyDescent="0.2">
      <c r="A29">
        <v>29</v>
      </c>
      <c r="B29">
        <f>MAX(Hit!B29,Stand!B29,Double!B29)</f>
        <v>-1</v>
      </c>
      <c r="C29">
        <f>MAX(Hit!C29,Stand!C29,Double!C29)</f>
        <v>-1</v>
      </c>
      <c r="D29">
        <f>MAX(Hit!D29,Stand!D29,Double!D29)</f>
        <v>-1</v>
      </c>
      <c r="E29">
        <f>MAX(Hit!E29,Stand!E29,Double!E29)</f>
        <v>-1</v>
      </c>
      <c r="F29">
        <f>MAX(Hit!F29,Stand!F29,Double!F29)</f>
        <v>-1</v>
      </c>
      <c r="G29">
        <f>MAX(Hit!G29,Stand!G29,Double!G29)</f>
        <v>-1</v>
      </c>
      <c r="H29">
        <f>MAX(Hit!H29,Stand!H29,Double!H29)</f>
        <v>-1</v>
      </c>
      <c r="I29">
        <f>MAX(Hit!I29,Stand!I29,Double!I29)</f>
        <v>-1</v>
      </c>
      <c r="J29">
        <f>MAX(Hit!J29,Stand!J29,Double!J29)</f>
        <v>-1</v>
      </c>
      <c r="K29">
        <f>MAX(Hit!K29,Stand!K29,Double!K29)</f>
        <v>-1</v>
      </c>
      <c r="N29" s="31">
        <v>29</v>
      </c>
      <c r="O29" s="31" t="str">
        <f>IF(B29=HS!B29,HS!O29,"D")</f>
        <v>S</v>
      </c>
      <c r="P29" s="31" t="str">
        <f>IF(C29=HS!C29,HS!P29,"D")</f>
        <v>S</v>
      </c>
      <c r="Q29" s="31" t="str">
        <f>IF(D29=HS!D29,HS!Q29,"D")</f>
        <v>S</v>
      </c>
      <c r="R29" s="31" t="str">
        <f>IF(E29=HS!E29,HS!R29,"D")</f>
        <v>S</v>
      </c>
      <c r="S29" s="31" t="str">
        <f>IF(F29=HS!F29,HS!S29,"D")</f>
        <v>S</v>
      </c>
      <c r="T29" s="31" t="str">
        <f>IF(G29=HS!G29,HS!T29,"D")</f>
        <v>S</v>
      </c>
      <c r="U29" s="31" t="str">
        <f>IF(H29=HS!H29,HS!U29,"D")</f>
        <v>S</v>
      </c>
      <c r="V29" s="31" t="str">
        <f>IF(I29=HS!I29,HS!V29,"D")</f>
        <v>S</v>
      </c>
      <c r="W29" s="31" t="str">
        <f>IF(J29=HS!J29,HS!W29,"D")</f>
        <v>S</v>
      </c>
      <c r="X29" s="31" t="str">
        <f>IF(K29=HS!K29,HS!X29,"D")</f>
        <v>S</v>
      </c>
    </row>
    <row r="30" spans="1:24" x14ac:dyDescent="0.2">
      <c r="A30">
        <v>30</v>
      </c>
      <c r="B30">
        <f>MAX(Hit!B30,Stand!B30,Double!B30)</f>
        <v>-1</v>
      </c>
      <c r="C30">
        <f>MAX(Hit!C30,Stand!C30,Double!C30)</f>
        <v>-1</v>
      </c>
      <c r="D30">
        <f>MAX(Hit!D30,Stand!D30,Double!D30)</f>
        <v>-1</v>
      </c>
      <c r="E30">
        <f>MAX(Hit!E30,Stand!E30,Double!E30)</f>
        <v>-1</v>
      </c>
      <c r="F30">
        <f>MAX(Hit!F30,Stand!F30,Double!F30)</f>
        <v>-1</v>
      </c>
      <c r="G30">
        <f>MAX(Hit!G30,Stand!G30,Double!G30)</f>
        <v>-1</v>
      </c>
      <c r="H30">
        <f>MAX(Hit!H30,Stand!H30,Double!H30)</f>
        <v>-1</v>
      </c>
      <c r="I30">
        <f>MAX(Hit!I30,Stand!I30,Double!I30)</f>
        <v>-1</v>
      </c>
      <c r="J30">
        <f>MAX(Hit!J30,Stand!J30,Double!J30)</f>
        <v>-1</v>
      </c>
      <c r="K30">
        <f>MAX(Hit!K30,Stand!K30,Double!K30)</f>
        <v>-1</v>
      </c>
      <c r="N30" s="31">
        <v>30</v>
      </c>
      <c r="O30" s="31" t="str">
        <f>IF(B30=HS!B30,HS!O30,"D")</f>
        <v>S</v>
      </c>
      <c r="P30" s="31" t="str">
        <f>IF(C30=HS!C30,HS!P30,"D")</f>
        <v>S</v>
      </c>
      <c r="Q30" s="31" t="str">
        <f>IF(D30=HS!D30,HS!Q30,"D")</f>
        <v>S</v>
      </c>
      <c r="R30" s="31" t="str">
        <f>IF(E30=HS!E30,HS!R30,"D")</f>
        <v>S</v>
      </c>
      <c r="S30" s="31" t="str">
        <f>IF(F30=HS!F30,HS!S30,"D")</f>
        <v>S</v>
      </c>
      <c r="T30" s="31" t="str">
        <f>IF(G30=HS!G30,HS!T30,"D")</f>
        <v>S</v>
      </c>
      <c r="U30" s="31" t="str">
        <f>IF(H30=HS!H30,HS!U30,"D")</f>
        <v>S</v>
      </c>
      <c r="V30" s="31" t="str">
        <f>IF(I30=HS!I30,HS!V30,"D")</f>
        <v>S</v>
      </c>
      <c r="W30" s="31" t="str">
        <f>IF(J30=HS!J30,HS!W30,"D")</f>
        <v>S</v>
      </c>
      <c r="X30" s="31" t="str">
        <f>IF(K30=HS!K30,HS!X30,"D")</f>
        <v>S</v>
      </c>
    </row>
    <row r="31" spans="1:24" x14ac:dyDescent="0.2">
      <c r="A31">
        <v>31</v>
      </c>
      <c r="B31">
        <f>MAX(Hit!B31,Stand!B31,Double!B31)</f>
        <v>-1</v>
      </c>
      <c r="C31">
        <f>MAX(Hit!C31,Stand!C31,Double!C31)</f>
        <v>-1</v>
      </c>
      <c r="D31">
        <f>MAX(Hit!D31,Stand!D31,Double!D31)</f>
        <v>-1</v>
      </c>
      <c r="E31">
        <f>MAX(Hit!E31,Stand!E31,Double!E31)</f>
        <v>-1</v>
      </c>
      <c r="F31">
        <f>MAX(Hit!F31,Stand!F31,Double!F31)</f>
        <v>-1</v>
      </c>
      <c r="G31">
        <f>MAX(Hit!G31,Stand!G31,Double!G31)</f>
        <v>-1</v>
      </c>
      <c r="H31">
        <f>MAX(Hit!H31,Stand!H31,Double!H31)</f>
        <v>-1</v>
      </c>
      <c r="I31">
        <f>MAX(Hit!I31,Stand!I31,Double!I31)</f>
        <v>-1</v>
      </c>
      <c r="J31">
        <f>MAX(Hit!J31,Stand!J31,Double!J31)</f>
        <v>-1</v>
      </c>
      <c r="K31">
        <f>MAX(Hit!K31,Stand!K31,Double!K31)</f>
        <v>-1</v>
      </c>
      <c r="N31" s="31">
        <v>31</v>
      </c>
      <c r="O31" s="31" t="str">
        <f>IF(B31=HS!B31,HS!O31,"D")</f>
        <v>S</v>
      </c>
      <c r="P31" s="31" t="str">
        <f>IF(C31=HS!C31,HS!P31,"D")</f>
        <v>S</v>
      </c>
      <c r="Q31" s="31" t="str">
        <f>IF(D31=HS!D31,HS!Q31,"D")</f>
        <v>S</v>
      </c>
      <c r="R31" s="31" t="str">
        <f>IF(E31=HS!E31,HS!R31,"D")</f>
        <v>S</v>
      </c>
      <c r="S31" s="31" t="str">
        <f>IF(F31=HS!F31,HS!S31,"D")</f>
        <v>S</v>
      </c>
      <c r="T31" s="31" t="str">
        <f>IF(G31=HS!G31,HS!T31,"D")</f>
        <v>S</v>
      </c>
      <c r="U31" s="31" t="str">
        <f>IF(H31=HS!H31,HS!U31,"D")</f>
        <v>S</v>
      </c>
      <c r="V31" s="31" t="str">
        <f>IF(I31=HS!I31,HS!V31,"D")</f>
        <v>S</v>
      </c>
      <c r="W31" s="31" t="str">
        <f>IF(J31=HS!J31,HS!W31,"D")</f>
        <v>S</v>
      </c>
      <c r="X31" s="31" t="str">
        <f>IF(K31=HS!K31,HS!X31,"D")</f>
        <v>S</v>
      </c>
    </row>
    <row r="33" spans="1:24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N33" s="31" t="s">
        <v>4</v>
      </c>
      <c r="O33" s="31">
        <v>1</v>
      </c>
      <c r="P33" s="31">
        <v>2</v>
      </c>
      <c r="Q33" s="31">
        <v>3</v>
      </c>
      <c r="R33" s="31">
        <v>4</v>
      </c>
      <c r="S33" s="31">
        <v>5</v>
      </c>
      <c r="T33" s="31">
        <v>6</v>
      </c>
      <c r="U33" s="31">
        <v>7</v>
      </c>
      <c r="V33" s="31">
        <v>8</v>
      </c>
      <c r="W33" s="31">
        <v>9</v>
      </c>
      <c r="X33" s="31">
        <v>10</v>
      </c>
    </row>
    <row r="34" spans="1:24" x14ac:dyDescent="0.2">
      <c r="A34">
        <v>11</v>
      </c>
      <c r="B34">
        <f>MAX(Hit!B34,Stand!B34,Double!B34)</f>
        <v>0.29861942370404337</v>
      </c>
      <c r="C34">
        <f>MAX(Hit!C34,Stand!C34,Double!C34)</f>
        <v>0.47064092333946894</v>
      </c>
      <c r="D34">
        <f>MAX(Hit!D34,Stand!D34,Double!D34)</f>
        <v>0.51779525312221664</v>
      </c>
      <c r="E34">
        <f>MAX(Hit!E34,Stand!E34,Double!E34)</f>
        <v>0.56604055041797596</v>
      </c>
      <c r="F34">
        <f>MAX(Hit!F34,Stand!F34,Double!F34)</f>
        <v>0.61469901790902803</v>
      </c>
      <c r="G34">
        <f>MAX(Hit!G34,Stand!G34,Double!G34)</f>
        <v>0.66738009490756944</v>
      </c>
      <c r="H34">
        <f>MAX(Hit!H34,Stand!H34,Double!H34)</f>
        <v>0.46288894886429088</v>
      </c>
      <c r="I34">
        <f>MAX(Hit!I34,Stand!I34,Double!I34)</f>
        <v>0.40074805174057648</v>
      </c>
      <c r="J34">
        <f>MAX(Hit!J34,Stand!J34,Double!J34)</f>
        <v>0.32142328174266549</v>
      </c>
      <c r="K34">
        <f>MAX(Hit!K34,Stand!K34,Double!K34)</f>
        <v>0.26400071601402691</v>
      </c>
      <c r="N34" s="31">
        <v>11</v>
      </c>
      <c r="O34" s="31" t="str">
        <f>IF(B34=HS!B34,HS!O34,"D")</f>
        <v>H</v>
      </c>
      <c r="P34" s="31" t="str">
        <f>IF(C34=HS!C34,HS!P34,"D")</f>
        <v>D</v>
      </c>
      <c r="Q34" s="31" t="str">
        <f>IF(D34=HS!D34,HS!Q34,"D")</f>
        <v>D</v>
      </c>
      <c r="R34" s="31" t="str">
        <f>IF(E34=HS!E34,HS!R34,"D")</f>
        <v>D</v>
      </c>
      <c r="S34" s="31" t="str">
        <f>IF(F34=HS!F34,HS!S34,"D")</f>
        <v>D</v>
      </c>
      <c r="T34" s="31" t="str">
        <f>IF(G34=HS!G34,HS!T34,"D")</f>
        <v>D</v>
      </c>
      <c r="U34" s="31" t="str">
        <f>IF(H34=HS!H34,HS!U34,"D")</f>
        <v>D</v>
      </c>
      <c r="V34" s="31" t="str">
        <f>IF(I34=HS!I34,HS!V34,"D")</f>
        <v>H</v>
      </c>
      <c r="W34" s="31" t="str">
        <f>IF(J34=HS!J34,HS!W34,"D")</f>
        <v>H</v>
      </c>
      <c r="X34" s="31" t="str">
        <f>IF(K34=HS!K34,HS!X34,"D")</f>
        <v>H</v>
      </c>
    </row>
    <row r="35" spans="1:24" x14ac:dyDescent="0.2">
      <c r="A35">
        <v>12</v>
      </c>
      <c r="B35">
        <f>MAX(Hit!B35,Stand!B35,Double!B35)</f>
        <v>-2.0477877704912145E-2</v>
      </c>
      <c r="C35">
        <f>MAX(Hit!C35,Stand!C35,Double!C35)</f>
        <v>8.1836216051656044E-2</v>
      </c>
      <c r="D35">
        <f>MAX(Hit!D35,Stand!D35,Double!D35)</f>
        <v>0.10350704654207775</v>
      </c>
      <c r="E35">
        <f>MAX(Hit!E35,Stand!E35,Double!E35)</f>
        <v>0.12659562809256977</v>
      </c>
      <c r="F35">
        <f>MAX(Hit!F35,Stand!F35,Double!F35)</f>
        <v>0.15648238458465519</v>
      </c>
      <c r="G35">
        <f>MAX(Hit!G35,Stand!G35,Double!G35)</f>
        <v>0.18595361333225549</v>
      </c>
      <c r="H35">
        <f>MAX(Hit!H35,Stand!H35,Double!H35)</f>
        <v>0.16547293077063496</v>
      </c>
      <c r="I35">
        <f>MAX(Hit!I35,Stand!I35,Double!I35)</f>
        <v>9.5115020927032265E-2</v>
      </c>
      <c r="J35">
        <f>MAX(Hit!J35,Stand!J35,Double!J35)</f>
        <v>6.5790841226914386E-5</v>
      </c>
      <c r="K35">
        <f>MAX(Hit!K35,Stand!K35,Double!K35)</f>
        <v>-7.0002397357964694E-2</v>
      </c>
      <c r="N35" s="31">
        <v>12</v>
      </c>
      <c r="O35" s="31" t="str">
        <f>IF(B35=HS!B35,HS!O35,"D")</f>
        <v>H</v>
      </c>
      <c r="P35" s="31" t="str">
        <f>IF(C35=HS!C35,HS!P35,"D")</f>
        <v>H</v>
      </c>
      <c r="Q35" s="31" t="str">
        <f>IF(D35=HS!D35,HS!Q35,"D")</f>
        <v>H</v>
      </c>
      <c r="R35" s="31" t="str">
        <f>IF(E35=HS!E35,HS!R35,"D")</f>
        <v>H</v>
      </c>
      <c r="S35" s="31" t="str">
        <f>IF(F35=HS!F35,HS!S35,"D")</f>
        <v>H</v>
      </c>
      <c r="T35" s="31" t="str">
        <f>IF(G35=HS!G35,HS!T35,"D")</f>
        <v>H</v>
      </c>
      <c r="U35" s="31" t="str">
        <f>IF(H35=HS!H35,HS!U35,"D")</f>
        <v>H</v>
      </c>
      <c r="V35" s="31" t="str">
        <f>IF(I35=HS!I35,HS!V35,"D")</f>
        <v>H</v>
      </c>
      <c r="W35" s="31" t="str">
        <f>IF(J35=HS!J35,HS!W35,"D")</f>
        <v>H</v>
      </c>
      <c r="X35" s="31" t="str">
        <f>IF(K35=HS!K35,HS!X35,"D")</f>
        <v>H</v>
      </c>
    </row>
    <row r="36" spans="1:24" x14ac:dyDescent="0.2">
      <c r="A36">
        <v>13</v>
      </c>
      <c r="B36">
        <f>MAX(Hit!B36,Stand!B36,Double!B36)</f>
        <v>-5.7308046666810254E-2</v>
      </c>
      <c r="C36">
        <f>MAX(Hit!C36,Stand!C36,Double!C36)</f>
        <v>4.6636132695309578E-2</v>
      </c>
      <c r="D36">
        <f>MAX(Hit!D36,Stand!D36,Double!D36)</f>
        <v>7.4118813392744051E-2</v>
      </c>
      <c r="E36">
        <f>MAX(Hit!E36,Stand!E36,Double!E36)</f>
        <v>0.10247714687203523</v>
      </c>
      <c r="F36">
        <f>MAX(Hit!F36,Stand!F36,Double!F36)</f>
        <v>0.13336273848321728</v>
      </c>
      <c r="G36">
        <f>MAX(Hit!G36,Stand!G36,Double!G36)</f>
        <v>0.17974820582791512</v>
      </c>
      <c r="H36">
        <f>MAX(Hit!H36,Stand!H36,Double!H36)</f>
        <v>0.12238569517899196</v>
      </c>
      <c r="I36">
        <f>MAX(Hit!I36,Stand!I36,Double!I36)</f>
        <v>5.4057070196311299E-2</v>
      </c>
      <c r="J36">
        <f>MAX(Hit!J36,Stand!J36,Double!J36)</f>
        <v>-3.7694688127479885E-2</v>
      </c>
      <c r="K36">
        <f>MAX(Hit!K36,Stand!K36,Double!K36)</f>
        <v>-0.10485135840627779</v>
      </c>
      <c r="N36" s="31">
        <v>13</v>
      </c>
      <c r="O36" s="31" t="str">
        <f>IF(B36=HS!B36,HS!O36,"D")</f>
        <v>H</v>
      </c>
      <c r="P36" s="31" t="str">
        <f>IF(C36=HS!C36,HS!P36,"D")</f>
        <v>H</v>
      </c>
      <c r="Q36" s="31" t="str">
        <f>IF(D36=HS!D36,HS!Q36,"D")</f>
        <v>H</v>
      </c>
      <c r="R36" s="31" t="str">
        <f>IF(E36=HS!E36,HS!R36,"D")</f>
        <v>H</v>
      </c>
      <c r="S36" s="31" t="str">
        <f>IF(F36=HS!F36,HS!S36,"D")</f>
        <v>H</v>
      </c>
      <c r="T36" s="31" t="str">
        <f>IF(G36=HS!G36,HS!T36,"D")</f>
        <v>D</v>
      </c>
      <c r="U36" s="31" t="str">
        <f>IF(H36=HS!H36,HS!U36,"D")</f>
        <v>H</v>
      </c>
      <c r="V36" s="31" t="str">
        <f>IF(I36=HS!I36,HS!V36,"D")</f>
        <v>H</v>
      </c>
      <c r="W36" s="31" t="str">
        <f>IF(J36=HS!J36,HS!W36,"D")</f>
        <v>H</v>
      </c>
      <c r="X36" s="31" t="str">
        <f>IF(K36=HS!K36,HS!X36,"D")</f>
        <v>H</v>
      </c>
    </row>
    <row r="37" spans="1:24" x14ac:dyDescent="0.2">
      <c r="A37">
        <v>14</v>
      </c>
      <c r="B37">
        <f>MAX(Hit!B37,Stand!B37,Double!B37)</f>
        <v>-9.3874324768310105E-2</v>
      </c>
      <c r="C37">
        <f>MAX(Hit!C37,Stand!C37,Double!C37)</f>
        <v>2.2391856987839083E-2</v>
      </c>
      <c r="D37">
        <f>MAX(Hit!D37,Stand!D37,Double!D37)</f>
        <v>5.0806738919282814E-2</v>
      </c>
      <c r="E37">
        <f>MAX(Hit!E37,Stand!E37,Double!E37)</f>
        <v>8.0081414310110233E-2</v>
      </c>
      <c r="F37">
        <f>MAX(Hit!F37,Stand!F37,Double!F37)</f>
        <v>0.12595448524867925</v>
      </c>
      <c r="G37">
        <f>MAX(Hit!G37,Stand!G37,Double!G37)</f>
        <v>0.17974820582791512</v>
      </c>
      <c r="H37">
        <f>MAX(Hit!H37,Stand!H37,Double!H37)</f>
        <v>7.9507488494468148E-2</v>
      </c>
      <c r="I37">
        <f>MAX(Hit!I37,Stand!I37,Double!I37)</f>
        <v>1.3277219463208444E-2</v>
      </c>
      <c r="J37">
        <f>MAX(Hit!J37,Stand!J37,Double!J37)</f>
        <v>-7.516318944168382E-2</v>
      </c>
      <c r="K37">
        <f>MAX(Hit!K37,Stand!K37,Double!K37)</f>
        <v>-0.13946678217545452</v>
      </c>
      <c r="N37" s="31">
        <v>14</v>
      </c>
      <c r="O37" s="31" t="str">
        <f>IF(B37=HS!B37,HS!O37,"D")</f>
        <v>H</v>
      </c>
      <c r="P37" s="31" t="str">
        <f>IF(C37=HS!C37,HS!P37,"D")</f>
        <v>H</v>
      </c>
      <c r="Q37" s="31" t="str">
        <f>IF(D37=HS!D37,HS!Q37,"D")</f>
        <v>H</v>
      </c>
      <c r="R37" s="31" t="str">
        <f>IF(E37=HS!E37,HS!R37,"D")</f>
        <v>H</v>
      </c>
      <c r="S37" s="31" t="str">
        <f>IF(F37=HS!F37,HS!S37,"D")</f>
        <v>D</v>
      </c>
      <c r="T37" s="31" t="str">
        <f>IF(G37=HS!G37,HS!T37,"D")</f>
        <v>D</v>
      </c>
      <c r="U37" s="31" t="str">
        <f>IF(H37=HS!H37,HS!U37,"D")</f>
        <v>H</v>
      </c>
      <c r="V37" s="31" t="str">
        <f>IF(I37=HS!I37,HS!V37,"D")</f>
        <v>H</v>
      </c>
      <c r="W37" s="31" t="str">
        <f>IF(J37=HS!J37,HS!W37,"D")</f>
        <v>H</v>
      </c>
      <c r="X37" s="31" t="str">
        <f>IF(K37=HS!K37,HS!X37,"D")</f>
        <v>H</v>
      </c>
    </row>
    <row r="38" spans="1:24" x14ac:dyDescent="0.2">
      <c r="A38">
        <v>15</v>
      </c>
      <c r="B38">
        <f>MAX(Hit!B38,Stand!B38,Double!B38)</f>
        <v>-0.13002650167843849</v>
      </c>
      <c r="C38">
        <f>MAX(Hit!C38,Stand!C38,Double!C38)</f>
        <v>-1.2068474052636583E-4</v>
      </c>
      <c r="D38">
        <f>MAX(Hit!D38,Stand!D38,Double!D38)</f>
        <v>2.9159812622497363E-2</v>
      </c>
      <c r="E38">
        <f>MAX(Hit!E38,Stand!E38,Double!E38)</f>
        <v>5.9285376931179926E-2</v>
      </c>
      <c r="F38">
        <f>MAX(Hit!F38,Stand!F38,Double!F38)</f>
        <v>0.12595448524867925</v>
      </c>
      <c r="G38">
        <f>MAX(Hit!G38,Stand!G38,Double!G38)</f>
        <v>0.17974820582791512</v>
      </c>
      <c r="H38">
        <f>MAX(Hit!H38,Stand!H38,Double!H38)</f>
        <v>3.7028282279269235E-2</v>
      </c>
      <c r="I38">
        <f>MAX(Hit!I38,Stand!I38,Double!I38)</f>
        <v>-2.7054780502901672E-2</v>
      </c>
      <c r="J38">
        <f>MAX(Hit!J38,Stand!J38,Double!J38)</f>
        <v>-0.11218876868994289</v>
      </c>
      <c r="K38">
        <f>MAX(Hit!K38,Stand!K38,Double!K38)</f>
        <v>-0.17370423031226784</v>
      </c>
      <c r="N38" s="31">
        <v>15</v>
      </c>
      <c r="O38" s="31" t="str">
        <f>IF(B38=HS!B38,HS!O38,"D")</f>
        <v>H</v>
      </c>
      <c r="P38" s="31" t="str">
        <f>IF(C38=HS!C38,HS!P38,"D")</f>
        <v>H</v>
      </c>
      <c r="Q38" s="31" t="str">
        <f>IF(D38=HS!D38,HS!Q38,"D")</f>
        <v>H</v>
      </c>
      <c r="R38" s="31" t="str">
        <f>IF(E38=HS!E38,HS!R38,"D")</f>
        <v>H</v>
      </c>
      <c r="S38" s="31" t="str">
        <f>IF(F38=HS!F38,HS!S38,"D")</f>
        <v>D</v>
      </c>
      <c r="T38" s="31" t="str">
        <f>IF(G38=HS!G38,HS!T38,"D")</f>
        <v>D</v>
      </c>
      <c r="U38" s="31" t="str">
        <f>IF(H38=HS!H38,HS!U38,"D")</f>
        <v>H</v>
      </c>
      <c r="V38" s="31" t="str">
        <f>IF(I38=HS!I38,HS!V38,"D")</f>
        <v>H</v>
      </c>
      <c r="W38" s="31" t="str">
        <f>IF(J38=HS!J38,HS!W38,"D")</f>
        <v>H</v>
      </c>
      <c r="X38" s="31" t="str">
        <f>IF(K38=HS!K38,HS!X38,"D")</f>
        <v>H</v>
      </c>
    </row>
    <row r="39" spans="1:24" x14ac:dyDescent="0.2">
      <c r="A39">
        <v>16</v>
      </c>
      <c r="B39">
        <f>MAX(Hit!B39,Stand!B39,Double!B39)</f>
        <v>-0.16563717206687348</v>
      </c>
      <c r="C39">
        <f>MAX(Hit!C39,Stand!C39,Double!C39)</f>
        <v>-2.1025187774008566E-2</v>
      </c>
      <c r="D39">
        <f>MAX(Hit!D39,Stand!D39,Double!D39)</f>
        <v>9.0590953469108244E-3</v>
      </c>
      <c r="E39">
        <f>MAX(Hit!E39,Stand!E39,Double!E39)</f>
        <v>5.8426518743744951E-2</v>
      </c>
      <c r="F39">
        <f>MAX(Hit!F39,Stand!F39,Double!F39)</f>
        <v>0.12595448524867925</v>
      </c>
      <c r="G39">
        <f>MAX(Hit!G39,Stand!G39,Double!G39)</f>
        <v>0.17974820582791512</v>
      </c>
      <c r="H39">
        <f>MAX(Hit!H39,Stand!H39,Double!H39)</f>
        <v>-4.8901571730158942E-3</v>
      </c>
      <c r="I39">
        <f>MAX(Hit!I39,Stand!I39,Double!I39)</f>
        <v>-6.6794847920094103E-2</v>
      </c>
      <c r="J39">
        <f>MAX(Hit!J39,Stand!J39,Double!J39)</f>
        <v>-0.14864353463007471</v>
      </c>
      <c r="K39">
        <f>MAX(Hit!K39,Stand!K39,Double!K39)</f>
        <v>-0.20744109003068206</v>
      </c>
      <c r="N39" s="31">
        <v>16</v>
      </c>
      <c r="O39" s="31" t="str">
        <f>IF(B39=HS!B39,HS!O39,"D")</f>
        <v>H</v>
      </c>
      <c r="P39" s="31" t="str">
        <f>IF(C39=HS!C39,HS!P39,"D")</f>
        <v>H</v>
      </c>
      <c r="Q39" s="31" t="str">
        <f>IF(D39=HS!D39,HS!Q39,"D")</f>
        <v>H</v>
      </c>
      <c r="R39" s="31" t="str">
        <f>IF(E39=HS!E39,HS!R39,"D")</f>
        <v>D</v>
      </c>
      <c r="S39" s="31" t="str">
        <f>IF(F39=HS!F39,HS!S39,"D")</f>
        <v>D</v>
      </c>
      <c r="T39" s="31" t="str">
        <f>IF(G39=HS!G39,HS!T39,"D")</f>
        <v>D</v>
      </c>
      <c r="U39" s="31" t="str">
        <f>IF(H39=HS!H39,HS!U39,"D")</f>
        <v>H</v>
      </c>
      <c r="V39" s="31" t="str">
        <f>IF(I39=HS!I39,HS!V39,"D")</f>
        <v>H</v>
      </c>
      <c r="W39" s="31" t="str">
        <f>IF(J39=HS!J39,HS!W39,"D")</f>
        <v>H</v>
      </c>
      <c r="X39" s="31" t="str">
        <f>IF(K39=HS!K39,HS!X39,"D")</f>
        <v>H</v>
      </c>
    </row>
    <row r="40" spans="1:24" x14ac:dyDescent="0.2">
      <c r="A40">
        <v>17</v>
      </c>
      <c r="B40">
        <f>MAX(Hit!B40,Stand!B40,Double!B40)</f>
        <v>-0.17956936979241733</v>
      </c>
      <c r="C40">
        <f>MAX(Hit!C40,Stand!C40,Double!C40)</f>
        <v>-4.9104358288912882E-4</v>
      </c>
      <c r="D40">
        <f>MAX(Hit!D40,Stand!D40,Double!D40)</f>
        <v>5.5095284479298338E-2</v>
      </c>
      <c r="E40">
        <f>MAX(Hit!E40,Stand!E40,Double!E40)</f>
        <v>0.11865255067432869</v>
      </c>
      <c r="F40">
        <f>MAX(Hit!F40,Stand!F40,Double!F40)</f>
        <v>0.18237815537354879</v>
      </c>
      <c r="G40">
        <f>MAX(Hit!G40,Stand!G40,Double!G40)</f>
        <v>0.2561042872909981</v>
      </c>
      <c r="H40">
        <f>MAX(Hit!H40,Stand!H40,Double!H40)</f>
        <v>5.3823463716116654E-2</v>
      </c>
      <c r="I40">
        <f>MAX(Hit!I40,Stand!I40,Double!I40)</f>
        <v>-7.2915398729642075E-2</v>
      </c>
      <c r="J40">
        <f>MAX(Hit!J40,Stand!J40,Double!J40)</f>
        <v>-0.1497868921821332</v>
      </c>
      <c r="K40">
        <f>MAX(Hit!K40,Stand!K40,Double!K40)</f>
        <v>-0.19686697623363469</v>
      </c>
      <c r="N40" s="31">
        <v>17</v>
      </c>
      <c r="O40" s="31" t="str">
        <f>IF(B40=HS!B40,HS!O40,"D")</f>
        <v>H</v>
      </c>
      <c r="P40" s="31" t="str">
        <f>IF(C40=HS!C40,HS!P40,"D")</f>
        <v>H</v>
      </c>
      <c r="Q40" s="31" t="str">
        <f>IF(D40=HS!D40,HS!Q40,"D")</f>
        <v>D</v>
      </c>
      <c r="R40" s="31" t="str">
        <f>IF(E40=HS!E40,HS!R40,"D")</f>
        <v>D</v>
      </c>
      <c r="S40" s="31" t="str">
        <f>IF(F40=HS!F40,HS!S40,"D")</f>
        <v>D</v>
      </c>
      <c r="T40" s="31" t="str">
        <f>IF(G40=HS!G40,HS!T40,"D")</f>
        <v>D</v>
      </c>
      <c r="U40" s="31" t="str">
        <f>IF(H40=HS!H40,HS!U40,"D")</f>
        <v>H</v>
      </c>
      <c r="V40" s="31" t="str">
        <f>IF(I40=HS!I40,HS!V40,"D")</f>
        <v>H</v>
      </c>
      <c r="W40" s="31" t="str">
        <f>IF(J40=HS!J40,HS!W40,"D")</f>
        <v>H</v>
      </c>
      <c r="X40" s="31" t="str">
        <f>IF(K40=HS!K40,HS!X40,"D")</f>
        <v>H</v>
      </c>
    </row>
    <row r="41" spans="1:24" x14ac:dyDescent="0.2">
      <c r="A41">
        <v>18</v>
      </c>
      <c r="B41">
        <f>MAX(Hit!B41,Stand!B41,Double!B41)</f>
        <v>-9.2935491769284034E-2</v>
      </c>
      <c r="C41">
        <f>MAX(Hit!C41,Stand!C41,Double!C41)</f>
        <v>0.12174190222088771</v>
      </c>
      <c r="D41">
        <f>MAX(Hit!D41,Stand!D41,Double!D41)</f>
        <v>0.17764127567893753</v>
      </c>
      <c r="E41">
        <f>MAX(Hit!E41,Stand!E41,Double!E41)</f>
        <v>0.23700384775562167</v>
      </c>
      <c r="F41">
        <f>MAX(Hit!F41,Stand!F41,Double!F41)</f>
        <v>0.29522549562328804</v>
      </c>
      <c r="G41">
        <f>MAX(Hit!G41,Stand!G41,Double!G41)</f>
        <v>0.38150648207879345</v>
      </c>
      <c r="H41">
        <f>MAX(Hit!H41,Stand!H41,Double!H41)</f>
        <v>0.3995541673365518</v>
      </c>
      <c r="I41">
        <f>MAX(Hit!I41,Stand!I41,Double!I41)</f>
        <v>0.10595134861912359</v>
      </c>
      <c r="J41">
        <f>MAX(Hit!J41,Stand!J41,Double!J41)</f>
        <v>-0.10074430758041522</v>
      </c>
      <c r="K41">
        <f>MAX(Hit!K41,Stand!K41,Double!K41)</f>
        <v>-0.14380812317405353</v>
      </c>
      <c r="N41" s="31">
        <v>18</v>
      </c>
      <c r="O41" s="31" t="str">
        <f>IF(B41=HS!B41,HS!O41,"D")</f>
        <v>H</v>
      </c>
      <c r="P41" s="31" t="str">
        <f>IF(C41=HS!C41,HS!P41,"D")</f>
        <v>S</v>
      </c>
      <c r="Q41" s="31" t="str">
        <f>IF(D41=HS!D41,HS!Q41,"D")</f>
        <v>D</v>
      </c>
      <c r="R41" s="31" t="str">
        <f>IF(E41=HS!E41,HS!R41,"D")</f>
        <v>D</v>
      </c>
      <c r="S41" s="31" t="str">
        <f>IF(F41=HS!F41,HS!S41,"D")</f>
        <v>D</v>
      </c>
      <c r="T41" s="31" t="str">
        <f>IF(G41=HS!G41,HS!T41,"D")</f>
        <v>D</v>
      </c>
      <c r="U41" s="31" t="str">
        <f>IF(H41=HS!H41,HS!U41,"D")</f>
        <v>S</v>
      </c>
      <c r="V41" s="31" t="str">
        <f>IF(I41=HS!I41,HS!V41,"D")</f>
        <v>S</v>
      </c>
      <c r="W41" s="31" t="str">
        <f>IF(J41=HS!J41,HS!W41,"D")</f>
        <v>H</v>
      </c>
      <c r="X41" s="31" t="str">
        <f>IF(K41=HS!K41,HS!X41,"D")</f>
        <v>H</v>
      </c>
    </row>
    <row r="42" spans="1:24" x14ac:dyDescent="0.2">
      <c r="A42">
        <v>19</v>
      </c>
      <c r="B42">
        <f>MAX(Hit!B42,Stand!B42,Double!B42)</f>
        <v>0.27763572376835594</v>
      </c>
      <c r="C42">
        <f>MAX(Hit!C42,Stand!C42,Double!C42)</f>
        <v>0.38630468602058993</v>
      </c>
      <c r="D42">
        <f>MAX(Hit!D42,Stand!D42,Double!D42)</f>
        <v>0.4043629365977599</v>
      </c>
      <c r="E42">
        <f>MAX(Hit!E42,Stand!E42,Double!E42)</f>
        <v>0.42317892482749653</v>
      </c>
      <c r="F42">
        <f>MAX(Hit!F42,Stand!F42,Double!F42)</f>
        <v>0.43951210416088371</v>
      </c>
      <c r="G42">
        <f>MAX(Hit!G42,Stand!G42,Double!G42)</f>
        <v>0.49597707378731914</v>
      </c>
      <c r="H42">
        <f>MAX(Hit!H42,Stand!H42,Double!H42)</f>
        <v>0.6159764957534315</v>
      </c>
      <c r="I42">
        <f>MAX(Hit!I42,Stand!I42,Double!I42)</f>
        <v>0.59385366828669439</v>
      </c>
      <c r="J42">
        <f>MAX(Hit!J42,Stand!J42,Double!J42)</f>
        <v>0.28759675706758148</v>
      </c>
      <c r="K42">
        <f>MAX(Hit!K42,Stand!K42,Double!K42)</f>
        <v>6.3118166335840831E-2</v>
      </c>
      <c r="N42" s="31">
        <v>19</v>
      </c>
      <c r="O42" s="31" t="str">
        <f>IF(B42=HS!B42,HS!O42,"D")</f>
        <v>S</v>
      </c>
      <c r="P42" s="31" t="str">
        <f>IF(C42=HS!C42,HS!P42,"D")</f>
        <v>S</v>
      </c>
      <c r="Q42" s="31" t="str">
        <f>IF(D42=HS!D42,HS!Q42,"D")</f>
        <v>S</v>
      </c>
      <c r="R42" s="31" t="str">
        <f>IF(E42=HS!E42,HS!R42,"D")</f>
        <v>S</v>
      </c>
      <c r="S42" s="31" t="str">
        <f>IF(F42=HS!F42,HS!S42,"D")</f>
        <v>S</v>
      </c>
      <c r="T42" s="31" t="str">
        <f>IF(G42=HS!G42,HS!T42,"D")</f>
        <v>S</v>
      </c>
      <c r="U42" s="31" t="str">
        <f>IF(H42=HS!H42,HS!U42,"D")</f>
        <v>S</v>
      </c>
      <c r="V42" s="31" t="str">
        <f>IF(I42=HS!I42,HS!V42,"D")</f>
        <v>S</v>
      </c>
      <c r="W42" s="31" t="str">
        <f>IF(J42=HS!J42,HS!W42,"D")</f>
        <v>S</v>
      </c>
      <c r="X42" s="31" t="str">
        <f>IF(K42=HS!K42,HS!X42,"D")</f>
        <v>S</v>
      </c>
    </row>
    <row r="43" spans="1:24" x14ac:dyDescent="0.2">
      <c r="A43">
        <v>20</v>
      </c>
      <c r="B43">
        <f>MAX(Hit!B43,Stand!B43,Double!B43)</f>
        <v>0.65547032314990239</v>
      </c>
      <c r="C43">
        <f>MAX(Hit!C43,Stand!C43,Double!C43)</f>
        <v>0.63998657521683877</v>
      </c>
      <c r="D43">
        <f>MAX(Hit!D43,Stand!D43,Double!D43)</f>
        <v>0.65027209425148136</v>
      </c>
      <c r="E43">
        <f>MAX(Hit!E43,Stand!E43,Double!E43)</f>
        <v>0.66104996194807186</v>
      </c>
      <c r="F43">
        <f>MAX(Hit!F43,Stand!F43,Double!F43)</f>
        <v>0.67035969063279999</v>
      </c>
      <c r="G43">
        <f>MAX(Hit!G43,Stand!G43,Double!G43)</f>
        <v>0.70395857017134467</v>
      </c>
      <c r="H43">
        <f>MAX(Hit!H43,Stand!H43,Double!H43)</f>
        <v>0.77322722653717491</v>
      </c>
      <c r="I43">
        <f>MAX(Hit!I43,Stand!I43,Double!I43)</f>
        <v>0.79181515955189841</v>
      </c>
      <c r="J43">
        <f>MAX(Hit!J43,Stand!J43,Double!J43)</f>
        <v>0.75835687080859626</v>
      </c>
      <c r="K43">
        <f>MAX(Hit!K43,Stand!K43,Double!K43)</f>
        <v>0.55453756646817121</v>
      </c>
      <c r="N43" s="31">
        <v>20</v>
      </c>
      <c r="O43" s="31" t="str">
        <f>IF(B43=HS!B43,HS!O43,"D")</f>
        <v>S</v>
      </c>
      <c r="P43" s="31" t="str">
        <f>IF(C43=HS!C43,HS!P43,"D")</f>
        <v>S</v>
      </c>
      <c r="Q43" s="31" t="str">
        <f>IF(D43=HS!D43,HS!Q43,"D")</f>
        <v>S</v>
      </c>
      <c r="R43" s="31" t="str">
        <f>IF(E43=HS!E43,HS!R43,"D")</f>
        <v>S</v>
      </c>
      <c r="S43" s="31" t="str">
        <f>IF(F43=HS!F43,HS!S43,"D")</f>
        <v>S</v>
      </c>
      <c r="T43" s="31" t="str">
        <f>IF(G43=HS!G43,HS!T43,"D")</f>
        <v>S</v>
      </c>
      <c r="U43" s="31" t="str">
        <f>IF(H43=HS!H43,HS!U43,"D")</f>
        <v>S</v>
      </c>
      <c r="V43" s="31" t="str">
        <f>IF(I43=HS!I43,HS!V43,"D")</f>
        <v>S</v>
      </c>
      <c r="W43" s="31" t="str">
        <f>IF(J43=HS!J43,HS!W43,"D")</f>
        <v>S</v>
      </c>
      <c r="X43" s="31" t="str">
        <f>IF(K43=HS!K43,HS!X43,"D")</f>
        <v>S</v>
      </c>
    </row>
    <row r="44" spans="1:24" x14ac:dyDescent="0.2">
      <c r="A44">
        <v>21</v>
      </c>
      <c r="B44">
        <f>MAX(Hit!B44,Stand!B44,Double!B44)</f>
        <v>0.92219381142033785</v>
      </c>
      <c r="C44">
        <f>MAX(Hit!C44,Stand!C44,Double!C44)</f>
        <v>0.88200651549403997</v>
      </c>
      <c r="D44">
        <f>MAX(Hit!D44,Stand!D44,Double!D44)</f>
        <v>0.88530035730174927</v>
      </c>
      <c r="E44">
        <f>MAX(Hit!E44,Stand!E44,Double!E44)</f>
        <v>0.88876729296591961</v>
      </c>
      <c r="F44">
        <f>MAX(Hit!F44,Stand!F44,Double!F44)</f>
        <v>0.89175382659528035</v>
      </c>
      <c r="G44">
        <f>MAX(Hit!G44,Stand!G44,Double!G44)</f>
        <v>0.90283674384257995</v>
      </c>
      <c r="H44">
        <f>MAX(Hit!H44,Stand!H44,Double!H44)</f>
        <v>0.92592629596452325</v>
      </c>
      <c r="I44">
        <f>MAX(Hit!I44,Stand!I44,Double!I44)</f>
        <v>0.93060505318396614</v>
      </c>
      <c r="J44">
        <f>MAX(Hit!J44,Stand!J44,Double!J44)</f>
        <v>0.93917615614724415</v>
      </c>
      <c r="K44">
        <f>MAX(Hit!K44,Stand!K44,Double!K44)</f>
        <v>0.96262363326716827</v>
      </c>
      <c r="N44" s="31">
        <v>21</v>
      </c>
      <c r="O44" s="31" t="str">
        <f>IF(B44=HS!B44,HS!O44,"D")</f>
        <v>S</v>
      </c>
      <c r="P44" s="31" t="str">
        <f>IF(C44=HS!C44,HS!P44,"D")</f>
        <v>S</v>
      </c>
      <c r="Q44" s="31" t="str">
        <f>IF(D44=HS!D44,HS!Q44,"D")</f>
        <v>S</v>
      </c>
      <c r="R44" s="31" t="str">
        <f>IF(E44=HS!E44,HS!R44,"D")</f>
        <v>S</v>
      </c>
      <c r="S44" s="31" t="str">
        <f>IF(F44=HS!F44,HS!S44,"D")</f>
        <v>S</v>
      </c>
      <c r="T44" s="31" t="str">
        <f>IF(G44=HS!G44,HS!T44,"D")</f>
        <v>S</v>
      </c>
      <c r="U44" s="31" t="str">
        <f>IF(H44=HS!H44,HS!U44,"D")</f>
        <v>S</v>
      </c>
      <c r="V44" s="31" t="str">
        <f>IF(I44=HS!I44,HS!V44,"D")</f>
        <v>S</v>
      </c>
      <c r="W44" s="31" t="str">
        <f>IF(J44=HS!J44,HS!W44,"D")</f>
        <v>S</v>
      </c>
      <c r="X44" s="31" t="str">
        <f>IF(K44=HS!K44,HS!X44,"D")</f>
        <v>S</v>
      </c>
    </row>
    <row r="45" spans="1:24" x14ac:dyDescent="0.2">
      <c r="A45">
        <v>22</v>
      </c>
      <c r="B45">
        <f>MAX(Hit!B45,Stand!B45,Double!B45)</f>
        <v>-0.35054034044008009</v>
      </c>
      <c r="C45">
        <f>MAX(Hit!C45,Stand!C45,Double!C45)</f>
        <v>-0.25338998596663809</v>
      </c>
      <c r="D45">
        <f>MAX(Hit!D45,Stand!D45,Double!D45)</f>
        <v>-0.2336908997980866</v>
      </c>
      <c r="E45">
        <f>MAX(Hit!E45,Stand!E45,Double!E45)</f>
        <v>-0.21106310899491437</v>
      </c>
      <c r="F45">
        <f>MAX(Hit!F45,Stand!F45,Double!F45)</f>
        <v>-0.16719266083547524</v>
      </c>
      <c r="G45">
        <f>MAX(Hit!G45,Stand!G45,Double!G45)</f>
        <v>-0.1536990158300045</v>
      </c>
      <c r="H45">
        <f>MAX(Hit!H45,Stand!H45,Double!H45)</f>
        <v>-0.21284771451731424</v>
      </c>
      <c r="I45">
        <f>MAX(Hit!I45,Stand!I45,Double!I45)</f>
        <v>-0.27157480502428616</v>
      </c>
      <c r="J45">
        <f>MAX(Hit!J45,Stand!J45,Double!J45)</f>
        <v>-0.3400132806089356</v>
      </c>
      <c r="K45">
        <f>MAX(Hit!K45,Stand!K45,Double!K45)</f>
        <v>-0.38104299284808768</v>
      </c>
      <c r="N45" s="31">
        <v>22</v>
      </c>
      <c r="O45" s="31" t="str">
        <f>IF(B45=HS!B45,HS!O45,"D")</f>
        <v>H</v>
      </c>
      <c r="P45" s="31" t="str">
        <f>IF(C45=HS!C45,HS!P45,"D")</f>
        <v>H</v>
      </c>
      <c r="Q45" s="31" t="str">
        <f>IF(D45=HS!D45,HS!Q45,"D")</f>
        <v>H</v>
      </c>
      <c r="R45" s="31" t="str">
        <f>IF(E45=HS!E45,HS!R45,"D")</f>
        <v>S</v>
      </c>
      <c r="S45" s="31" t="str">
        <f>IF(F45=HS!F45,HS!S45,"D")</f>
        <v>S</v>
      </c>
      <c r="T45" s="31" t="str">
        <f>IF(G45=HS!G45,HS!T45,"D")</f>
        <v>S</v>
      </c>
      <c r="U45" s="31" t="str">
        <f>IF(H45=HS!H45,HS!U45,"D")</f>
        <v>H</v>
      </c>
      <c r="V45" s="31" t="str">
        <f>IF(I45=HS!I45,HS!V45,"D")</f>
        <v>H</v>
      </c>
      <c r="W45" s="31" t="str">
        <f>IF(J45=HS!J45,HS!W45,"D")</f>
        <v>H</v>
      </c>
      <c r="X45" s="31" t="str">
        <f>IF(K45=HS!K45,HS!X45,"D")</f>
        <v>H</v>
      </c>
    </row>
    <row r="46" spans="1:24" x14ac:dyDescent="0.2">
      <c r="A46">
        <v>23</v>
      </c>
      <c r="B46">
        <f>MAX(Hit!B46,Stand!B46,Double!B46)</f>
        <v>-0.3969303161229315</v>
      </c>
      <c r="C46">
        <f>MAX(Hit!C46,Stand!C46,Double!C46)</f>
        <v>-0.29278372720927726</v>
      </c>
      <c r="D46">
        <f>MAX(Hit!D46,Stand!D46,Double!D46)</f>
        <v>-0.2522502292357135</v>
      </c>
      <c r="E46">
        <f>MAX(Hit!E46,Stand!E46,Double!E46)</f>
        <v>-0.21106310899491437</v>
      </c>
      <c r="F46">
        <f>MAX(Hit!F46,Stand!F46,Double!F46)</f>
        <v>-0.16719266083547524</v>
      </c>
      <c r="G46">
        <f>MAX(Hit!G46,Stand!G46,Double!G46)</f>
        <v>-0.1536990158300045</v>
      </c>
      <c r="H46">
        <f>MAX(Hit!H46,Stand!H46,Double!H46)</f>
        <v>-0.26907287776607752</v>
      </c>
      <c r="I46">
        <f>MAX(Hit!I46,Stand!I46,Double!I46)</f>
        <v>-0.32360517609397998</v>
      </c>
      <c r="J46">
        <f>MAX(Hit!J46,Stand!J46,Double!J46)</f>
        <v>-0.38715518913686875</v>
      </c>
      <c r="K46">
        <f>MAX(Hit!K46,Stand!K46,Double!K46)</f>
        <v>-0.42525420764465277</v>
      </c>
      <c r="N46" s="31">
        <v>23</v>
      </c>
      <c r="O46" s="31" t="str">
        <f>IF(B46=HS!B46,HS!O46,"D")</f>
        <v>H</v>
      </c>
      <c r="P46" s="31" t="str">
        <f>IF(C46=HS!C46,HS!P46,"D")</f>
        <v>S</v>
      </c>
      <c r="Q46" s="31" t="str">
        <f>IF(D46=HS!D46,HS!Q46,"D")</f>
        <v>S</v>
      </c>
      <c r="R46" s="31" t="str">
        <f>IF(E46=HS!E46,HS!R46,"D")</f>
        <v>S</v>
      </c>
      <c r="S46" s="31" t="str">
        <f>IF(F46=HS!F46,HS!S46,"D")</f>
        <v>S</v>
      </c>
      <c r="T46" s="31" t="str">
        <f>IF(G46=HS!G46,HS!T46,"D")</f>
        <v>S</v>
      </c>
      <c r="U46" s="31" t="str">
        <f>IF(H46=HS!H46,HS!U46,"D")</f>
        <v>H</v>
      </c>
      <c r="V46" s="31" t="str">
        <f>IF(I46=HS!I46,HS!V46,"D")</f>
        <v>H</v>
      </c>
      <c r="W46" s="31" t="str">
        <f>IF(J46=HS!J46,HS!W46,"D")</f>
        <v>H</v>
      </c>
      <c r="X46" s="31" t="str">
        <f>IF(K46=HS!K46,HS!X46,"D")</f>
        <v>H</v>
      </c>
    </row>
    <row r="47" spans="1:24" x14ac:dyDescent="0.2">
      <c r="A47">
        <v>24</v>
      </c>
      <c r="B47">
        <f>MAX(Hit!B47,Stand!B47,Double!B47)</f>
        <v>-0.44000672211415065</v>
      </c>
      <c r="C47">
        <f>MAX(Hit!C47,Stand!C47,Double!C47)</f>
        <v>-0.29278372720927726</v>
      </c>
      <c r="D47">
        <f>MAX(Hit!D47,Stand!D47,Double!D47)</f>
        <v>-0.2522502292357135</v>
      </c>
      <c r="E47">
        <f>MAX(Hit!E47,Stand!E47,Double!E47)</f>
        <v>-0.21106310899491437</v>
      </c>
      <c r="F47">
        <f>MAX(Hit!F47,Stand!F47,Double!F47)</f>
        <v>-0.16719266083547524</v>
      </c>
      <c r="G47">
        <f>MAX(Hit!G47,Stand!G47,Double!G47)</f>
        <v>-0.1536990158300045</v>
      </c>
      <c r="H47">
        <f>MAX(Hit!H47,Stand!H47,Double!H47)</f>
        <v>-0.3212819579256434</v>
      </c>
      <c r="I47">
        <f>MAX(Hit!I47,Stand!I47,Double!I47)</f>
        <v>-0.37191909208726714</v>
      </c>
      <c r="J47">
        <f>MAX(Hit!J47,Stand!J47,Double!J47)</f>
        <v>-0.43092981848423528</v>
      </c>
      <c r="K47">
        <f>MAX(Hit!K47,Stand!K47,Double!K47)</f>
        <v>-0.46630747852717758</v>
      </c>
      <c r="N47" s="31">
        <v>24</v>
      </c>
      <c r="O47" s="31" t="str">
        <f>IF(B47=HS!B47,HS!O47,"D")</f>
        <v>H</v>
      </c>
      <c r="P47" s="31" t="str">
        <f>IF(C47=HS!C47,HS!P47,"D")</f>
        <v>S</v>
      </c>
      <c r="Q47" s="31" t="str">
        <f>IF(D47=HS!D47,HS!Q47,"D")</f>
        <v>S</v>
      </c>
      <c r="R47" s="31" t="str">
        <f>IF(E47=HS!E47,HS!R47,"D")</f>
        <v>S</v>
      </c>
      <c r="S47" s="31" t="str">
        <f>IF(F47=HS!F47,HS!S47,"D")</f>
        <v>S</v>
      </c>
      <c r="T47" s="31" t="str">
        <f>IF(G47=HS!G47,HS!T47,"D")</f>
        <v>S</v>
      </c>
      <c r="U47" s="31" t="str">
        <f>IF(H47=HS!H47,HS!U47,"D")</f>
        <v>H</v>
      </c>
      <c r="V47" s="31" t="str">
        <f>IF(I47=HS!I47,HS!V47,"D")</f>
        <v>H</v>
      </c>
      <c r="W47" s="31" t="str">
        <f>IF(J47=HS!J47,HS!W47,"D")</f>
        <v>H</v>
      </c>
      <c r="X47" s="31" t="str">
        <f>IF(K47=HS!K47,HS!X47,"D")</f>
        <v>H</v>
      </c>
    </row>
    <row r="48" spans="1:24" x14ac:dyDescent="0.2">
      <c r="A48">
        <v>25</v>
      </c>
      <c r="B48">
        <f>MAX(Hit!B48,Stand!B48,Double!B48)</f>
        <v>-0.4800062419631399</v>
      </c>
      <c r="C48">
        <f>MAX(Hit!C48,Stand!C48,Double!C48)</f>
        <v>-0.29278372720927726</v>
      </c>
      <c r="D48">
        <f>MAX(Hit!D48,Stand!D48,Double!D48)</f>
        <v>-0.2522502292357135</v>
      </c>
      <c r="E48">
        <f>MAX(Hit!E48,Stand!E48,Double!E48)</f>
        <v>-0.21106310899491437</v>
      </c>
      <c r="F48">
        <f>MAX(Hit!F48,Stand!F48,Double!F48)</f>
        <v>-0.16719266083547524</v>
      </c>
      <c r="G48">
        <f>MAX(Hit!G48,Stand!G48,Double!G48)</f>
        <v>-0.1536990158300045</v>
      </c>
      <c r="H48">
        <f>MAX(Hit!H48,Stand!H48,Double!H48)</f>
        <v>-0.36976181807381175</v>
      </c>
      <c r="I48">
        <f>MAX(Hit!I48,Stand!I48,Double!I48)</f>
        <v>-0.41678201408103371</v>
      </c>
      <c r="J48">
        <f>MAX(Hit!J48,Stand!J48,Double!J48)</f>
        <v>-0.47157768859250415</v>
      </c>
      <c r="K48">
        <f>MAX(Hit!K48,Stand!K48,Double!K48)</f>
        <v>-0.5044283729180935</v>
      </c>
      <c r="N48" s="31">
        <v>25</v>
      </c>
      <c r="O48" s="31" t="str">
        <f>IF(B48=HS!B48,HS!O48,"D")</f>
        <v>H</v>
      </c>
      <c r="P48" s="31" t="str">
        <f>IF(C48=HS!C48,HS!P48,"D")</f>
        <v>S</v>
      </c>
      <c r="Q48" s="31" t="str">
        <f>IF(D48=HS!D48,HS!Q48,"D")</f>
        <v>S</v>
      </c>
      <c r="R48" s="31" t="str">
        <f>IF(E48=HS!E48,HS!R48,"D")</f>
        <v>S</v>
      </c>
      <c r="S48" s="31" t="str">
        <f>IF(F48=HS!F48,HS!S48,"D")</f>
        <v>S</v>
      </c>
      <c r="T48" s="31" t="str">
        <f>IF(G48=HS!G48,HS!T48,"D")</f>
        <v>S</v>
      </c>
      <c r="U48" s="31" t="str">
        <f>IF(H48=HS!H48,HS!U48,"D")</f>
        <v>H</v>
      </c>
      <c r="V48" s="31" t="str">
        <f>IF(I48=HS!I48,HS!V48,"D")</f>
        <v>H</v>
      </c>
      <c r="W48" s="31" t="str">
        <f>IF(J48=HS!J48,HS!W48,"D")</f>
        <v>H</v>
      </c>
      <c r="X48" s="31" t="str">
        <f>IF(K48=HS!K48,HS!X48,"D")</f>
        <v>H</v>
      </c>
    </row>
    <row r="49" spans="1:24" x14ac:dyDescent="0.2">
      <c r="A49">
        <v>26</v>
      </c>
      <c r="B49">
        <f>MAX(Hit!B49,Stand!B49,Double!B49)</f>
        <v>-0.51714865325148707</v>
      </c>
      <c r="C49">
        <f>MAX(Hit!C49,Stand!C49,Double!C49)</f>
        <v>-0.29278372720927726</v>
      </c>
      <c r="D49">
        <f>MAX(Hit!D49,Stand!D49,Double!D49)</f>
        <v>-0.2522502292357135</v>
      </c>
      <c r="E49">
        <f>MAX(Hit!E49,Stand!E49,Double!E49)</f>
        <v>-0.21106310899491437</v>
      </c>
      <c r="F49">
        <f>MAX(Hit!F49,Stand!F49,Double!F49)</f>
        <v>-0.16719266083547524</v>
      </c>
      <c r="G49">
        <f>MAX(Hit!G49,Stand!G49,Double!G49)</f>
        <v>-0.1536990158300045</v>
      </c>
      <c r="H49">
        <f>MAX(Hit!H49,Stand!H49,Double!H49)</f>
        <v>-0.41477883106853947</v>
      </c>
      <c r="I49">
        <f>MAX(Hit!I49,Stand!I49,Double!I49)</f>
        <v>-0.45844044164667419</v>
      </c>
      <c r="J49">
        <f>MAX(Hit!J49,Stand!J49,Double!J49)</f>
        <v>-0.50932213940732529</v>
      </c>
      <c r="K49">
        <f>MAX(Hit!K49,Stand!K49,Double!K49)</f>
        <v>-0.53982634628108683</v>
      </c>
      <c r="N49" s="31">
        <v>26</v>
      </c>
      <c r="O49" s="31" t="str">
        <f>IF(B49=HS!B49,HS!O49,"D")</f>
        <v>H</v>
      </c>
      <c r="P49" s="31" t="str">
        <f>IF(C49=HS!C49,HS!P49,"D")</f>
        <v>S</v>
      </c>
      <c r="Q49" s="31" t="str">
        <f>IF(D49=HS!D49,HS!Q49,"D")</f>
        <v>S</v>
      </c>
      <c r="R49" s="31" t="str">
        <f>IF(E49=HS!E49,HS!R49,"D")</f>
        <v>S</v>
      </c>
      <c r="S49" s="31" t="str">
        <f>IF(F49=HS!F49,HS!S49,"D")</f>
        <v>S</v>
      </c>
      <c r="T49" s="31" t="str">
        <f>IF(G49=HS!G49,HS!T49,"D")</f>
        <v>S</v>
      </c>
      <c r="U49" s="31" t="str">
        <f>IF(H49=HS!H49,HS!U49,"D")</f>
        <v>H</v>
      </c>
      <c r="V49" s="31" t="str">
        <f>IF(I49=HS!I49,HS!V49,"D")</f>
        <v>H</v>
      </c>
      <c r="W49" s="31" t="str">
        <f>IF(J49=HS!J49,HS!W49,"D")</f>
        <v>H</v>
      </c>
      <c r="X49" s="31" t="str">
        <f>IF(K49=HS!K49,HS!X49,"D")</f>
        <v>H</v>
      </c>
    </row>
    <row r="50" spans="1:24" x14ac:dyDescent="0.2">
      <c r="A50">
        <v>27</v>
      </c>
      <c r="B50">
        <f>MAX(Hit!B50,Stand!B50,Double!B50)</f>
        <v>-0.47803347499473703</v>
      </c>
      <c r="C50">
        <f>MAX(Hit!C50,Stand!C50,Double!C50)</f>
        <v>-0.15297458768154204</v>
      </c>
      <c r="D50">
        <f>MAX(Hit!D50,Stand!D50,Double!D50)</f>
        <v>-0.11721624142457365</v>
      </c>
      <c r="E50">
        <f>MAX(Hit!E50,Stand!E50,Double!E50)</f>
        <v>-8.0573373145316152E-2</v>
      </c>
      <c r="F50">
        <f>MAX(Hit!F50,Stand!F50,Double!F50)</f>
        <v>-4.4941375564924446E-2</v>
      </c>
      <c r="G50">
        <f>MAX(Hit!G50,Stand!G50,Double!G50)</f>
        <v>1.1739160673341853E-2</v>
      </c>
      <c r="H50">
        <f>MAX(Hit!H50,Stand!H50,Double!H50)</f>
        <v>-0.10680898948269468</v>
      </c>
      <c r="I50">
        <f>MAX(Hit!I50,Stand!I50,Double!I50)</f>
        <v>-0.38195097104844711</v>
      </c>
      <c r="J50">
        <f>MAX(Hit!J50,Stand!J50,Double!J50)</f>
        <v>-0.42315423964521737</v>
      </c>
      <c r="K50">
        <f>MAX(Hit!K50,Stand!K50,Double!K50)</f>
        <v>-0.41972063392881986</v>
      </c>
      <c r="N50" s="31">
        <v>27</v>
      </c>
      <c r="O50" s="31" t="str">
        <f>IF(B50=HS!B50,HS!O50,"D")</f>
        <v>S</v>
      </c>
      <c r="P50" s="31" t="str">
        <f>IF(C50=HS!C50,HS!P50,"D")</f>
        <v>S</v>
      </c>
      <c r="Q50" s="31" t="str">
        <f>IF(D50=HS!D50,HS!Q50,"D")</f>
        <v>S</v>
      </c>
      <c r="R50" s="31" t="str">
        <f>IF(E50=HS!E50,HS!R50,"D")</f>
        <v>S</v>
      </c>
      <c r="S50" s="31" t="str">
        <f>IF(F50=HS!F50,HS!S50,"D")</f>
        <v>S</v>
      </c>
      <c r="T50" s="31" t="str">
        <f>IF(G50=HS!G50,HS!T50,"D")</f>
        <v>S</v>
      </c>
      <c r="U50" s="31" t="str">
        <f>IF(H50=HS!H50,HS!U50,"D")</f>
        <v>S</v>
      </c>
      <c r="V50" s="31" t="str">
        <f>IF(I50=HS!I50,HS!V50,"D")</f>
        <v>S</v>
      </c>
      <c r="W50" s="31" t="str">
        <f>IF(J50=HS!J50,HS!W50,"D")</f>
        <v>S</v>
      </c>
      <c r="X50" s="31" t="str">
        <f>IF(K50=HS!K50,HS!X50,"D")</f>
        <v>S</v>
      </c>
    </row>
    <row r="51" spans="1:24" x14ac:dyDescent="0.2">
      <c r="A51">
        <v>28</v>
      </c>
      <c r="B51">
        <f>MAX(Hit!B51,Stand!B51,Double!B51)</f>
        <v>-0.10019887561319057</v>
      </c>
      <c r="C51">
        <f>MAX(Hit!C51,Stand!C51,Double!C51)</f>
        <v>0.12174190222088771</v>
      </c>
      <c r="D51">
        <f>MAX(Hit!D51,Stand!D51,Double!D51)</f>
        <v>0.14830007284131119</v>
      </c>
      <c r="E51">
        <f>MAX(Hit!E51,Stand!E51,Double!E51)</f>
        <v>0.17585443719748528</v>
      </c>
      <c r="F51">
        <f>MAX(Hit!F51,Stand!F51,Double!F51)</f>
        <v>0.19956119497617719</v>
      </c>
      <c r="G51">
        <f>MAX(Hit!G51,Stand!G51,Double!G51)</f>
        <v>0.28344391604689856</v>
      </c>
      <c r="H51">
        <f>MAX(Hit!H51,Stand!H51,Double!H51)</f>
        <v>0.3995541673365518</v>
      </c>
      <c r="I51">
        <f>MAX(Hit!I51,Stand!I51,Double!I51)</f>
        <v>0.10595134861912359</v>
      </c>
      <c r="J51">
        <f>MAX(Hit!J51,Stand!J51,Double!J51)</f>
        <v>-0.18316335667343331</v>
      </c>
      <c r="K51">
        <f>MAX(Hit!K51,Stand!K51,Double!K51)</f>
        <v>-0.17830123379648949</v>
      </c>
      <c r="N51" s="31">
        <v>28</v>
      </c>
      <c r="O51" s="31" t="str">
        <f>IF(B51=HS!B51,HS!O51,"D")</f>
        <v>S</v>
      </c>
      <c r="P51" s="31" t="str">
        <f>IF(C51=HS!C51,HS!P51,"D")</f>
        <v>S</v>
      </c>
      <c r="Q51" s="31" t="str">
        <f>IF(D51=HS!D51,HS!Q51,"D")</f>
        <v>S</v>
      </c>
      <c r="R51" s="31" t="str">
        <f>IF(E51=HS!E51,HS!R51,"D")</f>
        <v>S</v>
      </c>
      <c r="S51" s="31" t="str">
        <f>IF(F51=HS!F51,HS!S51,"D")</f>
        <v>S</v>
      </c>
      <c r="T51" s="31" t="str">
        <f>IF(G51=HS!G51,HS!T51,"D")</f>
        <v>S</v>
      </c>
      <c r="U51" s="31" t="str">
        <f>IF(H51=HS!H51,HS!U51,"D")</f>
        <v>S</v>
      </c>
      <c r="V51" s="31" t="str">
        <f>IF(I51=HS!I51,HS!V51,"D")</f>
        <v>S</v>
      </c>
      <c r="W51" s="31" t="str">
        <f>IF(J51=HS!J51,HS!W51,"D")</f>
        <v>S</v>
      </c>
      <c r="X51" s="31" t="str">
        <f>IF(K51=HS!K51,HS!X51,"D")</f>
        <v>S</v>
      </c>
    </row>
    <row r="52" spans="1:24" x14ac:dyDescent="0.2">
      <c r="A52">
        <v>29</v>
      </c>
      <c r="B52">
        <f>MAX(Hit!B52,Stand!B52,Double!B52)</f>
        <v>0.27763572376835594</v>
      </c>
      <c r="C52">
        <f>MAX(Hit!C52,Stand!C52,Double!C52)</f>
        <v>0.38630468602058993</v>
      </c>
      <c r="D52">
        <f>MAX(Hit!D52,Stand!D52,Double!D52)</f>
        <v>0.4043629365977599</v>
      </c>
      <c r="E52">
        <f>MAX(Hit!E52,Stand!E52,Double!E52)</f>
        <v>0.42317892482749653</v>
      </c>
      <c r="F52">
        <f>MAX(Hit!F52,Stand!F52,Double!F52)</f>
        <v>0.43951210416088371</v>
      </c>
      <c r="G52">
        <f>MAX(Hit!G52,Stand!G52,Double!G52)</f>
        <v>0.49597707378731914</v>
      </c>
      <c r="H52">
        <f>MAX(Hit!H52,Stand!H52,Double!H52)</f>
        <v>0.6159764957534315</v>
      </c>
      <c r="I52">
        <f>MAX(Hit!I52,Stand!I52,Double!I52)</f>
        <v>0.59385366828669439</v>
      </c>
      <c r="J52">
        <f>MAX(Hit!J52,Stand!J52,Double!J52)</f>
        <v>0.28759675706758148</v>
      </c>
      <c r="K52">
        <f>MAX(Hit!K52,Stand!K52,Double!K52)</f>
        <v>6.3118166335840831E-2</v>
      </c>
      <c r="N52" s="31">
        <v>29</v>
      </c>
      <c r="O52" s="31" t="str">
        <f>IF(B52=HS!B52,HS!O52,"D")</f>
        <v>S</v>
      </c>
      <c r="P52" s="31" t="str">
        <f>IF(C52=HS!C52,HS!P52,"D")</f>
        <v>S</v>
      </c>
      <c r="Q52" s="31" t="str">
        <f>IF(D52=HS!D52,HS!Q52,"D")</f>
        <v>S</v>
      </c>
      <c r="R52" s="31" t="str">
        <f>IF(E52=HS!E52,HS!R52,"D")</f>
        <v>S</v>
      </c>
      <c r="S52" s="31" t="str">
        <f>IF(F52=HS!F52,HS!S52,"D")</f>
        <v>S</v>
      </c>
      <c r="T52" s="31" t="str">
        <f>IF(G52=HS!G52,HS!T52,"D")</f>
        <v>S</v>
      </c>
      <c r="U52" s="31" t="str">
        <f>IF(H52=HS!H52,HS!U52,"D")</f>
        <v>S</v>
      </c>
      <c r="V52" s="31" t="str">
        <f>IF(I52=HS!I52,HS!V52,"D")</f>
        <v>S</v>
      </c>
      <c r="W52" s="31" t="str">
        <f>IF(J52=HS!J52,HS!W52,"D")</f>
        <v>S</v>
      </c>
      <c r="X52" s="31" t="str">
        <f>IF(K52=HS!K52,HS!X52,"D")</f>
        <v>S</v>
      </c>
    </row>
    <row r="53" spans="1:24" x14ac:dyDescent="0.2">
      <c r="A53">
        <v>30</v>
      </c>
      <c r="B53">
        <f>MAX(Hit!B53,Stand!B53,Double!B53)</f>
        <v>0.65547032314990239</v>
      </c>
      <c r="C53">
        <f>MAX(Hit!C53,Stand!C53,Double!C53)</f>
        <v>0.63998657521683877</v>
      </c>
      <c r="D53">
        <f>MAX(Hit!D53,Stand!D53,Double!D53)</f>
        <v>0.65027209425148136</v>
      </c>
      <c r="E53">
        <f>MAX(Hit!E53,Stand!E53,Double!E53)</f>
        <v>0.66104996194807186</v>
      </c>
      <c r="F53">
        <f>MAX(Hit!F53,Stand!F53,Double!F53)</f>
        <v>0.67035969063279999</v>
      </c>
      <c r="G53">
        <f>MAX(Hit!G53,Stand!G53,Double!G53)</f>
        <v>0.70395857017134467</v>
      </c>
      <c r="H53">
        <f>MAX(Hit!H53,Stand!H53,Double!H53)</f>
        <v>0.77322722653717491</v>
      </c>
      <c r="I53">
        <f>MAX(Hit!I53,Stand!I53,Double!I53)</f>
        <v>0.79181515955189841</v>
      </c>
      <c r="J53">
        <f>MAX(Hit!J53,Stand!J53,Double!J53)</f>
        <v>0.75835687080859626</v>
      </c>
      <c r="K53">
        <f>MAX(Hit!K53,Stand!K53,Double!K53)</f>
        <v>0.55453756646817121</v>
      </c>
      <c r="N53" s="31">
        <v>30</v>
      </c>
      <c r="O53" s="31" t="str">
        <f>IF(B53=HS!B53,HS!O53,"D")</f>
        <v>S</v>
      </c>
      <c r="P53" s="31" t="str">
        <f>IF(C53=HS!C53,HS!P53,"D")</f>
        <v>S</v>
      </c>
      <c r="Q53" s="31" t="str">
        <f>IF(D53=HS!D53,HS!Q53,"D")</f>
        <v>S</v>
      </c>
      <c r="R53" s="31" t="str">
        <f>IF(E53=HS!E53,HS!R53,"D")</f>
        <v>S</v>
      </c>
      <c r="S53" s="31" t="str">
        <f>IF(F53=HS!F53,HS!S53,"D")</f>
        <v>S</v>
      </c>
      <c r="T53" s="31" t="str">
        <f>IF(G53=HS!G53,HS!T53,"D")</f>
        <v>S</v>
      </c>
      <c r="U53" s="31" t="str">
        <f>IF(H53=HS!H53,HS!U53,"D")</f>
        <v>S</v>
      </c>
      <c r="V53" s="31" t="str">
        <f>IF(I53=HS!I53,HS!V53,"D")</f>
        <v>S</v>
      </c>
      <c r="W53" s="31" t="str">
        <f>IF(J53=HS!J53,HS!W53,"D")</f>
        <v>S</v>
      </c>
      <c r="X53" s="31" t="str">
        <f>IF(K53=HS!K53,HS!X53,"D")</f>
        <v>S</v>
      </c>
    </row>
    <row r="54" spans="1:24" x14ac:dyDescent="0.2">
      <c r="A54">
        <v>31</v>
      </c>
      <c r="B54">
        <f>MAX(Hit!B54,Stand!B54,Double!B54)</f>
        <v>0.92219381142033785</v>
      </c>
      <c r="C54">
        <f>MAX(Hit!C54,Stand!C54,Double!C54)</f>
        <v>0.88200651549403997</v>
      </c>
      <c r="D54">
        <f>MAX(Hit!D54,Stand!D54,Double!D54)</f>
        <v>0.88530035730174927</v>
      </c>
      <c r="E54">
        <f>MAX(Hit!E54,Stand!E54,Double!E54)</f>
        <v>0.88876729296591961</v>
      </c>
      <c r="F54">
        <f>MAX(Hit!F54,Stand!F54,Double!F54)</f>
        <v>0.89175382659528035</v>
      </c>
      <c r="G54">
        <f>MAX(Hit!G54,Stand!G54,Double!G54)</f>
        <v>0.90283674384257995</v>
      </c>
      <c r="H54">
        <f>MAX(Hit!H54,Stand!H54,Double!H54)</f>
        <v>0.92592629596452325</v>
      </c>
      <c r="I54">
        <f>MAX(Hit!I54,Stand!I54,Double!I54)</f>
        <v>0.93060505318396614</v>
      </c>
      <c r="J54">
        <f>MAX(Hit!J54,Stand!J54,Double!J54)</f>
        <v>0.93917615614724415</v>
      </c>
      <c r="K54">
        <f>MAX(Hit!K54,Stand!K54,Double!K54)</f>
        <v>0.96262363326716827</v>
      </c>
      <c r="N54" s="31">
        <v>31</v>
      </c>
      <c r="O54" s="31" t="str">
        <f>IF(B54=HS!B54,HS!O54,"D")</f>
        <v>S</v>
      </c>
      <c r="P54" s="31" t="str">
        <f>IF(C54=HS!C54,HS!P54,"D")</f>
        <v>S</v>
      </c>
      <c r="Q54" s="31" t="str">
        <f>IF(D54=HS!D54,HS!Q54,"D")</f>
        <v>S</v>
      </c>
      <c r="R54" s="31" t="str">
        <f>IF(E54=HS!E54,HS!R54,"D")</f>
        <v>S</v>
      </c>
      <c r="S54" s="31" t="str">
        <f>IF(F54=HS!F54,HS!S54,"D")</f>
        <v>S</v>
      </c>
      <c r="T54" s="31" t="str">
        <f>IF(G54=HS!G54,HS!T54,"D")</f>
        <v>S</v>
      </c>
      <c r="U54" s="31" t="str">
        <f>IF(H54=HS!H54,HS!U54,"D")</f>
        <v>S</v>
      </c>
      <c r="V54" s="31" t="str">
        <f>IF(I54=HS!I54,HS!V54,"D")</f>
        <v>S</v>
      </c>
      <c r="W54" s="31" t="str">
        <f>IF(J54=HS!J54,HS!W54,"D")</f>
        <v>S</v>
      </c>
      <c r="X54" s="31" t="str">
        <f>IF(K54=HS!K54,HS!X54,"D")</f>
        <v>S</v>
      </c>
    </row>
  </sheetData>
  <sheetProtection sheet="1" objects="1" scenarios="1"/>
  <phoneticPr fontId="16" type="noConversion"/>
  <conditionalFormatting sqref="O2:X31">
    <cfRule type="containsText" dxfId="818" priority="16" operator="containsText" text="S">
      <formula>NOT(ISERROR(SEARCH("S",O2)))</formula>
    </cfRule>
    <cfRule type="containsText" dxfId="817" priority="17" operator="containsText" text="H">
      <formula>NOT(ISERROR(SEARCH("H",O2)))</formula>
    </cfRule>
  </conditionalFormatting>
  <conditionalFormatting sqref="O2:X31">
    <cfRule type="containsText" dxfId="816" priority="13" operator="containsText" text="D">
      <formula>NOT(ISERROR(SEARCH("D",O2)))</formula>
    </cfRule>
  </conditionalFormatting>
  <conditionalFormatting sqref="O34:X54">
    <cfRule type="containsText" dxfId="815" priority="2" operator="containsText" text="S">
      <formula>NOT(ISERROR(SEARCH("S",O34)))</formula>
    </cfRule>
    <cfRule type="containsText" dxfId="814" priority="3" operator="containsText" text="H">
      <formula>NOT(ISERROR(SEARCH("H",O34)))</formula>
    </cfRule>
  </conditionalFormatting>
  <conditionalFormatting sqref="O34:X54">
    <cfRule type="containsText" dxfId="813" priority="1" operator="containsText" text="D">
      <formula>NOT(ISERROR(SEARCH("D",O34)))</formula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K54"/>
  <sheetViews>
    <sheetView workbookViewId="0">
      <selection activeCell="K9" sqref="K9"/>
    </sheetView>
  </sheetViews>
  <sheetFormatPr baseColWidth="10" defaultColWidth="8.83203125" defaultRowHeight="16" x14ac:dyDescent="0.2"/>
  <sheetData>
    <row r="1" spans="1:11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>
        <v>2</v>
      </c>
      <c r="B2">
        <v>-0.5</v>
      </c>
      <c r="C2">
        <v>-0.5</v>
      </c>
      <c r="D2">
        <v>-0.5</v>
      </c>
      <c r="E2">
        <v>-0.5</v>
      </c>
      <c r="F2">
        <v>-0.5</v>
      </c>
      <c r="G2">
        <v>-0.5</v>
      </c>
      <c r="H2">
        <v>-0.5</v>
      </c>
      <c r="I2">
        <v>-0.5</v>
      </c>
      <c r="J2">
        <v>-0.5</v>
      </c>
      <c r="K2">
        <v>-0.5</v>
      </c>
    </row>
    <row r="3" spans="1:11" x14ac:dyDescent="0.2">
      <c r="A3">
        <v>3</v>
      </c>
      <c r="B3">
        <v>-0.5</v>
      </c>
      <c r="C3">
        <v>-0.5</v>
      </c>
      <c r="D3">
        <v>-0.5</v>
      </c>
      <c r="E3">
        <v>-0.5</v>
      </c>
      <c r="F3">
        <v>-0.5</v>
      </c>
      <c r="G3">
        <v>-0.5</v>
      </c>
      <c r="H3">
        <v>-0.5</v>
      </c>
      <c r="I3">
        <v>-0.5</v>
      </c>
      <c r="J3">
        <v>-0.5</v>
      </c>
      <c r="K3">
        <v>-0.5</v>
      </c>
    </row>
    <row r="4" spans="1:11" x14ac:dyDescent="0.2">
      <c r="A4">
        <v>4</v>
      </c>
      <c r="B4">
        <v>-0.5</v>
      </c>
      <c r="C4">
        <v>-0.5</v>
      </c>
      <c r="D4">
        <v>-0.5</v>
      </c>
      <c r="E4">
        <v>-0.5</v>
      </c>
      <c r="F4">
        <v>-0.5</v>
      </c>
      <c r="G4">
        <v>-0.5</v>
      </c>
      <c r="H4">
        <v>-0.5</v>
      </c>
      <c r="I4">
        <v>-0.5</v>
      </c>
      <c r="J4">
        <v>-0.5</v>
      </c>
      <c r="K4">
        <v>-0.5</v>
      </c>
    </row>
    <row r="5" spans="1:11" x14ac:dyDescent="0.2">
      <c r="A5">
        <v>5</v>
      </c>
      <c r="B5">
        <v>-0.5</v>
      </c>
      <c r="C5">
        <v>-0.5</v>
      </c>
      <c r="D5">
        <v>-0.5</v>
      </c>
      <c r="E5">
        <v>-0.5</v>
      </c>
      <c r="F5">
        <v>-0.5</v>
      </c>
      <c r="G5">
        <v>-0.5</v>
      </c>
      <c r="H5">
        <v>-0.5</v>
      </c>
      <c r="I5">
        <v>-0.5</v>
      </c>
      <c r="J5">
        <v>-0.5</v>
      </c>
      <c r="K5">
        <v>-0.5</v>
      </c>
    </row>
    <row r="6" spans="1:11" x14ac:dyDescent="0.2">
      <c r="A6">
        <v>6</v>
      </c>
      <c r="B6">
        <v>-0.5</v>
      </c>
      <c r="C6">
        <v>-0.5</v>
      </c>
      <c r="D6">
        <v>-0.5</v>
      </c>
      <c r="E6">
        <v>-0.5</v>
      </c>
      <c r="F6">
        <v>-0.5</v>
      </c>
      <c r="G6">
        <v>-0.5</v>
      </c>
      <c r="H6">
        <v>-0.5</v>
      </c>
      <c r="I6">
        <v>-0.5</v>
      </c>
      <c r="J6">
        <v>-0.5</v>
      </c>
      <c r="K6">
        <v>-0.5</v>
      </c>
    </row>
    <row r="7" spans="1:11" x14ac:dyDescent="0.2">
      <c r="A7">
        <v>7</v>
      </c>
      <c r="B7">
        <v>-0.5</v>
      </c>
      <c r="C7">
        <v>-0.5</v>
      </c>
      <c r="D7">
        <v>-0.5</v>
      </c>
      <c r="E7">
        <v>-0.5</v>
      </c>
      <c r="F7">
        <v>-0.5</v>
      </c>
      <c r="G7">
        <v>-0.5</v>
      </c>
      <c r="H7">
        <v>-0.5</v>
      </c>
      <c r="I7">
        <v>-0.5</v>
      </c>
      <c r="J7">
        <v>-0.5</v>
      </c>
      <c r="K7">
        <v>-0.5</v>
      </c>
    </row>
    <row r="8" spans="1:11" x14ac:dyDescent="0.2">
      <c r="A8">
        <v>8</v>
      </c>
      <c r="B8">
        <v>-0.5</v>
      </c>
      <c r="C8">
        <v>-0.5</v>
      </c>
      <c r="D8">
        <v>-0.5</v>
      </c>
      <c r="E8">
        <v>-0.5</v>
      </c>
      <c r="F8">
        <v>-0.5</v>
      </c>
      <c r="G8">
        <v>-0.5</v>
      </c>
      <c r="H8">
        <v>-0.5</v>
      </c>
      <c r="I8">
        <v>-0.5</v>
      </c>
      <c r="J8">
        <v>-0.5</v>
      </c>
      <c r="K8">
        <v>-0.5</v>
      </c>
    </row>
    <row r="9" spans="1:11" x14ac:dyDescent="0.2">
      <c r="A9">
        <v>9</v>
      </c>
      <c r="B9">
        <v>-0.5</v>
      </c>
      <c r="C9">
        <v>-0.5</v>
      </c>
      <c r="D9">
        <v>-0.5</v>
      </c>
      <c r="E9">
        <v>-0.5</v>
      </c>
      <c r="F9">
        <v>-0.5</v>
      </c>
      <c r="G9">
        <v>-0.5</v>
      </c>
      <c r="H9">
        <v>-0.5</v>
      </c>
      <c r="I9">
        <v>-0.5</v>
      </c>
      <c r="J9">
        <v>-0.5</v>
      </c>
      <c r="K9">
        <v>-0.5</v>
      </c>
    </row>
    <row r="10" spans="1:11" x14ac:dyDescent="0.2">
      <c r="A10">
        <v>10</v>
      </c>
      <c r="B10">
        <v>-0.5</v>
      </c>
      <c r="C10">
        <v>-0.5</v>
      </c>
      <c r="D10">
        <v>-0.5</v>
      </c>
      <c r="E10">
        <v>-0.5</v>
      </c>
      <c r="F10">
        <v>-0.5</v>
      </c>
      <c r="G10">
        <v>-0.5</v>
      </c>
      <c r="H10">
        <v>-0.5</v>
      </c>
      <c r="I10">
        <v>-0.5</v>
      </c>
      <c r="J10">
        <v>-0.5</v>
      </c>
      <c r="K10">
        <v>-0.5</v>
      </c>
    </row>
    <row r="11" spans="1:11" x14ac:dyDescent="0.2">
      <c r="A11">
        <v>11</v>
      </c>
      <c r="B11">
        <v>-0.5</v>
      </c>
      <c r="C11">
        <v>-0.5</v>
      </c>
      <c r="D11">
        <v>-0.5</v>
      </c>
      <c r="E11">
        <v>-0.5</v>
      </c>
      <c r="F11">
        <v>-0.5</v>
      </c>
      <c r="G11">
        <v>-0.5</v>
      </c>
      <c r="H11">
        <v>-0.5</v>
      </c>
      <c r="I11">
        <v>-0.5</v>
      </c>
      <c r="J11">
        <v>-0.5</v>
      </c>
      <c r="K11">
        <v>-0.5</v>
      </c>
    </row>
    <row r="12" spans="1:11" x14ac:dyDescent="0.2">
      <c r="A12">
        <v>12</v>
      </c>
      <c r="B12">
        <v>-0.5</v>
      </c>
      <c r="C12">
        <v>-0.5</v>
      </c>
      <c r="D12">
        <v>-0.5</v>
      </c>
      <c r="E12">
        <v>-0.5</v>
      </c>
      <c r="F12">
        <v>-0.5</v>
      </c>
      <c r="G12">
        <v>-0.5</v>
      </c>
      <c r="H12">
        <v>-0.5</v>
      </c>
      <c r="I12">
        <v>-0.5</v>
      </c>
      <c r="J12">
        <v>-0.5</v>
      </c>
      <c r="K12">
        <v>-0.5</v>
      </c>
    </row>
    <row r="13" spans="1:11" x14ac:dyDescent="0.2">
      <c r="A13">
        <v>13</v>
      </c>
      <c r="B13">
        <v>-0.5</v>
      </c>
      <c r="C13">
        <v>-0.5</v>
      </c>
      <c r="D13">
        <v>-0.5</v>
      </c>
      <c r="E13">
        <v>-0.5</v>
      </c>
      <c r="F13">
        <v>-0.5</v>
      </c>
      <c r="G13">
        <v>-0.5</v>
      </c>
      <c r="H13">
        <v>-0.5</v>
      </c>
      <c r="I13">
        <v>-0.5</v>
      </c>
      <c r="J13">
        <v>-0.5</v>
      </c>
      <c r="K13">
        <v>-0.5</v>
      </c>
    </row>
    <row r="14" spans="1:11" x14ac:dyDescent="0.2">
      <c r="A14">
        <v>14</v>
      </c>
      <c r="B14">
        <v>-0.5</v>
      </c>
      <c r="C14">
        <v>-0.5</v>
      </c>
      <c r="D14">
        <v>-0.5</v>
      </c>
      <c r="E14">
        <v>-0.5</v>
      </c>
      <c r="F14">
        <v>-0.5</v>
      </c>
      <c r="G14">
        <v>-0.5</v>
      </c>
      <c r="H14">
        <v>-0.5</v>
      </c>
      <c r="I14">
        <v>-0.5</v>
      </c>
      <c r="J14">
        <v>-0.5</v>
      </c>
      <c r="K14">
        <v>-0.5</v>
      </c>
    </row>
    <row r="15" spans="1:11" x14ac:dyDescent="0.2">
      <c r="A15">
        <v>15</v>
      </c>
      <c r="B15">
        <v>-0.5</v>
      </c>
      <c r="C15">
        <v>-0.5</v>
      </c>
      <c r="D15">
        <v>-0.5</v>
      </c>
      <c r="E15">
        <v>-0.5</v>
      </c>
      <c r="F15">
        <v>-0.5</v>
      </c>
      <c r="G15">
        <v>-0.5</v>
      </c>
      <c r="H15">
        <v>-0.5</v>
      </c>
      <c r="I15">
        <v>-0.5</v>
      </c>
      <c r="J15">
        <v>-0.5</v>
      </c>
      <c r="K15">
        <v>-0.5</v>
      </c>
    </row>
    <row r="16" spans="1:11" x14ac:dyDescent="0.2">
      <c r="A16">
        <v>16</v>
      </c>
      <c r="B16">
        <v>-0.5</v>
      </c>
      <c r="C16">
        <v>-0.5</v>
      </c>
      <c r="D16">
        <v>-0.5</v>
      </c>
      <c r="E16">
        <v>-0.5</v>
      </c>
      <c r="F16">
        <v>-0.5</v>
      </c>
      <c r="G16">
        <v>-0.5</v>
      </c>
      <c r="H16">
        <v>-0.5</v>
      </c>
      <c r="I16">
        <v>-0.5</v>
      </c>
      <c r="J16">
        <v>-0.5</v>
      </c>
      <c r="K16">
        <v>-0.5</v>
      </c>
    </row>
    <row r="17" spans="1:11" x14ac:dyDescent="0.2">
      <c r="A17">
        <v>17</v>
      </c>
      <c r="B17">
        <v>-0.5</v>
      </c>
      <c r="C17">
        <v>-0.5</v>
      </c>
      <c r="D17">
        <v>-0.5</v>
      </c>
      <c r="E17">
        <v>-0.5</v>
      </c>
      <c r="F17">
        <v>-0.5</v>
      </c>
      <c r="G17">
        <v>-0.5</v>
      </c>
      <c r="H17">
        <v>-0.5</v>
      </c>
      <c r="I17">
        <v>-0.5</v>
      </c>
      <c r="J17">
        <v>-0.5</v>
      </c>
      <c r="K17">
        <v>-0.5</v>
      </c>
    </row>
    <row r="18" spans="1:11" x14ac:dyDescent="0.2">
      <c r="A18">
        <v>18</v>
      </c>
      <c r="B18">
        <v>-0.5</v>
      </c>
      <c r="C18">
        <v>-0.5</v>
      </c>
      <c r="D18">
        <v>-0.5</v>
      </c>
      <c r="E18">
        <v>-0.5</v>
      </c>
      <c r="F18">
        <v>-0.5</v>
      </c>
      <c r="G18">
        <v>-0.5</v>
      </c>
      <c r="H18">
        <v>-0.5</v>
      </c>
      <c r="I18">
        <v>-0.5</v>
      </c>
      <c r="J18">
        <v>-0.5</v>
      </c>
      <c r="K18">
        <v>-0.5</v>
      </c>
    </row>
    <row r="19" spans="1:11" x14ac:dyDescent="0.2">
      <c r="A19">
        <v>19</v>
      </c>
      <c r="B19">
        <v>-0.5</v>
      </c>
      <c r="C19">
        <v>-0.5</v>
      </c>
      <c r="D19">
        <v>-0.5</v>
      </c>
      <c r="E19">
        <v>-0.5</v>
      </c>
      <c r="F19">
        <v>-0.5</v>
      </c>
      <c r="G19">
        <v>-0.5</v>
      </c>
      <c r="H19">
        <v>-0.5</v>
      </c>
      <c r="I19">
        <v>-0.5</v>
      </c>
      <c r="J19">
        <v>-0.5</v>
      </c>
      <c r="K19">
        <v>-0.5</v>
      </c>
    </row>
    <row r="20" spans="1:11" x14ac:dyDescent="0.2">
      <c r="A20">
        <v>20</v>
      </c>
      <c r="B20">
        <v>-0.5</v>
      </c>
      <c r="C20">
        <v>-0.5</v>
      </c>
      <c r="D20">
        <v>-0.5</v>
      </c>
      <c r="E20">
        <v>-0.5</v>
      </c>
      <c r="F20">
        <v>-0.5</v>
      </c>
      <c r="G20">
        <v>-0.5</v>
      </c>
      <c r="H20">
        <v>-0.5</v>
      </c>
      <c r="I20">
        <v>-0.5</v>
      </c>
      <c r="J20">
        <v>-0.5</v>
      </c>
      <c r="K20">
        <v>-0.5</v>
      </c>
    </row>
    <row r="21" spans="1:11" x14ac:dyDescent="0.2">
      <c r="A21">
        <v>21</v>
      </c>
      <c r="B21">
        <v>-0.5</v>
      </c>
      <c r="C21">
        <v>-0.5</v>
      </c>
      <c r="D21">
        <v>-0.5</v>
      </c>
      <c r="E21">
        <v>-0.5</v>
      </c>
      <c r="F21">
        <v>-0.5</v>
      </c>
      <c r="G21">
        <v>-0.5</v>
      </c>
      <c r="H21">
        <v>-0.5</v>
      </c>
      <c r="I21">
        <v>-0.5</v>
      </c>
      <c r="J21">
        <v>-0.5</v>
      </c>
      <c r="K21">
        <v>-0.5</v>
      </c>
    </row>
    <row r="22" spans="1:11" x14ac:dyDescent="0.2">
      <c r="A22">
        <v>22</v>
      </c>
      <c r="B22">
        <v>-0.5</v>
      </c>
      <c r="C22">
        <v>-0.5</v>
      </c>
      <c r="D22">
        <v>-0.5</v>
      </c>
      <c r="E22">
        <v>-0.5</v>
      </c>
      <c r="F22">
        <v>-0.5</v>
      </c>
      <c r="G22">
        <v>-0.5</v>
      </c>
      <c r="H22">
        <v>-0.5</v>
      </c>
      <c r="I22">
        <v>-0.5</v>
      </c>
      <c r="J22">
        <v>-0.5</v>
      </c>
      <c r="K22">
        <v>-0.5</v>
      </c>
    </row>
    <row r="23" spans="1:11" x14ac:dyDescent="0.2">
      <c r="A23">
        <v>23</v>
      </c>
      <c r="B23">
        <v>-0.5</v>
      </c>
      <c r="C23">
        <v>-0.5</v>
      </c>
      <c r="D23">
        <v>-0.5</v>
      </c>
      <c r="E23">
        <v>-0.5</v>
      </c>
      <c r="F23">
        <v>-0.5</v>
      </c>
      <c r="G23">
        <v>-0.5</v>
      </c>
      <c r="H23">
        <v>-0.5</v>
      </c>
      <c r="I23">
        <v>-0.5</v>
      </c>
      <c r="J23">
        <v>-0.5</v>
      </c>
      <c r="K23">
        <v>-0.5</v>
      </c>
    </row>
    <row r="24" spans="1:11" x14ac:dyDescent="0.2">
      <c r="A24">
        <v>24</v>
      </c>
      <c r="B24">
        <v>-0.5</v>
      </c>
      <c r="C24">
        <v>-0.5</v>
      </c>
      <c r="D24">
        <v>-0.5</v>
      </c>
      <c r="E24">
        <v>-0.5</v>
      </c>
      <c r="F24">
        <v>-0.5</v>
      </c>
      <c r="G24">
        <v>-0.5</v>
      </c>
      <c r="H24">
        <v>-0.5</v>
      </c>
      <c r="I24">
        <v>-0.5</v>
      </c>
      <c r="J24">
        <v>-0.5</v>
      </c>
      <c r="K24">
        <v>-0.5</v>
      </c>
    </row>
    <row r="25" spans="1:11" x14ac:dyDescent="0.2">
      <c r="A25">
        <v>25</v>
      </c>
      <c r="B25">
        <v>-0.5</v>
      </c>
      <c r="C25">
        <v>-0.5</v>
      </c>
      <c r="D25">
        <v>-0.5</v>
      </c>
      <c r="E25">
        <v>-0.5</v>
      </c>
      <c r="F25">
        <v>-0.5</v>
      </c>
      <c r="G25">
        <v>-0.5</v>
      </c>
      <c r="H25">
        <v>-0.5</v>
      </c>
      <c r="I25">
        <v>-0.5</v>
      </c>
      <c r="J25">
        <v>-0.5</v>
      </c>
      <c r="K25">
        <v>-0.5</v>
      </c>
    </row>
    <row r="26" spans="1:11" x14ac:dyDescent="0.2">
      <c r="A26">
        <v>26</v>
      </c>
      <c r="B26">
        <v>-0.5</v>
      </c>
      <c r="C26">
        <v>-0.5</v>
      </c>
      <c r="D26">
        <v>-0.5</v>
      </c>
      <c r="E26">
        <v>-0.5</v>
      </c>
      <c r="F26">
        <v>-0.5</v>
      </c>
      <c r="G26">
        <v>-0.5</v>
      </c>
      <c r="H26">
        <v>-0.5</v>
      </c>
      <c r="I26">
        <v>-0.5</v>
      </c>
      <c r="J26">
        <v>-0.5</v>
      </c>
      <c r="K26">
        <v>-0.5</v>
      </c>
    </row>
    <row r="27" spans="1:11" x14ac:dyDescent="0.2">
      <c r="A27">
        <v>27</v>
      </c>
      <c r="B27">
        <v>-0.5</v>
      </c>
      <c r="C27">
        <v>-0.5</v>
      </c>
      <c r="D27">
        <v>-0.5</v>
      </c>
      <c r="E27">
        <v>-0.5</v>
      </c>
      <c r="F27">
        <v>-0.5</v>
      </c>
      <c r="G27">
        <v>-0.5</v>
      </c>
      <c r="H27">
        <v>-0.5</v>
      </c>
      <c r="I27">
        <v>-0.5</v>
      </c>
      <c r="J27">
        <v>-0.5</v>
      </c>
      <c r="K27">
        <v>-0.5</v>
      </c>
    </row>
    <row r="28" spans="1:11" x14ac:dyDescent="0.2">
      <c r="A28">
        <v>28</v>
      </c>
      <c r="B28">
        <v>-0.5</v>
      </c>
      <c r="C28">
        <v>-0.5</v>
      </c>
      <c r="D28">
        <v>-0.5</v>
      </c>
      <c r="E28">
        <v>-0.5</v>
      </c>
      <c r="F28">
        <v>-0.5</v>
      </c>
      <c r="G28">
        <v>-0.5</v>
      </c>
      <c r="H28">
        <v>-0.5</v>
      </c>
      <c r="I28">
        <v>-0.5</v>
      </c>
      <c r="J28">
        <v>-0.5</v>
      </c>
      <c r="K28">
        <v>-0.5</v>
      </c>
    </row>
    <row r="29" spans="1:11" x14ac:dyDescent="0.2">
      <c r="A29">
        <v>29</v>
      </c>
      <c r="B29">
        <v>-0.5</v>
      </c>
      <c r="C29">
        <v>-0.5</v>
      </c>
      <c r="D29">
        <v>-0.5</v>
      </c>
      <c r="E29">
        <v>-0.5</v>
      </c>
      <c r="F29">
        <v>-0.5</v>
      </c>
      <c r="G29">
        <v>-0.5</v>
      </c>
      <c r="H29">
        <v>-0.5</v>
      </c>
      <c r="I29">
        <v>-0.5</v>
      </c>
      <c r="J29">
        <v>-0.5</v>
      </c>
      <c r="K29">
        <v>-0.5</v>
      </c>
    </row>
    <row r="30" spans="1:11" x14ac:dyDescent="0.2">
      <c r="A30">
        <v>30</v>
      </c>
      <c r="B30">
        <v>-0.5</v>
      </c>
      <c r="C30">
        <v>-0.5</v>
      </c>
      <c r="D30">
        <v>-0.5</v>
      </c>
      <c r="E30">
        <v>-0.5</v>
      </c>
      <c r="F30">
        <v>-0.5</v>
      </c>
      <c r="G30">
        <v>-0.5</v>
      </c>
      <c r="H30">
        <v>-0.5</v>
      </c>
      <c r="I30">
        <v>-0.5</v>
      </c>
      <c r="J30">
        <v>-0.5</v>
      </c>
      <c r="K30">
        <v>-0.5</v>
      </c>
    </row>
    <row r="31" spans="1:11" x14ac:dyDescent="0.2">
      <c r="A31">
        <v>31</v>
      </c>
      <c r="B31">
        <v>-0.5</v>
      </c>
      <c r="C31">
        <v>-0.5</v>
      </c>
      <c r="D31">
        <v>-0.5</v>
      </c>
      <c r="E31">
        <v>-0.5</v>
      </c>
      <c r="F31">
        <v>-0.5</v>
      </c>
      <c r="G31">
        <v>-0.5</v>
      </c>
      <c r="H31">
        <v>-0.5</v>
      </c>
      <c r="I31">
        <v>-0.5</v>
      </c>
      <c r="J31">
        <v>-0.5</v>
      </c>
      <c r="K31">
        <v>-0.5</v>
      </c>
    </row>
    <row r="33" spans="1:11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</row>
    <row r="34" spans="1:11" x14ac:dyDescent="0.2">
      <c r="A34">
        <v>11</v>
      </c>
      <c r="B34">
        <v>-0.5</v>
      </c>
      <c r="C34">
        <v>-0.5</v>
      </c>
      <c r="D34">
        <v>-0.5</v>
      </c>
      <c r="E34">
        <v>-0.5</v>
      </c>
      <c r="F34">
        <v>-0.5</v>
      </c>
      <c r="G34">
        <v>-0.5</v>
      </c>
      <c r="H34">
        <v>-0.5</v>
      </c>
      <c r="I34">
        <v>-0.5</v>
      </c>
      <c r="J34">
        <v>-0.5</v>
      </c>
      <c r="K34">
        <v>-0.5</v>
      </c>
    </row>
    <row r="35" spans="1:11" x14ac:dyDescent="0.2">
      <c r="A35">
        <v>12</v>
      </c>
      <c r="B35">
        <v>-0.5</v>
      </c>
      <c r="C35">
        <v>-0.5</v>
      </c>
      <c r="D35">
        <v>-0.5</v>
      </c>
      <c r="E35">
        <v>-0.5</v>
      </c>
      <c r="F35">
        <v>-0.5</v>
      </c>
      <c r="G35">
        <v>-0.5</v>
      </c>
      <c r="H35">
        <v>-0.5</v>
      </c>
      <c r="I35">
        <v>-0.5</v>
      </c>
      <c r="J35">
        <v>-0.5</v>
      </c>
      <c r="K35">
        <v>-0.5</v>
      </c>
    </row>
    <row r="36" spans="1:11" x14ac:dyDescent="0.2">
      <c r="A36">
        <v>13</v>
      </c>
      <c r="B36">
        <v>-0.5</v>
      </c>
      <c r="C36">
        <v>-0.5</v>
      </c>
      <c r="D36">
        <v>-0.5</v>
      </c>
      <c r="E36">
        <v>-0.5</v>
      </c>
      <c r="F36">
        <v>-0.5</v>
      </c>
      <c r="G36">
        <v>-0.5</v>
      </c>
      <c r="H36">
        <v>-0.5</v>
      </c>
      <c r="I36">
        <v>-0.5</v>
      </c>
      <c r="J36">
        <v>-0.5</v>
      </c>
      <c r="K36">
        <v>-0.5</v>
      </c>
    </row>
    <row r="37" spans="1:11" x14ac:dyDescent="0.2">
      <c r="A37">
        <v>14</v>
      </c>
      <c r="B37">
        <v>-0.5</v>
      </c>
      <c r="C37">
        <v>-0.5</v>
      </c>
      <c r="D37">
        <v>-0.5</v>
      </c>
      <c r="E37">
        <v>-0.5</v>
      </c>
      <c r="F37">
        <v>-0.5</v>
      </c>
      <c r="G37">
        <v>-0.5</v>
      </c>
      <c r="H37">
        <v>-0.5</v>
      </c>
      <c r="I37">
        <v>-0.5</v>
      </c>
      <c r="J37">
        <v>-0.5</v>
      </c>
      <c r="K37">
        <v>-0.5</v>
      </c>
    </row>
    <row r="38" spans="1:11" x14ac:dyDescent="0.2">
      <c r="A38">
        <v>15</v>
      </c>
      <c r="B38">
        <v>-0.5</v>
      </c>
      <c r="C38">
        <v>-0.5</v>
      </c>
      <c r="D38">
        <v>-0.5</v>
      </c>
      <c r="E38">
        <v>-0.5</v>
      </c>
      <c r="F38">
        <v>-0.5</v>
      </c>
      <c r="G38">
        <v>-0.5</v>
      </c>
      <c r="H38">
        <v>-0.5</v>
      </c>
      <c r="I38">
        <v>-0.5</v>
      </c>
      <c r="J38">
        <v>-0.5</v>
      </c>
      <c r="K38">
        <v>-0.5</v>
      </c>
    </row>
    <row r="39" spans="1:11" x14ac:dyDescent="0.2">
      <c r="A39">
        <v>16</v>
      </c>
      <c r="B39">
        <v>-0.5</v>
      </c>
      <c r="C39">
        <v>-0.5</v>
      </c>
      <c r="D39">
        <v>-0.5</v>
      </c>
      <c r="E39">
        <v>-0.5</v>
      </c>
      <c r="F39">
        <v>-0.5</v>
      </c>
      <c r="G39">
        <v>-0.5</v>
      </c>
      <c r="H39">
        <v>-0.5</v>
      </c>
      <c r="I39">
        <v>-0.5</v>
      </c>
      <c r="J39">
        <v>-0.5</v>
      </c>
      <c r="K39">
        <v>-0.5</v>
      </c>
    </row>
    <row r="40" spans="1:11" x14ac:dyDescent="0.2">
      <c r="A40">
        <v>17</v>
      </c>
      <c r="B40">
        <v>-0.5</v>
      </c>
      <c r="C40">
        <v>-0.5</v>
      </c>
      <c r="D40">
        <v>-0.5</v>
      </c>
      <c r="E40">
        <v>-0.5</v>
      </c>
      <c r="F40">
        <v>-0.5</v>
      </c>
      <c r="G40">
        <v>-0.5</v>
      </c>
      <c r="H40">
        <v>-0.5</v>
      </c>
      <c r="I40">
        <v>-0.5</v>
      </c>
      <c r="J40">
        <v>-0.5</v>
      </c>
      <c r="K40">
        <v>-0.5</v>
      </c>
    </row>
    <row r="41" spans="1:11" x14ac:dyDescent="0.2">
      <c r="A41">
        <v>18</v>
      </c>
      <c r="B41">
        <v>-0.5</v>
      </c>
      <c r="C41">
        <v>-0.5</v>
      </c>
      <c r="D41">
        <v>-0.5</v>
      </c>
      <c r="E41">
        <v>-0.5</v>
      </c>
      <c r="F41">
        <v>-0.5</v>
      </c>
      <c r="G41">
        <v>-0.5</v>
      </c>
      <c r="H41">
        <v>-0.5</v>
      </c>
      <c r="I41">
        <v>-0.5</v>
      </c>
      <c r="J41">
        <v>-0.5</v>
      </c>
      <c r="K41">
        <v>-0.5</v>
      </c>
    </row>
    <row r="42" spans="1:11" x14ac:dyDescent="0.2">
      <c r="A42">
        <v>19</v>
      </c>
      <c r="B42">
        <v>-0.5</v>
      </c>
      <c r="C42">
        <v>-0.5</v>
      </c>
      <c r="D42">
        <v>-0.5</v>
      </c>
      <c r="E42">
        <v>-0.5</v>
      </c>
      <c r="F42">
        <v>-0.5</v>
      </c>
      <c r="G42">
        <v>-0.5</v>
      </c>
      <c r="H42">
        <v>-0.5</v>
      </c>
      <c r="I42">
        <v>-0.5</v>
      </c>
      <c r="J42">
        <v>-0.5</v>
      </c>
      <c r="K42">
        <v>-0.5</v>
      </c>
    </row>
    <row r="43" spans="1:11" x14ac:dyDescent="0.2">
      <c r="A43">
        <v>20</v>
      </c>
      <c r="B43">
        <v>-0.5</v>
      </c>
      <c r="C43">
        <v>-0.5</v>
      </c>
      <c r="D43">
        <v>-0.5</v>
      </c>
      <c r="E43">
        <v>-0.5</v>
      </c>
      <c r="F43">
        <v>-0.5</v>
      </c>
      <c r="G43">
        <v>-0.5</v>
      </c>
      <c r="H43">
        <v>-0.5</v>
      </c>
      <c r="I43">
        <v>-0.5</v>
      </c>
      <c r="J43">
        <v>-0.5</v>
      </c>
      <c r="K43">
        <v>-0.5</v>
      </c>
    </row>
    <row r="44" spans="1:11" x14ac:dyDescent="0.2">
      <c r="A44">
        <v>21</v>
      </c>
      <c r="B44">
        <v>-0.5</v>
      </c>
      <c r="C44">
        <v>-0.5</v>
      </c>
      <c r="D44">
        <v>-0.5</v>
      </c>
      <c r="E44">
        <v>-0.5</v>
      </c>
      <c r="F44">
        <v>-0.5</v>
      </c>
      <c r="G44">
        <v>-0.5</v>
      </c>
      <c r="H44">
        <v>-0.5</v>
      </c>
      <c r="I44">
        <v>-0.5</v>
      </c>
      <c r="J44">
        <v>-0.5</v>
      </c>
      <c r="K44">
        <v>-0.5</v>
      </c>
    </row>
    <row r="45" spans="1:11" x14ac:dyDescent="0.2">
      <c r="A45">
        <v>22</v>
      </c>
      <c r="B45">
        <v>-0.5</v>
      </c>
      <c r="C45">
        <v>-0.5</v>
      </c>
      <c r="D45">
        <v>-0.5</v>
      </c>
      <c r="E45">
        <v>-0.5</v>
      </c>
      <c r="F45">
        <v>-0.5</v>
      </c>
      <c r="G45">
        <v>-0.5</v>
      </c>
      <c r="H45">
        <v>-0.5</v>
      </c>
      <c r="I45">
        <v>-0.5</v>
      </c>
      <c r="J45">
        <v>-0.5</v>
      </c>
      <c r="K45">
        <v>-0.5</v>
      </c>
    </row>
    <row r="46" spans="1:11" x14ac:dyDescent="0.2">
      <c r="A46">
        <v>23</v>
      </c>
      <c r="B46">
        <v>-0.5</v>
      </c>
      <c r="C46">
        <v>-0.5</v>
      </c>
      <c r="D46">
        <v>-0.5</v>
      </c>
      <c r="E46">
        <v>-0.5</v>
      </c>
      <c r="F46">
        <v>-0.5</v>
      </c>
      <c r="G46">
        <v>-0.5</v>
      </c>
      <c r="H46">
        <v>-0.5</v>
      </c>
      <c r="I46">
        <v>-0.5</v>
      </c>
      <c r="J46">
        <v>-0.5</v>
      </c>
      <c r="K46">
        <v>-0.5</v>
      </c>
    </row>
    <row r="47" spans="1:11" x14ac:dyDescent="0.2">
      <c r="A47">
        <v>24</v>
      </c>
      <c r="B47">
        <v>-0.5</v>
      </c>
      <c r="C47">
        <v>-0.5</v>
      </c>
      <c r="D47">
        <v>-0.5</v>
      </c>
      <c r="E47">
        <v>-0.5</v>
      </c>
      <c r="F47">
        <v>-0.5</v>
      </c>
      <c r="G47">
        <v>-0.5</v>
      </c>
      <c r="H47">
        <v>-0.5</v>
      </c>
      <c r="I47">
        <v>-0.5</v>
      </c>
      <c r="J47">
        <v>-0.5</v>
      </c>
      <c r="K47">
        <v>-0.5</v>
      </c>
    </row>
    <row r="48" spans="1:11" x14ac:dyDescent="0.2">
      <c r="A48">
        <v>25</v>
      </c>
      <c r="B48">
        <v>-0.5</v>
      </c>
      <c r="C48">
        <v>-0.5</v>
      </c>
      <c r="D48">
        <v>-0.5</v>
      </c>
      <c r="E48">
        <v>-0.5</v>
      </c>
      <c r="F48">
        <v>-0.5</v>
      </c>
      <c r="G48">
        <v>-0.5</v>
      </c>
      <c r="H48">
        <v>-0.5</v>
      </c>
      <c r="I48">
        <v>-0.5</v>
      </c>
      <c r="J48">
        <v>-0.5</v>
      </c>
      <c r="K48">
        <v>-0.5</v>
      </c>
    </row>
    <row r="49" spans="1:11" x14ac:dyDescent="0.2">
      <c r="A49">
        <v>26</v>
      </c>
      <c r="B49">
        <v>-0.5</v>
      </c>
      <c r="C49">
        <v>-0.5</v>
      </c>
      <c r="D49">
        <v>-0.5</v>
      </c>
      <c r="E49">
        <v>-0.5</v>
      </c>
      <c r="F49">
        <v>-0.5</v>
      </c>
      <c r="G49">
        <v>-0.5</v>
      </c>
      <c r="H49">
        <v>-0.5</v>
      </c>
      <c r="I49">
        <v>-0.5</v>
      </c>
      <c r="J49">
        <v>-0.5</v>
      </c>
      <c r="K49">
        <v>-0.5</v>
      </c>
    </row>
    <row r="50" spans="1:11" x14ac:dyDescent="0.2">
      <c r="A50">
        <v>27</v>
      </c>
      <c r="B50">
        <v>-0.5</v>
      </c>
      <c r="C50">
        <v>-0.5</v>
      </c>
      <c r="D50">
        <v>-0.5</v>
      </c>
      <c r="E50">
        <v>-0.5</v>
      </c>
      <c r="F50">
        <v>-0.5</v>
      </c>
      <c r="G50">
        <v>-0.5</v>
      </c>
      <c r="H50">
        <v>-0.5</v>
      </c>
      <c r="I50">
        <v>-0.5</v>
      </c>
      <c r="J50">
        <v>-0.5</v>
      </c>
      <c r="K50">
        <v>-0.5</v>
      </c>
    </row>
    <row r="51" spans="1:11" x14ac:dyDescent="0.2">
      <c r="A51">
        <v>28</v>
      </c>
      <c r="B51">
        <v>-0.5</v>
      </c>
      <c r="C51">
        <v>-0.5</v>
      </c>
      <c r="D51">
        <v>-0.5</v>
      </c>
      <c r="E51">
        <v>-0.5</v>
      </c>
      <c r="F51">
        <v>-0.5</v>
      </c>
      <c r="G51">
        <v>-0.5</v>
      </c>
      <c r="H51">
        <v>-0.5</v>
      </c>
      <c r="I51">
        <v>-0.5</v>
      </c>
      <c r="J51">
        <v>-0.5</v>
      </c>
      <c r="K51">
        <v>-0.5</v>
      </c>
    </row>
    <row r="52" spans="1:11" x14ac:dyDescent="0.2">
      <c r="A52">
        <v>29</v>
      </c>
      <c r="B52">
        <v>-0.5</v>
      </c>
      <c r="C52">
        <v>-0.5</v>
      </c>
      <c r="D52">
        <v>-0.5</v>
      </c>
      <c r="E52">
        <v>-0.5</v>
      </c>
      <c r="F52">
        <v>-0.5</v>
      </c>
      <c r="G52">
        <v>-0.5</v>
      </c>
      <c r="H52">
        <v>-0.5</v>
      </c>
      <c r="I52">
        <v>-0.5</v>
      </c>
      <c r="J52">
        <v>-0.5</v>
      </c>
      <c r="K52">
        <v>-0.5</v>
      </c>
    </row>
    <row r="53" spans="1:11" x14ac:dyDescent="0.2">
      <c r="A53">
        <v>30</v>
      </c>
      <c r="B53">
        <v>-0.5</v>
      </c>
      <c r="C53">
        <v>-0.5</v>
      </c>
      <c r="D53">
        <v>-0.5</v>
      </c>
      <c r="E53">
        <v>-0.5</v>
      </c>
      <c r="F53">
        <v>-0.5</v>
      </c>
      <c r="G53">
        <v>-0.5</v>
      </c>
      <c r="H53">
        <v>-0.5</v>
      </c>
      <c r="I53">
        <v>-0.5</v>
      </c>
      <c r="J53">
        <v>-0.5</v>
      </c>
      <c r="K53">
        <v>-0.5</v>
      </c>
    </row>
    <row r="54" spans="1:11" x14ac:dyDescent="0.2">
      <c r="A54">
        <v>31</v>
      </c>
      <c r="B54">
        <v>-0.5</v>
      </c>
      <c r="C54">
        <v>-0.5</v>
      </c>
      <c r="D54">
        <v>-0.5</v>
      </c>
      <c r="E54">
        <v>-0.5</v>
      </c>
      <c r="F54">
        <v>-0.5</v>
      </c>
      <c r="G54">
        <v>-0.5</v>
      </c>
      <c r="H54">
        <v>-0.5</v>
      </c>
      <c r="I54">
        <v>-0.5</v>
      </c>
      <c r="J54">
        <v>-0.5</v>
      </c>
      <c r="K54">
        <v>-0.5</v>
      </c>
    </row>
  </sheetData>
  <sheetProtection sheet="1" objects="1" scenarios="1"/>
  <phoneticPr fontId="16" type="noConversion"/>
  <pageMargins left="0.7" right="0.7" top="0.75" bottom="0.75" header="0.3" footer="0.3"/>
  <pageSetup paperSize="9"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X54"/>
  <sheetViews>
    <sheetView topLeftCell="A16" workbookViewId="0">
      <selection activeCell="K9" sqref="K9"/>
    </sheetView>
  </sheetViews>
  <sheetFormatPr baseColWidth="10" defaultColWidth="8.83203125" defaultRowHeight="16" x14ac:dyDescent="0.2"/>
  <cols>
    <col min="12" max="12" width="4.83203125" customWidth="1"/>
    <col min="13" max="13" width="4.6640625" customWidth="1"/>
    <col min="14" max="24" width="4" style="31" customWidth="1"/>
  </cols>
  <sheetData>
    <row r="1" spans="1:24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N1" s="31" t="s">
        <v>7</v>
      </c>
      <c r="O1" s="31">
        <v>1</v>
      </c>
      <c r="P1" s="31">
        <v>2</v>
      </c>
      <c r="Q1" s="31">
        <v>3</v>
      </c>
      <c r="R1" s="31">
        <v>4</v>
      </c>
      <c r="S1" s="31">
        <v>5</v>
      </c>
      <c r="T1" s="31">
        <v>6</v>
      </c>
      <c r="U1" s="31">
        <v>7</v>
      </c>
      <c r="V1" s="31">
        <v>8</v>
      </c>
      <c r="W1" s="31">
        <v>9</v>
      </c>
      <c r="X1" s="31">
        <v>10</v>
      </c>
    </row>
    <row r="2" spans="1:24" x14ac:dyDescent="0.2">
      <c r="A2">
        <v>2</v>
      </c>
      <c r="B2">
        <f>IF(AND(Rules!$B$8=Rules!$E$8,Rules!$B$7=Rules!$E$7),MAX(Hit!B2,Stand!B2,Double!B2,Surrender!B2),MAX(Hit!B2,Stand!B2,Double!B2))</f>
        <v>-0.20335368314889377</v>
      </c>
      <c r="C2">
        <f>IF(Rules!$B$7=Rules!$E$7,MAX(Hit!C2,Stand!C2,Double!C2,Surrender!C2),MAX(Hit!C2,Stand!C2,Double!C2))</f>
        <v>-7.5884358318949102E-2</v>
      </c>
      <c r="D2">
        <f>IF(Rules!$B$7=Rules!$E$7,MAX(Hit!D2,Stand!D2,Double!D2,Surrender!D2),MAX(Hit!D2,Stand!D2,Double!D2))</f>
        <v>-4.9750706146412048E-2</v>
      </c>
      <c r="E2">
        <f>IF(Rules!$B$7=Rules!$E$7,MAX(Hit!E2,Stand!E2,Double!E2,Surrender!E2),MAX(Hit!E2,Stand!E2,Double!E2))</f>
        <v>-2.2100412135834389E-2</v>
      </c>
      <c r="F2">
        <f>IF(Rules!$B$7=Rules!$E$7,MAX(Hit!F2,Stand!F2,Double!F2,Surrender!F2),MAX(Hit!F2,Stand!F2,Double!F2))</f>
        <v>1.3730032284783571E-2</v>
      </c>
      <c r="G2">
        <f>IF(Rules!$B$7=Rules!$E$7,MAX(Hit!G2,Stand!G2,Double!G2,Surrender!G2),MAX(Hit!G2,Stand!G2,Double!G2))</f>
        <v>3.8883411946301231E-2</v>
      </c>
      <c r="H2">
        <f>IF(Rules!$B$7=Rules!$E$7,MAX(Hit!H2,Stand!H2,Double!H2,Surrender!H2),MAX(Hit!H2,Stand!H2,Double!H2))</f>
        <v>-2.7257021375862247E-2</v>
      </c>
      <c r="I2">
        <f>IF(Rules!$B$7=Rules!$E$7,MAX(Hit!I2,Stand!I2,Double!I2,Surrender!I2),MAX(Hit!I2,Stand!I2,Double!I2))</f>
        <v>-0.10316172777512726</v>
      </c>
      <c r="J2">
        <f>IF(Rules!$B$7=Rules!$E$7,MAX(Hit!J2,Stand!J2,Double!J2,Surrender!J2),MAX(Hit!J2,Stand!J2,Double!J2))</f>
        <v>-0.19004714305350842</v>
      </c>
      <c r="K2">
        <f>IF(Rules!$B$7=Rules!$E$7,MAX(Hit!K2,Stand!K2,Double!K2,Surrender!K2),MAX(Hit!K2,Stand!K2,Double!K2))</f>
        <v>-0.24199803315764098</v>
      </c>
      <c r="N2" s="31">
        <v>2</v>
      </c>
      <c r="O2" s="31" t="str">
        <f>IF(B2=Surrender!B2,"R",HSD!O2)</f>
        <v>H</v>
      </c>
      <c r="P2" s="31" t="str">
        <f>IF(C2=Surrender!C2,"R",HSD!P2)</f>
        <v>H</v>
      </c>
      <c r="Q2" s="31" t="str">
        <f>IF(D2=Surrender!D2,"R",HSD!Q2)</f>
        <v>H</v>
      </c>
      <c r="R2" s="31" t="str">
        <f>IF(E2=Surrender!E2,"R",HSD!R2)</f>
        <v>H</v>
      </c>
      <c r="S2" s="31" t="str">
        <f>IF(F2=Surrender!F2,"R",HSD!S2)</f>
        <v>H</v>
      </c>
      <c r="T2" s="31" t="str">
        <f>IF(G2=Surrender!G2,"R",HSD!T2)</f>
        <v>H</v>
      </c>
      <c r="U2" s="31" t="str">
        <f>IF(H2=Surrender!H2,"R",HSD!U2)</f>
        <v>H</v>
      </c>
      <c r="V2" s="31" t="str">
        <f>IF(I2=Surrender!I2,"R",HSD!V2)</f>
        <v>H</v>
      </c>
      <c r="W2" s="31" t="str">
        <f>IF(J2=Surrender!J2,"R",HSD!W2)</f>
        <v>H</v>
      </c>
      <c r="X2" s="31" t="str">
        <f>IF(K2=Surrender!K2,"R",HSD!X2)</f>
        <v>H</v>
      </c>
    </row>
    <row r="3" spans="1:24" x14ac:dyDescent="0.2">
      <c r="A3">
        <v>3</v>
      </c>
      <c r="B3">
        <f>IF(AND(Rules!$B$8=Rules!$E$8,Rules!$B$7=Rules!$E$7),MAX(Hit!B3,Stand!B3,Double!B3,Surrender!B3),MAX(Hit!B3,Stand!B3,Double!B3))</f>
        <v>-0.22793749290805351</v>
      </c>
      <c r="C3">
        <f>IF(Rules!$B$7=Rules!$E$7,MAX(Hit!C3,Stand!C3,Double!C3,Surrender!C3),MAX(Hit!C3,Stand!C3,Double!C3))</f>
        <v>-0.10052250439785246</v>
      </c>
      <c r="D3">
        <f>IF(Rules!$B$7=Rules!$E$7,MAX(Hit!D3,Stand!D3,Double!D3,Surrender!D3),MAX(Hit!D3,Stand!D3,Double!D3))</f>
        <v>-6.8875858278897514E-2</v>
      </c>
      <c r="E3">
        <f>IF(Rules!$B$7=Rules!$E$7,MAX(Hit!E3,Stand!E3,Double!E3,Surrender!E3),MAX(Hit!E3,Stand!E3,Double!E3))</f>
        <v>-3.6261290708905339E-2</v>
      </c>
      <c r="F3">
        <f>IF(Rules!$B$7=Rules!$E$7,MAX(Hit!F3,Stand!F3,Double!F3,Surrender!F3),MAX(Hit!F3,Stand!F3,Double!F3))</f>
        <v>1.6995712139687808E-4</v>
      </c>
      <c r="G3">
        <f>IF(Rules!$B$7=Rules!$E$7,MAX(Hit!G3,Stand!G3,Double!G3,Surrender!G3),MAX(Hit!G3,Stand!G3,Double!G3))</f>
        <v>2.447130320655936E-2</v>
      </c>
      <c r="H3">
        <f>IF(Rules!$B$7=Rules!$E$7,MAX(Hit!H3,Stand!H3,Double!H3,Surrender!H3),MAX(Hit!H3,Stand!H3,Double!H3))</f>
        <v>-5.7437588540356667E-2</v>
      </c>
      <c r="I3">
        <f>IF(Rules!$B$7=Rules!$E$7,MAX(Hit!I3,Stand!I3,Double!I3,Surrender!I3),MAX(Hit!I3,Stand!I3,Double!I3))</f>
        <v>-0.13094188065020101</v>
      </c>
      <c r="J3">
        <f>IF(Rules!$B$7=Rules!$E$7,MAX(Hit!J3,Stand!J3,Double!J3,Surrender!J3),MAX(Hit!J3,Stand!J3,Double!J3))</f>
        <v>-0.21507662281362433</v>
      </c>
      <c r="K3">
        <f>IF(Rules!$B$7=Rules!$E$7,MAX(Hit!K3,Stand!K3,Double!K3,Surrender!K3),MAX(Hit!K3,Stand!K3,Double!K3))</f>
        <v>-0.26532921479747562</v>
      </c>
      <c r="N3" s="31">
        <v>3</v>
      </c>
      <c r="O3" s="31" t="str">
        <f>IF(B3=Surrender!B3,"R",HSD!O3)</f>
        <v>H</v>
      </c>
      <c r="P3" s="31" t="str">
        <f>IF(C3=Surrender!C3,"R",HSD!P3)</f>
        <v>H</v>
      </c>
      <c r="Q3" s="31" t="str">
        <f>IF(D3=Surrender!D3,"R",HSD!Q3)</f>
        <v>H</v>
      </c>
      <c r="R3" s="31" t="str">
        <f>IF(E3=Surrender!E3,"R",HSD!R3)</f>
        <v>H</v>
      </c>
      <c r="S3" s="31" t="str">
        <f>IF(F3=Surrender!F3,"R",HSD!S3)</f>
        <v>H</v>
      </c>
      <c r="T3" s="31" t="str">
        <f>IF(G3=Surrender!G3,"R",HSD!T3)</f>
        <v>H</v>
      </c>
      <c r="U3" s="31" t="str">
        <f>IF(H3=Surrender!H3,"R",HSD!U3)</f>
        <v>H</v>
      </c>
      <c r="V3" s="31" t="str">
        <f>IF(I3=Surrender!I3,"R",HSD!V3)</f>
        <v>H</v>
      </c>
      <c r="W3" s="31" t="str">
        <f>IF(J3=Surrender!J3,"R",HSD!W3)</f>
        <v>H</v>
      </c>
      <c r="X3" s="31" t="str">
        <f>IF(K3=Surrender!K3,"R",HSD!X3)</f>
        <v>H</v>
      </c>
    </row>
    <row r="4" spans="1:24" x14ac:dyDescent="0.2">
      <c r="A4">
        <v>4</v>
      </c>
      <c r="B4">
        <f>IF(AND(Rules!$B$8=Rules!$E$8,Rules!$B$7=Rules!$E$7),MAX(Hit!B4,Stand!B4,Double!B4,Surrender!B4),MAX(Hit!B4,Stand!B4,Double!B4))</f>
        <v>-0.25307699440390863</v>
      </c>
      <c r="C4">
        <f>IF(Rules!$B$7=Rules!$E$7,MAX(Hit!C4,Stand!C4,Double!C4,Surrender!C4),MAX(Hit!C4,Stand!C4,Double!C4))</f>
        <v>-0.11491332761892134</v>
      </c>
      <c r="D4">
        <f>IF(Rules!$B$7=Rules!$E$7,MAX(Hit!D4,Stand!D4,Double!D4,Surrender!D4),MAX(Hit!D4,Stand!D4,Double!D4))</f>
        <v>-8.2613314299744361E-2</v>
      </c>
      <c r="E4">
        <f>IF(Rules!$B$7=Rules!$E$7,MAX(Hit!E4,Stand!E4,Double!E4,Surrender!E4),MAX(Hit!E4,Stand!E4,Double!E4))</f>
        <v>-4.9367420106916922E-2</v>
      </c>
      <c r="F4">
        <f>IF(Rules!$B$7=Rules!$E$7,MAX(Hit!F4,Stand!F4,Double!F4,Surrender!F4),MAX(Hit!F4,Stand!F4,Double!F4))</f>
        <v>-1.2379926519926384E-2</v>
      </c>
      <c r="G4">
        <f>IF(Rules!$B$7=Rules!$E$7,MAX(Hit!G4,Stand!G4,Double!G4,Surrender!G4),MAX(Hit!G4,Stand!G4,Double!G4))</f>
        <v>1.1130417280979797E-2</v>
      </c>
      <c r="H4">
        <f>IF(Rules!$B$7=Rules!$E$7,MAX(Hit!H4,Stand!H4,Double!H4,Surrender!H4),MAX(Hit!H4,Stand!H4,Double!H4))</f>
        <v>-8.8279201058463722E-2</v>
      </c>
      <c r="I4">
        <f>IF(Rules!$B$7=Rules!$E$7,MAX(Hit!I4,Stand!I4,Double!I4,Surrender!I4),MAX(Hit!I4,Stand!I4,Double!I4))</f>
        <v>-0.15933415266020512</v>
      </c>
      <c r="J4">
        <f>IF(Rules!$B$7=Rules!$E$7,MAX(Hit!J4,Stand!J4,Double!J4,Surrender!J4),MAX(Hit!J4,Stand!J4,Double!J4))</f>
        <v>-0.24066617915336547</v>
      </c>
      <c r="K4">
        <f>IF(Rules!$B$7=Rules!$E$7,MAX(Hit!K4,Stand!K4,Double!K4,Surrender!K4),MAX(Hit!K4,Stand!K4,Double!K4))</f>
        <v>-0.28919791448567511</v>
      </c>
      <c r="N4" s="31">
        <v>4</v>
      </c>
      <c r="O4" s="31" t="str">
        <f>IF(B4=Surrender!B4,"R",HSD!O4)</f>
        <v>H</v>
      </c>
      <c r="P4" s="31" t="str">
        <f>IF(C4=Surrender!C4,"R",HSD!P4)</f>
        <v>H</v>
      </c>
      <c r="Q4" s="31" t="str">
        <f>IF(D4=Surrender!D4,"R",HSD!Q4)</f>
        <v>H</v>
      </c>
      <c r="R4" s="31" t="str">
        <f>IF(E4=Surrender!E4,"R",HSD!R4)</f>
        <v>H</v>
      </c>
      <c r="S4" s="31" t="str">
        <f>IF(F4=Surrender!F4,"R",HSD!S4)</f>
        <v>H</v>
      </c>
      <c r="T4" s="31" t="str">
        <f>IF(G4=Surrender!G4,"R",HSD!T4)</f>
        <v>H</v>
      </c>
      <c r="U4" s="31" t="str">
        <f>IF(H4=Surrender!H4,"R",HSD!U4)</f>
        <v>H</v>
      </c>
      <c r="V4" s="31" t="str">
        <f>IF(I4=Surrender!I4,"R",HSD!V4)</f>
        <v>H</v>
      </c>
      <c r="W4" s="31" t="str">
        <f>IF(J4=Surrender!J4,"R",HSD!W4)</f>
        <v>H</v>
      </c>
      <c r="X4" s="31" t="str">
        <f>IF(K4=Surrender!K4,"R",HSD!X4)</f>
        <v>H</v>
      </c>
    </row>
    <row r="5" spans="1:24" x14ac:dyDescent="0.2">
      <c r="A5">
        <v>5</v>
      </c>
      <c r="B5">
        <f>IF(AND(Rules!$B$8=Rules!$E$8,Rules!$B$7=Rules!$E$7),MAX(Hit!B5,Stand!B5,Double!B5,Surrender!B5),MAX(Hit!B5,Stand!B5,Double!B5))</f>
        <v>-0.27857459755181968</v>
      </c>
      <c r="C5">
        <f>IF(Rules!$B$7=Rules!$E$7,MAX(Hit!C5,Stand!C5,Double!C5,Surrender!C5),MAX(Hit!C5,Stand!C5,Double!C5))</f>
        <v>-0.12821556706374745</v>
      </c>
      <c r="D5">
        <f>IF(Rules!$B$7=Rules!$E$7,MAX(Hit!D5,Stand!D5,Double!D5,Surrender!D5),MAX(Hit!D5,Stand!D5,Double!D5))</f>
        <v>-9.5310227261489883E-2</v>
      </c>
      <c r="E5">
        <f>IF(Rules!$B$7=Rules!$E$7,MAX(Hit!E5,Stand!E5,Double!E5,Surrender!E5),MAX(Hit!E5,Stand!E5,Double!E5))</f>
        <v>-6.1479464199694238E-2</v>
      </c>
      <c r="F5">
        <f>IF(Rules!$B$7=Rules!$E$7,MAX(Hit!F5,Stand!F5,Double!F5,Surrender!F5),MAX(Hit!F5,Stand!F5,Double!F5))</f>
        <v>-2.397897039185962E-2</v>
      </c>
      <c r="G5">
        <f>IF(Rules!$B$7=Rules!$E$7,MAX(Hit!G5,Stand!G5,Double!G5,Surrender!G5),MAX(Hit!G5,Stand!G5,Double!G5))</f>
        <v>-1.1863378384401623E-3</v>
      </c>
      <c r="H5">
        <f>IF(Rules!$B$7=Rules!$E$7,MAX(Hit!H5,Stand!H5,Double!H5,Surrender!H5),MAX(Hit!H5,Stand!H5,Double!H5))</f>
        <v>-0.11944744188414852</v>
      </c>
      <c r="I5">
        <f>IF(Rules!$B$7=Rules!$E$7,MAX(Hit!I5,Stand!I5,Double!I5,Surrender!I5),MAX(Hit!I5,Stand!I5,Double!I5))</f>
        <v>-0.18809330390318524</v>
      </c>
      <c r="J5">
        <f>IF(Rules!$B$7=Rules!$E$7,MAX(Hit!J5,Stand!J5,Double!J5,Surrender!J5),MAX(Hit!J5,Stand!J5,Double!J5))</f>
        <v>-0.26661505335795899</v>
      </c>
      <c r="K5">
        <f>IF(Rules!$B$7=Rules!$E$7,MAX(Hit!K5,Stand!K5,Double!K5,Surrender!K5),MAX(Hit!K5,Stand!K5,Double!K5))</f>
        <v>-0.31341164336497107</v>
      </c>
      <c r="N5" s="31">
        <v>5</v>
      </c>
      <c r="O5" s="31" t="str">
        <f>IF(B5=Surrender!B5,"R",HSD!O5)</f>
        <v>H</v>
      </c>
      <c r="P5" s="31" t="str">
        <f>IF(C5=Surrender!C5,"R",HSD!P5)</f>
        <v>H</v>
      </c>
      <c r="Q5" s="31" t="str">
        <f>IF(D5=Surrender!D5,"R",HSD!Q5)</f>
        <v>H</v>
      </c>
      <c r="R5" s="31" t="str">
        <f>IF(E5=Surrender!E5,"R",HSD!R5)</f>
        <v>H</v>
      </c>
      <c r="S5" s="31" t="str">
        <f>IF(F5=Surrender!F5,"R",HSD!S5)</f>
        <v>H</v>
      </c>
      <c r="T5" s="31" t="str">
        <f>IF(G5=Surrender!G5,"R",HSD!T5)</f>
        <v>H</v>
      </c>
      <c r="U5" s="31" t="str">
        <f>IF(H5=Surrender!H5,"R",HSD!U5)</f>
        <v>H</v>
      </c>
      <c r="V5" s="31" t="str">
        <f>IF(I5=Surrender!I5,"R",HSD!V5)</f>
        <v>H</v>
      </c>
      <c r="W5" s="31" t="str">
        <f>IF(J5=Surrender!J5,"R",HSD!W5)</f>
        <v>H</v>
      </c>
      <c r="X5" s="31" t="str">
        <f>IF(K5=Surrender!K5,"R",HSD!X5)</f>
        <v>H</v>
      </c>
    </row>
    <row r="6" spans="1:24" x14ac:dyDescent="0.2">
      <c r="A6">
        <v>6</v>
      </c>
      <c r="B6">
        <f>IF(AND(Rules!$B$8=Rules!$E$8,Rules!$B$7=Rules!$E$7),MAX(Hit!B6,Stand!B6,Double!B6,Surrender!B6),MAX(Hit!B6,Stand!B6,Double!B6))</f>
        <v>-0.30414663097569933</v>
      </c>
      <c r="C6">
        <f>IF(Rules!$B$7=Rules!$E$7,MAX(Hit!C6,Stand!C6,Double!C6,Surrender!C6),MAX(Hit!C6,Stand!C6,Double!C6))</f>
        <v>-0.14075911746001987</v>
      </c>
      <c r="D6">
        <f>IF(Rules!$B$7=Rules!$E$7,MAX(Hit!D6,Stand!D6,Double!D6,Surrender!D6),MAX(Hit!D6,Stand!D6,Double!D6))</f>
        <v>-0.10729107800860836</v>
      </c>
      <c r="E6">
        <f>IF(Rules!$B$7=Rules!$E$7,MAX(Hit!E6,Stand!E6,Double!E6,Surrender!E6),MAX(Hit!E6,Stand!E6,Double!E6))</f>
        <v>-7.2917141926387305E-2</v>
      </c>
      <c r="F6">
        <f>IF(Rules!$B$7=Rules!$E$7,MAX(Hit!F6,Stand!F6,Double!F6,Surrender!F6),MAX(Hit!F6,Stand!F6,Double!F6))</f>
        <v>-3.4915973330102178E-2</v>
      </c>
      <c r="G6">
        <f>IF(Rules!$B$7=Rules!$E$7,MAX(Hit!G6,Stand!G6,Double!G6,Surrender!G6),MAX(Hit!G6,Stand!G6,Double!G6))</f>
        <v>-1.3005835529874294E-2</v>
      </c>
      <c r="H6">
        <f>IF(Rules!$B$7=Rules!$E$7,MAX(Hit!H6,Stand!H6,Double!H6,Surrender!H6),MAX(Hit!H6,Stand!H6,Double!H6))</f>
        <v>-0.15193270723669944</v>
      </c>
      <c r="I6">
        <f>IF(Rules!$B$7=Rules!$E$7,MAX(Hit!I6,Stand!I6,Double!I6,Surrender!I6),MAX(Hit!I6,Stand!I6,Double!I6))</f>
        <v>-0.21724188132078476</v>
      </c>
      <c r="J6">
        <f>IF(Rules!$B$7=Rules!$E$7,MAX(Hit!J6,Stand!J6,Double!J6,Surrender!J6),MAX(Hit!J6,Stand!J6,Double!J6))</f>
        <v>-0.29264070019772598</v>
      </c>
      <c r="K6">
        <f>IF(Rules!$B$7=Rules!$E$7,MAX(Hit!K6,Stand!K6,Double!K6,Surrender!K6),MAX(Hit!K6,Stand!K6,Double!K6))</f>
        <v>-0.33774944037840804</v>
      </c>
      <c r="N6" s="31">
        <v>6</v>
      </c>
      <c r="O6" s="31" t="str">
        <f>IF(B6=Surrender!B6,"R",HSD!O6)</f>
        <v>H</v>
      </c>
      <c r="P6" s="31" t="str">
        <f>IF(C6=Surrender!C6,"R",HSD!P6)</f>
        <v>H</v>
      </c>
      <c r="Q6" s="31" t="str">
        <f>IF(D6=Surrender!D6,"R",HSD!Q6)</f>
        <v>H</v>
      </c>
      <c r="R6" s="31" t="str">
        <f>IF(E6=Surrender!E6,"R",HSD!R6)</f>
        <v>H</v>
      </c>
      <c r="S6" s="31" t="str">
        <f>IF(F6=Surrender!F6,"R",HSD!S6)</f>
        <v>H</v>
      </c>
      <c r="T6" s="31" t="str">
        <f>IF(G6=Surrender!G6,"R",HSD!T6)</f>
        <v>H</v>
      </c>
      <c r="U6" s="31" t="str">
        <f>IF(H6=Surrender!H6,"R",HSD!U6)</f>
        <v>H</v>
      </c>
      <c r="V6" s="31" t="str">
        <f>IF(I6=Surrender!I6,"R",HSD!V6)</f>
        <v>H</v>
      </c>
      <c r="W6" s="31" t="str">
        <f>IF(J6=Surrender!J6,"R",HSD!W6)</f>
        <v>H</v>
      </c>
      <c r="X6" s="31" t="str">
        <f>IF(K6=Surrender!K6,"R",HSD!X6)</f>
        <v>H</v>
      </c>
    </row>
    <row r="7" spans="1:24" x14ac:dyDescent="0.2">
      <c r="A7">
        <v>7</v>
      </c>
      <c r="B7">
        <f>IF(AND(Rules!$B$8=Rules!$E$8,Rules!$B$7=Rules!$E$7),MAX(Hit!B7,Stand!B7,Double!B7,Surrender!B7),MAX(Hit!B7,Stand!B7,Double!B7))</f>
        <v>-0.31007165033163697</v>
      </c>
      <c r="C7">
        <f>IF(Rules!$B$7=Rules!$E$7,MAX(Hit!C7,Stand!C7,Double!C7,Surrender!C7),MAX(Hit!C7,Stand!C7,Double!C7))</f>
        <v>-0.10918342786661633</v>
      </c>
      <c r="D7">
        <f>IF(Rules!$B$7=Rules!$E$7,MAX(Hit!D7,Stand!D7,Double!D7,Surrender!D7),MAX(Hit!D7,Stand!D7,Double!D7))</f>
        <v>-7.658298190446361E-2</v>
      </c>
      <c r="E7">
        <f>IF(Rules!$B$7=Rules!$E$7,MAX(Hit!E7,Stand!E7,Double!E7,Surrender!E7),MAX(Hit!E7,Stand!E7,Double!E7))</f>
        <v>-4.3021794004341876E-2</v>
      </c>
      <c r="F7">
        <f>IF(Rules!$B$7=Rules!$E$7,MAX(Hit!F7,Stand!F7,Double!F7,Surrender!F7),MAX(Hit!F7,Stand!F7,Double!F7))</f>
        <v>-7.2713609029408845E-3</v>
      </c>
      <c r="G7">
        <f>IF(Rules!$B$7=Rules!$E$7,MAX(Hit!G7,Stand!G7,Double!G7,Surrender!G7),MAX(Hit!G7,Stand!G7,Double!G7))</f>
        <v>2.9185342353860864E-2</v>
      </c>
      <c r="H7">
        <f>IF(Rules!$B$7=Rules!$E$7,MAX(Hit!H7,Stand!H7,Double!H7,Surrender!H7),MAX(Hit!H7,Stand!H7,Double!H7))</f>
        <v>-6.8807799580427764E-2</v>
      </c>
      <c r="I7">
        <f>IF(Rules!$B$7=Rules!$E$7,MAX(Hit!I7,Stand!I7,Double!I7,Surrender!I7),MAX(Hit!I7,Stand!I7,Double!I7))</f>
        <v>-0.21060476872434969</v>
      </c>
      <c r="J7">
        <f>IF(Rules!$B$7=Rules!$E$7,MAX(Hit!J7,Stand!J7,Double!J7,Surrender!J7),MAX(Hit!J7,Stand!J7,Double!J7))</f>
        <v>-0.28536544048687656</v>
      </c>
      <c r="K7">
        <f>IF(Rules!$B$7=Rules!$E$7,MAX(Hit!K7,Stand!K7,Double!K7,Surrender!K7),MAX(Hit!K7,Stand!K7,Double!K7))</f>
        <v>-0.31905479139833842</v>
      </c>
      <c r="N7" s="31">
        <v>7</v>
      </c>
      <c r="O7" s="31" t="str">
        <f>IF(B7=Surrender!B7,"R",HSD!O7)</f>
        <v>H</v>
      </c>
      <c r="P7" s="31" t="str">
        <f>IF(C7=Surrender!C7,"R",HSD!P7)</f>
        <v>H</v>
      </c>
      <c r="Q7" s="31" t="str">
        <f>IF(D7=Surrender!D7,"R",HSD!Q7)</f>
        <v>H</v>
      </c>
      <c r="R7" s="31" t="str">
        <f>IF(E7=Surrender!E7,"R",HSD!R7)</f>
        <v>H</v>
      </c>
      <c r="S7" s="31" t="str">
        <f>IF(F7=Surrender!F7,"R",HSD!S7)</f>
        <v>H</v>
      </c>
      <c r="T7" s="31" t="str">
        <f>IF(G7=Surrender!G7,"R",HSD!T7)</f>
        <v>H</v>
      </c>
      <c r="U7" s="31" t="str">
        <f>IF(H7=Surrender!H7,"R",HSD!U7)</f>
        <v>H</v>
      </c>
      <c r="V7" s="31" t="str">
        <f>IF(I7=Surrender!I7,"R",HSD!V7)</f>
        <v>H</v>
      </c>
      <c r="W7" s="31" t="str">
        <f>IF(J7=Surrender!J7,"R",HSD!W7)</f>
        <v>H</v>
      </c>
      <c r="X7" s="31" t="str">
        <f>IF(K7=Surrender!K7,"R",HSD!X7)</f>
        <v>H</v>
      </c>
    </row>
    <row r="8" spans="1:24" x14ac:dyDescent="0.2">
      <c r="A8">
        <v>8</v>
      </c>
      <c r="B8">
        <f>IF(AND(Rules!$B$8=Rules!$E$8,Rules!$B$7=Rules!$E$7),MAX(Hit!B8,Stand!B8,Double!B8,Surrender!B8),MAX(Hit!B8,Stand!B8,Double!B8))</f>
        <v>-0.1970288105741636</v>
      </c>
      <c r="C8">
        <f>IF(Rules!$B$7=Rules!$E$7,MAX(Hit!C8,Stand!C8,Double!C8,Surrender!C8),MAX(Hit!C8,Stand!C8,Double!C8))</f>
        <v>-2.1798188008805668E-2</v>
      </c>
      <c r="D8">
        <f>IF(Rules!$B$7=Rules!$E$7,MAX(Hit!D8,Stand!D8,Double!D8,Surrender!D8),MAX(Hit!D8,Stand!D8,Double!D8))</f>
        <v>8.0052625306546825E-3</v>
      </c>
      <c r="E8">
        <f>IF(Rules!$B$7=Rules!$E$7,MAX(Hit!E8,Stand!E8,Double!E8,Surrender!E8),MAX(Hit!E8,Stand!E8,Double!E8))</f>
        <v>3.8784473277208811E-2</v>
      </c>
      <c r="F8">
        <f>IF(Rules!$B$7=Rules!$E$7,MAX(Hit!F8,Stand!F8,Double!F8,Surrender!F8),MAX(Hit!F8,Stand!F8,Double!F8))</f>
        <v>7.0804635983033826E-2</v>
      </c>
      <c r="G8">
        <f>IF(Rules!$B$7=Rules!$E$7,MAX(Hit!G8,Stand!G8,Double!G8,Surrender!G8),MAX(Hit!G8,Stand!G8,Double!G8))</f>
        <v>0.11496015009622321</v>
      </c>
      <c r="H8">
        <f>IF(Rules!$B$7=Rules!$E$7,MAX(Hit!H8,Stand!H8,Double!H8,Surrender!H8),MAX(Hit!H8,Stand!H8,Double!H8))</f>
        <v>8.2207439363742862E-2</v>
      </c>
      <c r="I8">
        <f>IF(Rules!$B$7=Rules!$E$7,MAX(Hit!I8,Stand!I8,Double!I8,Surrender!I8),MAX(Hit!I8,Stand!I8,Double!I8))</f>
        <v>-5.9898275658656304E-2</v>
      </c>
      <c r="J8">
        <f>IF(Rules!$B$7=Rules!$E$7,MAX(Hit!J8,Stand!J8,Double!J8,Surrender!J8),MAX(Hit!J8,Stand!J8,Double!J8))</f>
        <v>-0.21018633199821757</v>
      </c>
      <c r="K8">
        <f>IF(Rules!$B$7=Rules!$E$7,MAX(Hit!K8,Stand!K8,Double!K8,Surrender!K8),MAX(Hit!K8,Stand!K8,Double!K8))</f>
        <v>-0.24937508055334259</v>
      </c>
      <c r="N8" s="31">
        <v>8</v>
      </c>
      <c r="O8" s="31" t="str">
        <f>IF(B8=Surrender!B8,"R",HSD!O8)</f>
        <v>H</v>
      </c>
      <c r="P8" s="31" t="str">
        <f>IF(C8=Surrender!C8,"R",HSD!P8)</f>
        <v>H</v>
      </c>
      <c r="Q8" s="31" t="str">
        <f>IF(D8=Surrender!D8,"R",HSD!Q8)</f>
        <v>H</v>
      </c>
      <c r="R8" s="31" t="str">
        <f>IF(E8=Surrender!E8,"R",HSD!R8)</f>
        <v>H</v>
      </c>
      <c r="S8" s="31" t="str">
        <f>IF(F8=Surrender!F8,"R",HSD!S8)</f>
        <v>H</v>
      </c>
      <c r="T8" s="31" t="str">
        <f>IF(G8=Surrender!G8,"R",HSD!T8)</f>
        <v>H</v>
      </c>
      <c r="U8" s="31" t="str">
        <f>IF(H8=Surrender!H8,"R",HSD!U8)</f>
        <v>H</v>
      </c>
      <c r="V8" s="31" t="str">
        <f>IF(I8=Surrender!I8,"R",HSD!V8)</f>
        <v>H</v>
      </c>
      <c r="W8" s="31" t="str">
        <f>IF(J8=Surrender!J8,"R",HSD!W8)</f>
        <v>H</v>
      </c>
      <c r="X8" s="31" t="str">
        <f>IF(K8=Surrender!K8,"R",HSD!X8)</f>
        <v>H</v>
      </c>
    </row>
    <row r="9" spans="1:24" x14ac:dyDescent="0.2">
      <c r="A9">
        <v>9</v>
      </c>
      <c r="B9">
        <f>IF(AND(Rules!$B$8=Rules!$E$8,Rules!$B$7=Rules!$E$7),MAX(Hit!B9,Stand!B9,Double!B9,Surrender!B9),MAX(Hit!B9,Stand!B9,Double!B9))</f>
        <v>-6.5680778778066204E-2</v>
      </c>
      <c r="C9">
        <f>IF(Rules!$B$7=Rules!$E$7,MAX(Hit!C9,Stand!C9,Double!C9,Surrender!C9),MAX(Hit!C9,Stand!C9,Double!C9))</f>
        <v>7.4446037576340524E-2</v>
      </c>
      <c r="D9">
        <f>IF(Rules!$B$7=Rules!$E$7,MAX(Hit!D9,Stand!D9,Double!D9,Surrender!D9),MAX(Hit!D9,Stand!D9,Double!D9))</f>
        <v>0.12081635332999649</v>
      </c>
      <c r="E9">
        <f>IF(Rules!$B$7=Rules!$E$7,MAX(Hit!E9,Stand!E9,Double!E9,Surrender!E9),MAX(Hit!E9,Stand!E9,Double!E9))</f>
        <v>0.18194893405242166</v>
      </c>
      <c r="F9">
        <f>IF(Rules!$B$7=Rules!$E$7,MAX(Hit!F9,Stand!F9,Double!F9,Surrender!F9),MAX(Hit!F9,Stand!F9,Double!F9))</f>
        <v>0.24305722487303633</v>
      </c>
      <c r="G9">
        <f>IF(Rules!$B$7=Rules!$E$7,MAX(Hit!G9,Stand!G9,Double!G9,Surrender!G9),MAX(Hit!G9,Stand!G9,Double!G9))</f>
        <v>0.31705474570166692</v>
      </c>
      <c r="H9">
        <f>IF(Rules!$B$7=Rules!$E$7,MAX(Hit!H9,Stand!H9,Double!H9,Surrender!H9),MAX(Hit!H9,Stand!H9,Double!H9))</f>
        <v>0.17186785993695267</v>
      </c>
      <c r="I9">
        <f>IF(Rules!$B$7=Rules!$E$7,MAX(Hit!I9,Stand!I9,Double!I9,Surrender!I9),MAX(Hit!I9,Stand!I9,Double!I9))</f>
        <v>9.8376217435392516E-2</v>
      </c>
      <c r="J9">
        <f>IF(Rules!$B$7=Rules!$E$7,MAX(Hit!J9,Stand!J9,Double!J9,Surrender!J9),MAX(Hit!J9,Stand!J9,Double!J9))</f>
        <v>-5.2178053462651669E-2</v>
      </c>
      <c r="K9">
        <f>IF(Rules!$B$7=Rules!$E$7,MAX(Hit!K9,Stand!K9,Double!K9,Surrender!K9),MAX(Hit!K9,Stand!K9,Double!K9))</f>
        <v>-0.15295298487455075</v>
      </c>
      <c r="N9" s="31">
        <v>9</v>
      </c>
      <c r="O9" s="31" t="str">
        <f>IF(B9=Surrender!B9,"R",HSD!O9)</f>
        <v>H</v>
      </c>
      <c r="P9" s="31" t="str">
        <f>IF(C9=Surrender!C9,"R",HSD!P9)</f>
        <v>H</v>
      </c>
      <c r="Q9" s="31" t="str">
        <f>IF(D9=Surrender!D9,"R",HSD!Q9)</f>
        <v>D</v>
      </c>
      <c r="R9" s="31" t="str">
        <f>IF(E9=Surrender!E9,"R",HSD!R9)</f>
        <v>D</v>
      </c>
      <c r="S9" s="31" t="str">
        <f>IF(F9=Surrender!F9,"R",HSD!S9)</f>
        <v>D</v>
      </c>
      <c r="T9" s="31" t="str">
        <f>IF(G9=Surrender!G9,"R",HSD!T9)</f>
        <v>D</v>
      </c>
      <c r="U9" s="31" t="str">
        <f>IF(H9=Surrender!H9,"R",HSD!U9)</f>
        <v>H</v>
      </c>
      <c r="V9" s="31" t="str">
        <f>IF(I9=Surrender!I9,"R",HSD!V9)</f>
        <v>H</v>
      </c>
      <c r="W9" s="31" t="str">
        <f>IF(J9=Surrender!J9,"R",HSD!W9)</f>
        <v>H</v>
      </c>
      <c r="X9" s="31" t="str">
        <f>IF(K9=Surrender!K9,"R",HSD!X9)</f>
        <v>H</v>
      </c>
    </row>
    <row r="10" spans="1:24" x14ac:dyDescent="0.2">
      <c r="A10">
        <v>10</v>
      </c>
      <c r="B10">
        <f>IF(AND(Rules!$B$8=Rules!$E$8,Rules!$B$7=Rules!$E$7),MAX(Hit!B10,Stand!B10,Double!B10,Surrender!B10),MAX(Hit!B10,Stand!B10,Double!B10))</f>
        <v>8.1449707945275923E-2</v>
      </c>
      <c r="C10">
        <f>IF(Rules!$B$7=Rules!$E$7,MAX(Hit!C10,Stand!C10,Double!C10,Surrender!C10),MAX(Hit!C10,Stand!C10,Double!C10))</f>
        <v>0.3589394124422991</v>
      </c>
      <c r="D10">
        <f>IF(Rules!$B$7=Rules!$E$7,MAX(Hit!D10,Stand!D10,Double!D10,Surrender!D10),MAX(Hit!D10,Stand!D10,Double!D10))</f>
        <v>0.40932067017593915</v>
      </c>
      <c r="E10">
        <f>IF(Rules!$B$7=Rules!$E$7,MAX(Hit!E10,Stand!E10,Double!E10,Surrender!E10),MAX(Hit!E10,Stand!E10,Double!E10))</f>
        <v>0.460940243794354</v>
      </c>
      <c r="F10">
        <f>IF(Rules!$B$7=Rules!$E$7,MAX(Hit!F10,Stand!F10,Double!F10,Surrender!F10),MAX(Hit!F10,Stand!F10,Double!F10))</f>
        <v>0.51251710900326775</v>
      </c>
      <c r="G10">
        <f>IF(Rules!$B$7=Rules!$E$7,MAX(Hit!G10,Stand!G10,Double!G10,Surrender!G10),MAX(Hit!G10,Stand!G10,Double!G10))</f>
        <v>0.57559016859776857</v>
      </c>
      <c r="H10">
        <f>IF(Rules!$B$7=Rules!$E$7,MAX(Hit!H10,Stand!H10,Double!H10,Surrender!H10),MAX(Hit!H10,Stand!H10,Double!H10))</f>
        <v>0.39241245528243773</v>
      </c>
      <c r="I10">
        <f>IF(Rules!$B$7=Rules!$E$7,MAX(Hit!I10,Stand!I10,Double!I10,Surrender!I10),MAX(Hit!I10,Stand!I10,Double!I10))</f>
        <v>0.28663571688628381</v>
      </c>
      <c r="J10">
        <f>IF(Rules!$B$7=Rules!$E$7,MAX(Hit!J10,Stand!J10,Double!J10,Surrender!J10),MAX(Hit!J10,Stand!J10,Double!J10))</f>
        <v>0.1443283683807712</v>
      </c>
      <c r="K10">
        <f>IF(Rules!$B$7=Rules!$E$7,MAX(Hit!K10,Stand!K10,Double!K10,Surrender!K10),MAX(Hit!K10,Stand!K10,Double!K10))</f>
        <v>2.5308523040868145E-2</v>
      </c>
      <c r="N10" s="31">
        <v>10</v>
      </c>
      <c r="O10" s="31" t="str">
        <f>IF(B10=Surrender!B10,"R",HSD!O10)</f>
        <v>H</v>
      </c>
      <c r="P10" s="31" t="str">
        <f>IF(C10=Surrender!C10,"R",HSD!P10)</f>
        <v>D</v>
      </c>
      <c r="Q10" s="31" t="str">
        <f>IF(D10=Surrender!D10,"R",HSD!Q10)</f>
        <v>D</v>
      </c>
      <c r="R10" s="31" t="str">
        <f>IF(E10=Surrender!E10,"R",HSD!R10)</f>
        <v>D</v>
      </c>
      <c r="S10" s="31" t="str">
        <f>IF(F10=Surrender!F10,"R",HSD!S10)</f>
        <v>D</v>
      </c>
      <c r="T10" s="31" t="str">
        <f>IF(G10=Surrender!G10,"R",HSD!T10)</f>
        <v>D</v>
      </c>
      <c r="U10" s="31" t="str">
        <f>IF(H10=Surrender!H10,"R",HSD!U10)</f>
        <v>D</v>
      </c>
      <c r="V10" s="31" t="str">
        <f>IF(I10=Surrender!I10,"R",HSD!V10)</f>
        <v>D</v>
      </c>
      <c r="W10" s="31" t="str">
        <f>IF(J10=Surrender!J10,"R",HSD!W10)</f>
        <v>D</v>
      </c>
      <c r="X10" s="31" t="str">
        <f>IF(K10=Surrender!K10,"R",HSD!X10)</f>
        <v>H</v>
      </c>
    </row>
    <row r="11" spans="1:24" x14ac:dyDescent="0.2">
      <c r="A11">
        <v>11</v>
      </c>
      <c r="B11">
        <f>IF(AND(Rules!$B$8=Rules!$E$8,Rules!$B$7=Rules!$E$7),MAX(Hit!B11,Stand!B11,Double!B11,Surrender!B11),MAX(Hit!B11,Stand!B11,Double!B11))</f>
        <v>0.14300128216153027</v>
      </c>
      <c r="C11">
        <f>IF(Rules!$B$7=Rules!$E$7,MAX(Hit!C11,Stand!C11,Double!C11,Surrender!C11),MAX(Hit!C11,Stand!C11,Double!C11))</f>
        <v>0.47064092333946889</v>
      </c>
      <c r="D11">
        <f>IF(Rules!$B$7=Rules!$E$7,MAX(Hit!D11,Stand!D11,Double!D11,Surrender!D11),MAX(Hit!D11,Stand!D11,Double!D11))</f>
        <v>0.51779525312221675</v>
      </c>
      <c r="E11">
        <f>IF(Rules!$B$7=Rules!$E$7,MAX(Hit!E11,Stand!E11,Double!E11,Surrender!E11),MAX(Hit!E11,Stand!E11,Double!E11))</f>
        <v>0.56604055041797607</v>
      </c>
      <c r="F11">
        <f>IF(Rules!$B$7=Rules!$E$7,MAX(Hit!F11,Stand!F11,Double!F11,Surrender!F11),MAX(Hit!F11,Stand!F11,Double!F11))</f>
        <v>0.61469901790902803</v>
      </c>
      <c r="G11">
        <f>IF(Rules!$B$7=Rules!$E$7,MAX(Hit!G11,Stand!G11,Double!G11,Surrender!G11),MAX(Hit!G11,Stand!G11,Double!G11))</f>
        <v>0.66738009490756944</v>
      </c>
      <c r="H11">
        <f>IF(Rules!$B$7=Rules!$E$7,MAX(Hit!H11,Stand!H11,Double!H11,Surrender!H11),MAX(Hit!H11,Stand!H11,Double!H11))</f>
        <v>0.46288894886429077</v>
      </c>
      <c r="I11">
        <f>IF(Rules!$B$7=Rules!$E$7,MAX(Hit!I11,Stand!I11,Double!I11,Surrender!I11),MAX(Hit!I11,Stand!I11,Double!I11))</f>
        <v>0.35069259087031501</v>
      </c>
      <c r="J11">
        <f>IF(Rules!$B$7=Rules!$E$7,MAX(Hit!J11,Stand!J11,Double!J11,Surrender!J11),MAX(Hit!J11,Stand!J11,Double!J11))</f>
        <v>0.22778342315245487</v>
      </c>
      <c r="K11">
        <f>IF(Rules!$B$7=Rules!$E$7,MAX(Hit!K11,Stand!K11,Double!K11,Surrender!K11),MAX(Hit!K11,Stand!K11,Double!K11))</f>
        <v>0.1796887274111463</v>
      </c>
      <c r="N11" s="31">
        <v>11</v>
      </c>
      <c r="O11" s="31" t="str">
        <f>IF(B11=Surrender!B11,"R",HSD!O11)</f>
        <v>H</v>
      </c>
      <c r="P11" s="31" t="str">
        <f>IF(C11=Surrender!C11,"R",HSD!P11)</f>
        <v>D</v>
      </c>
      <c r="Q11" s="31" t="str">
        <f>IF(D11=Surrender!D11,"R",HSD!Q11)</f>
        <v>D</v>
      </c>
      <c r="R11" s="31" t="str">
        <f>IF(E11=Surrender!E11,"R",HSD!R11)</f>
        <v>D</v>
      </c>
      <c r="S11" s="31" t="str">
        <f>IF(F11=Surrender!F11,"R",HSD!S11)</f>
        <v>D</v>
      </c>
      <c r="T11" s="31" t="str">
        <f>IF(G11=Surrender!G11,"R",HSD!T11)</f>
        <v>D</v>
      </c>
      <c r="U11" s="31" t="str">
        <f>IF(H11=Surrender!H11,"R",HSD!U11)</f>
        <v>D</v>
      </c>
      <c r="V11" s="31" t="str">
        <f>IF(I11=Surrender!I11,"R",HSD!V11)</f>
        <v>D</v>
      </c>
      <c r="W11" s="31" t="str">
        <f>IF(J11=Surrender!J11,"R",HSD!W11)</f>
        <v>D</v>
      </c>
      <c r="X11" s="31" t="str">
        <f>IF(K11=Surrender!K11,"R",HSD!X11)</f>
        <v>D</v>
      </c>
    </row>
    <row r="12" spans="1:24" x14ac:dyDescent="0.2">
      <c r="A12">
        <v>12</v>
      </c>
      <c r="B12">
        <f>IF(AND(Rules!$B$8=Rules!$E$8,Rules!$B$7=Rules!$E$7),MAX(Hit!B12,Stand!B12,Double!B12,Surrender!B12),MAX(Hit!B12,Stand!B12,Double!B12))</f>
        <v>-0.35054034044008009</v>
      </c>
      <c r="C12">
        <f>IF(Rules!$B$7=Rules!$E$7,MAX(Hit!C12,Stand!C12,Double!C12,Surrender!C12),MAX(Hit!C12,Stand!C12,Double!C12))</f>
        <v>-0.25338998596663809</v>
      </c>
      <c r="D12">
        <f>IF(Rules!$B$7=Rules!$E$7,MAX(Hit!D12,Stand!D12,Double!D12,Surrender!D12),MAX(Hit!D12,Stand!D12,Double!D12))</f>
        <v>-0.2336908997980866</v>
      </c>
      <c r="E12">
        <f>IF(Rules!$B$7=Rules!$E$7,MAX(Hit!E12,Stand!E12,Double!E12,Surrender!E12),MAX(Hit!E12,Stand!E12,Double!E12))</f>
        <v>-0.21106310899491437</v>
      </c>
      <c r="F12">
        <f>IF(Rules!$B$7=Rules!$E$7,MAX(Hit!F12,Stand!F12,Double!F12,Surrender!F12),MAX(Hit!F12,Stand!F12,Double!F12))</f>
        <v>-0.16719266083547524</v>
      </c>
      <c r="G12">
        <f>IF(Rules!$B$7=Rules!$E$7,MAX(Hit!G12,Stand!G12,Double!G12,Surrender!G12),MAX(Hit!G12,Stand!G12,Double!G12))</f>
        <v>-0.1536990158300045</v>
      </c>
      <c r="H12">
        <f>IF(Rules!$B$7=Rules!$E$7,MAX(Hit!H12,Stand!H12,Double!H12,Surrender!H12),MAX(Hit!H12,Stand!H12,Double!H12))</f>
        <v>-0.21284771451731424</v>
      </c>
      <c r="I12">
        <f>IF(Rules!$B$7=Rules!$E$7,MAX(Hit!I12,Stand!I12,Double!I12,Surrender!I12),MAX(Hit!I12,Stand!I12,Double!I12))</f>
        <v>-0.27157480502428616</v>
      </c>
      <c r="J12">
        <f>IF(Rules!$B$7=Rules!$E$7,MAX(Hit!J12,Stand!J12,Double!J12,Surrender!J12),MAX(Hit!J12,Stand!J12,Double!J12))</f>
        <v>-0.3400132806089356</v>
      </c>
      <c r="K12">
        <f>IF(Rules!$B$7=Rules!$E$7,MAX(Hit!K12,Stand!K12,Double!K12,Surrender!K12),MAX(Hit!K12,Stand!K12,Double!K12))</f>
        <v>-0.38104299284808768</v>
      </c>
      <c r="N12" s="31">
        <v>12</v>
      </c>
      <c r="O12" s="31" t="str">
        <f>IF(B12=Surrender!B12,"R",HSD!O12)</f>
        <v>H</v>
      </c>
      <c r="P12" s="31" t="str">
        <f>IF(C12=Surrender!C12,"R",HSD!P12)</f>
        <v>H</v>
      </c>
      <c r="Q12" s="31" t="str">
        <f>IF(D12=Surrender!D12,"R",HSD!Q12)</f>
        <v>H</v>
      </c>
      <c r="R12" s="31" t="str">
        <f>IF(E12=Surrender!E12,"R",HSD!R12)</f>
        <v>S</v>
      </c>
      <c r="S12" s="31" t="str">
        <f>IF(F12=Surrender!F12,"R",HSD!S12)</f>
        <v>S</v>
      </c>
      <c r="T12" s="31" t="str">
        <f>IF(G12=Surrender!G12,"R",HSD!T12)</f>
        <v>S</v>
      </c>
      <c r="U12" s="31" t="str">
        <f>IF(H12=Surrender!H12,"R",HSD!U12)</f>
        <v>H</v>
      </c>
      <c r="V12" s="31" t="str">
        <f>IF(I12=Surrender!I12,"R",HSD!V12)</f>
        <v>H</v>
      </c>
      <c r="W12" s="31" t="str">
        <f>IF(J12=Surrender!J12,"R",HSD!W12)</f>
        <v>H</v>
      </c>
      <c r="X12" s="31" t="str">
        <f>IF(K12=Surrender!K12,"R",HSD!X12)</f>
        <v>H</v>
      </c>
    </row>
    <row r="13" spans="1:24" x14ac:dyDescent="0.2">
      <c r="A13">
        <v>13</v>
      </c>
      <c r="B13">
        <f>IF(AND(Rules!$B$8=Rules!$E$8,Rules!$B$7=Rules!$E$7),MAX(Hit!B13,Stand!B13,Double!B13,Surrender!B13),MAX(Hit!B13,Stand!B13,Double!B13))</f>
        <v>-0.3969303161229315</v>
      </c>
      <c r="C13">
        <f>IF(Rules!$B$7=Rules!$E$7,MAX(Hit!C13,Stand!C13,Double!C13,Surrender!C13),MAX(Hit!C13,Stand!C13,Double!C13))</f>
        <v>-0.29278372720927726</v>
      </c>
      <c r="D13">
        <f>IF(Rules!$B$7=Rules!$E$7,MAX(Hit!D13,Stand!D13,Double!D13,Surrender!D13),MAX(Hit!D13,Stand!D13,Double!D13))</f>
        <v>-0.2522502292357135</v>
      </c>
      <c r="E13">
        <f>IF(Rules!$B$7=Rules!$E$7,MAX(Hit!E13,Stand!E13,Double!E13,Surrender!E13),MAX(Hit!E13,Stand!E13,Double!E13))</f>
        <v>-0.21106310899491437</v>
      </c>
      <c r="F13">
        <f>IF(Rules!$B$7=Rules!$E$7,MAX(Hit!F13,Stand!F13,Double!F13,Surrender!F13),MAX(Hit!F13,Stand!F13,Double!F13))</f>
        <v>-0.16719266083547524</v>
      </c>
      <c r="G13">
        <f>IF(Rules!$B$7=Rules!$E$7,MAX(Hit!G13,Stand!G13,Double!G13,Surrender!G13),MAX(Hit!G13,Stand!G13,Double!G13))</f>
        <v>-0.1536990158300045</v>
      </c>
      <c r="H13">
        <f>IF(Rules!$B$7=Rules!$E$7,MAX(Hit!H13,Stand!H13,Double!H13,Surrender!H13),MAX(Hit!H13,Stand!H13,Double!H13))</f>
        <v>-0.26907287776607752</v>
      </c>
      <c r="I13">
        <f>IF(Rules!$B$7=Rules!$E$7,MAX(Hit!I13,Stand!I13,Double!I13,Surrender!I13),MAX(Hit!I13,Stand!I13,Double!I13))</f>
        <v>-0.32360517609397998</v>
      </c>
      <c r="J13">
        <f>IF(Rules!$B$7=Rules!$E$7,MAX(Hit!J13,Stand!J13,Double!J13,Surrender!J13),MAX(Hit!J13,Stand!J13,Double!J13))</f>
        <v>-0.38715518913686875</v>
      </c>
      <c r="K13">
        <f>IF(Rules!$B$7=Rules!$E$7,MAX(Hit!K13,Stand!K13,Double!K13,Surrender!K13),MAX(Hit!K13,Stand!K13,Double!K13))</f>
        <v>-0.42525420764465277</v>
      </c>
      <c r="N13" s="31">
        <v>13</v>
      </c>
      <c r="O13" s="31" t="str">
        <f>IF(B13=Surrender!B13,"R",HSD!O13)</f>
        <v>H</v>
      </c>
      <c r="P13" s="31" t="str">
        <f>IF(C13=Surrender!C13,"R",HSD!P13)</f>
        <v>S</v>
      </c>
      <c r="Q13" s="31" t="str">
        <f>IF(D13=Surrender!D13,"R",HSD!Q13)</f>
        <v>S</v>
      </c>
      <c r="R13" s="31" t="str">
        <f>IF(E13=Surrender!E13,"R",HSD!R13)</f>
        <v>S</v>
      </c>
      <c r="S13" s="31" t="str">
        <f>IF(F13=Surrender!F13,"R",HSD!S13)</f>
        <v>S</v>
      </c>
      <c r="T13" s="31" t="str">
        <f>IF(G13=Surrender!G13,"R",HSD!T13)</f>
        <v>S</v>
      </c>
      <c r="U13" s="31" t="str">
        <f>IF(H13=Surrender!H13,"R",HSD!U13)</f>
        <v>H</v>
      </c>
      <c r="V13" s="31" t="str">
        <f>IF(I13=Surrender!I13,"R",HSD!V13)</f>
        <v>H</v>
      </c>
      <c r="W13" s="31" t="str">
        <f>IF(J13=Surrender!J13,"R",HSD!W13)</f>
        <v>H</v>
      </c>
      <c r="X13" s="31" t="str">
        <f>IF(K13=Surrender!K13,"R",HSD!X13)</f>
        <v>H</v>
      </c>
    </row>
    <row r="14" spans="1:24" x14ac:dyDescent="0.2">
      <c r="A14">
        <v>14</v>
      </c>
      <c r="B14">
        <f>IF(AND(Rules!$B$8=Rules!$E$8,Rules!$B$7=Rules!$E$7),MAX(Hit!B14,Stand!B14,Double!B14,Surrender!B14),MAX(Hit!B14,Stand!B14,Double!B14))</f>
        <v>-0.44000672211415065</v>
      </c>
      <c r="C14">
        <f>IF(Rules!$B$7=Rules!$E$7,MAX(Hit!C14,Stand!C14,Double!C14,Surrender!C14),MAX(Hit!C14,Stand!C14,Double!C14))</f>
        <v>-0.29278372720927726</v>
      </c>
      <c r="D14">
        <f>IF(Rules!$B$7=Rules!$E$7,MAX(Hit!D14,Stand!D14,Double!D14,Surrender!D14),MAX(Hit!D14,Stand!D14,Double!D14))</f>
        <v>-0.2522502292357135</v>
      </c>
      <c r="E14">
        <f>IF(Rules!$B$7=Rules!$E$7,MAX(Hit!E14,Stand!E14,Double!E14,Surrender!E14),MAX(Hit!E14,Stand!E14,Double!E14))</f>
        <v>-0.21106310899491437</v>
      </c>
      <c r="F14">
        <f>IF(Rules!$B$7=Rules!$E$7,MAX(Hit!F14,Stand!F14,Double!F14,Surrender!F14),MAX(Hit!F14,Stand!F14,Double!F14))</f>
        <v>-0.16719266083547524</v>
      </c>
      <c r="G14">
        <f>IF(Rules!$B$7=Rules!$E$7,MAX(Hit!G14,Stand!G14,Double!G14,Surrender!G14),MAX(Hit!G14,Stand!G14,Double!G14))</f>
        <v>-0.1536990158300045</v>
      </c>
      <c r="H14">
        <f>IF(Rules!$B$7=Rules!$E$7,MAX(Hit!H14,Stand!H14,Double!H14,Surrender!H14),MAX(Hit!H14,Stand!H14,Double!H14))</f>
        <v>-0.3212819579256434</v>
      </c>
      <c r="I14">
        <f>IF(Rules!$B$7=Rules!$E$7,MAX(Hit!I14,Stand!I14,Double!I14,Surrender!I14),MAX(Hit!I14,Stand!I14,Double!I14))</f>
        <v>-0.37191909208726714</v>
      </c>
      <c r="J14">
        <f>IF(Rules!$B$7=Rules!$E$7,MAX(Hit!J14,Stand!J14,Double!J14,Surrender!J14),MAX(Hit!J14,Stand!J14,Double!J14))</f>
        <v>-0.43092981848423528</v>
      </c>
      <c r="K14">
        <f>IF(Rules!$B$7=Rules!$E$7,MAX(Hit!K14,Stand!K14,Double!K14,Surrender!K14),MAX(Hit!K14,Stand!K14,Double!K14))</f>
        <v>-0.46630747852717758</v>
      </c>
      <c r="N14" s="31">
        <v>14</v>
      </c>
      <c r="O14" s="31" t="str">
        <f>IF(B14=Surrender!B14,"R",HSD!O14)</f>
        <v>H</v>
      </c>
      <c r="P14" s="31" t="str">
        <f>IF(C14=Surrender!C14,"R",HSD!P14)</f>
        <v>S</v>
      </c>
      <c r="Q14" s="31" t="str">
        <f>IF(D14=Surrender!D14,"R",HSD!Q14)</f>
        <v>S</v>
      </c>
      <c r="R14" s="31" t="str">
        <f>IF(E14=Surrender!E14,"R",HSD!R14)</f>
        <v>S</v>
      </c>
      <c r="S14" s="31" t="str">
        <f>IF(F14=Surrender!F14,"R",HSD!S14)</f>
        <v>S</v>
      </c>
      <c r="T14" s="31" t="str">
        <f>IF(G14=Surrender!G14,"R",HSD!T14)</f>
        <v>S</v>
      </c>
      <c r="U14" s="31" t="str">
        <f>IF(H14=Surrender!H14,"R",HSD!U14)</f>
        <v>H</v>
      </c>
      <c r="V14" s="31" t="str">
        <f>IF(I14=Surrender!I14,"R",HSD!V14)</f>
        <v>H</v>
      </c>
      <c r="W14" s="31" t="str">
        <f>IF(J14=Surrender!J14,"R",HSD!W14)</f>
        <v>H</v>
      </c>
      <c r="X14" s="31" t="str">
        <f>IF(K14=Surrender!K14,"R",HSD!X14)</f>
        <v>H</v>
      </c>
    </row>
    <row r="15" spans="1:24" x14ac:dyDescent="0.2">
      <c r="A15">
        <v>15</v>
      </c>
      <c r="B15">
        <f>IF(AND(Rules!$B$8=Rules!$E$8,Rules!$B$7=Rules!$E$7),MAX(Hit!B15,Stand!B15,Double!B15,Surrender!B15),MAX(Hit!B15,Stand!B15,Double!B15))</f>
        <v>-0.4800062419631399</v>
      </c>
      <c r="C15">
        <f>IF(Rules!$B$7=Rules!$E$7,MAX(Hit!C15,Stand!C15,Double!C15,Surrender!C15),MAX(Hit!C15,Stand!C15,Double!C15))</f>
        <v>-0.29278372720927726</v>
      </c>
      <c r="D15">
        <f>IF(Rules!$B$7=Rules!$E$7,MAX(Hit!D15,Stand!D15,Double!D15,Surrender!D15),MAX(Hit!D15,Stand!D15,Double!D15))</f>
        <v>-0.2522502292357135</v>
      </c>
      <c r="E15">
        <f>IF(Rules!$B$7=Rules!$E$7,MAX(Hit!E15,Stand!E15,Double!E15,Surrender!E15),MAX(Hit!E15,Stand!E15,Double!E15))</f>
        <v>-0.21106310899491437</v>
      </c>
      <c r="F15">
        <f>IF(Rules!$B$7=Rules!$E$7,MAX(Hit!F15,Stand!F15,Double!F15,Surrender!F15),MAX(Hit!F15,Stand!F15,Double!F15))</f>
        <v>-0.16719266083547524</v>
      </c>
      <c r="G15">
        <f>IF(Rules!$B$7=Rules!$E$7,MAX(Hit!G15,Stand!G15,Double!G15,Surrender!G15),MAX(Hit!G15,Stand!G15,Double!G15))</f>
        <v>-0.1536990158300045</v>
      </c>
      <c r="H15">
        <f>IF(Rules!$B$7=Rules!$E$7,MAX(Hit!H15,Stand!H15,Double!H15,Surrender!H15),MAX(Hit!H15,Stand!H15,Double!H15))</f>
        <v>-0.36976181807381175</v>
      </c>
      <c r="I15">
        <f>IF(Rules!$B$7=Rules!$E$7,MAX(Hit!I15,Stand!I15,Double!I15,Surrender!I15),MAX(Hit!I15,Stand!I15,Double!I15))</f>
        <v>-0.41678201408103371</v>
      </c>
      <c r="J15">
        <f>IF(Rules!$B$7=Rules!$E$7,MAX(Hit!J15,Stand!J15,Double!J15,Surrender!J15),MAX(Hit!J15,Stand!J15,Double!J15))</f>
        <v>-0.47157768859250415</v>
      </c>
      <c r="K15">
        <f>IF(Rules!$B$7=Rules!$E$7,MAX(Hit!K15,Stand!K15,Double!K15,Surrender!K15),MAX(Hit!K15,Stand!K15,Double!K15))</f>
        <v>-0.5</v>
      </c>
      <c r="N15" s="31">
        <v>15</v>
      </c>
      <c r="O15" s="31" t="str">
        <f>IF(B15=Surrender!B15,"R",HSD!O15)</f>
        <v>H</v>
      </c>
      <c r="P15" s="31" t="str">
        <f>IF(C15=Surrender!C15,"R",HSD!P15)</f>
        <v>S</v>
      </c>
      <c r="Q15" s="31" t="str">
        <f>IF(D15=Surrender!D15,"R",HSD!Q15)</f>
        <v>S</v>
      </c>
      <c r="R15" s="31" t="str">
        <f>IF(E15=Surrender!E15,"R",HSD!R15)</f>
        <v>S</v>
      </c>
      <c r="S15" s="31" t="str">
        <f>IF(F15=Surrender!F15,"R",HSD!S15)</f>
        <v>S</v>
      </c>
      <c r="T15" s="31" t="str">
        <f>IF(G15=Surrender!G15,"R",HSD!T15)</f>
        <v>S</v>
      </c>
      <c r="U15" s="31" t="str">
        <f>IF(H15=Surrender!H15,"R",HSD!U15)</f>
        <v>H</v>
      </c>
      <c r="V15" s="31" t="str">
        <f>IF(I15=Surrender!I15,"R",HSD!V15)</f>
        <v>H</v>
      </c>
      <c r="W15" s="31" t="str">
        <f>IF(J15=Surrender!J15,"R",HSD!W15)</f>
        <v>H</v>
      </c>
      <c r="X15" s="31" t="str">
        <f>IF(K15=Surrender!K15,"R",HSD!X15)</f>
        <v>R</v>
      </c>
    </row>
    <row r="16" spans="1:24" x14ac:dyDescent="0.2">
      <c r="A16">
        <v>16</v>
      </c>
      <c r="B16">
        <f>IF(AND(Rules!$B$8=Rules!$E$8,Rules!$B$7=Rules!$E$7),MAX(Hit!B16,Stand!B16,Double!B16,Surrender!B16),MAX(Hit!B16,Stand!B16,Double!B16))</f>
        <v>-0.5</v>
      </c>
      <c r="C16">
        <f>IF(Rules!$B$7=Rules!$E$7,MAX(Hit!C16,Stand!C16,Double!C16,Surrender!C16),MAX(Hit!C16,Stand!C16,Double!C16))</f>
        <v>-0.29278372720927726</v>
      </c>
      <c r="D16">
        <f>IF(Rules!$B$7=Rules!$E$7,MAX(Hit!D16,Stand!D16,Double!D16,Surrender!D16),MAX(Hit!D16,Stand!D16,Double!D16))</f>
        <v>-0.2522502292357135</v>
      </c>
      <c r="E16">
        <f>IF(Rules!$B$7=Rules!$E$7,MAX(Hit!E16,Stand!E16,Double!E16,Surrender!E16),MAX(Hit!E16,Stand!E16,Double!E16))</f>
        <v>-0.21106310899491437</v>
      </c>
      <c r="F16">
        <f>IF(Rules!$B$7=Rules!$E$7,MAX(Hit!F16,Stand!F16,Double!F16,Surrender!F16),MAX(Hit!F16,Stand!F16,Double!F16))</f>
        <v>-0.16719266083547524</v>
      </c>
      <c r="G16">
        <f>IF(Rules!$B$7=Rules!$E$7,MAX(Hit!G16,Stand!G16,Double!G16,Surrender!G16),MAX(Hit!G16,Stand!G16,Double!G16))</f>
        <v>-0.1536990158300045</v>
      </c>
      <c r="H16">
        <f>IF(Rules!$B$7=Rules!$E$7,MAX(Hit!H16,Stand!H16,Double!H16,Surrender!H16),MAX(Hit!H16,Stand!H16,Double!H16))</f>
        <v>-0.41477883106853947</v>
      </c>
      <c r="I16">
        <f>IF(Rules!$B$7=Rules!$E$7,MAX(Hit!I16,Stand!I16,Double!I16,Surrender!I16),MAX(Hit!I16,Stand!I16,Double!I16))</f>
        <v>-0.45844044164667419</v>
      </c>
      <c r="J16">
        <f>IF(Rules!$B$7=Rules!$E$7,MAX(Hit!J16,Stand!J16,Double!J16,Surrender!J16),MAX(Hit!J16,Stand!J16,Double!J16))</f>
        <v>-0.5</v>
      </c>
      <c r="K16">
        <f>IF(Rules!$B$7=Rules!$E$7,MAX(Hit!K16,Stand!K16,Double!K16,Surrender!K16),MAX(Hit!K16,Stand!K16,Double!K16))</f>
        <v>-0.5</v>
      </c>
      <c r="N16" s="31">
        <v>16</v>
      </c>
      <c r="O16" s="31" t="str">
        <f>IF(B16=Surrender!B16,"R",HSD!O16)</f>
        <v>R</v>
      </c>
      <c r="P16" s="31" t="str">
        <f>IF(C16=Surrender!C16,"R",HSD!P16)</f>
        <v>S</v>
      </c>
      <c r="Q16" s="31" t="str">
        <f>IF(D16=Surrender!D16,"R",HSD!Q16)</f>
        <v>S</v>
      </c>
      <c r="R16" s="31" t="str">
        <f>IF(E16=Surrender!E16,"R",HSD!R16)</f>
        <v>S</v>
      </c>
      <c r="S16" s="31" t="str">
        <f>IF(F16=Surrender!F16,"R",HSD!S16)</f>
        <v>S</v>
      </c>
      <c r="T16" s="31" t="str">
        <f>IF(G16=Surrender!G16,"R",HSD!T16)</f>
        <v>S</v>
      </c>
      <c r="U16" s="31" t="str">
        <f>IF(H16=Surrender!H16,"R",HSD!U16)</f>
        <v>H</v>
      </c>
      <c r="V16" s="31" t="str">
        <f>IF(I16=Surrender!I16,"R",HSD!V16)</f>
        <v>H</v>
      </c>
      <c r="W16" s="31" t="str">
        <f>IF(J16=Surrender!J16,"R",HSD!W16)</f>
        <v>R</v>
      </c>
      <c r="X16" s="31" t="str">
        <f>IF(K16=Surrender!K16,"R",HSD!X16)</f>
        <v>R</v>
      </c>
    </row>
    <row r="17" spans="1:24" x14ac:dyDescent="0.2">
      <c r="A17">
        <v>17</v>
      </c>
      <c r="B17">
        <f>IF(AND(Rules!$B$8=Rules!$E$8,Rules!$B$7=Rules!$E$7),MAX(Hit!B17,Stand!B17,Double!B17,Surrender!B17),MAX(Hit!B17,Stand!B17,Double!B17))</f>
        <v>-0.47803347499473703</v>
      </c>
      <c r="C17">
        <f>IF(Rules!$B$7=Rules!$E$7,MAX(Hit!C17,Stand!C17,Double!C17,Surrender!C17),MAX(Hit!C17,Stand!C17,Double!C17))</f>
        <v>-0.15297458768154204</v>
      </c>
      <c r="D17">
        <f>IF(Rules!$B$7=Rules!$E$7,MAX(Hit!D17,Stand!D17,Double!D17,Surrender!D17),MAX(Hit!D17,Stand!D17,Double!D17))</f>
        <v>-0.11721624142457365</v>
      </c>
      <c r="E17">
        <f>IF(Rules!$B$7=Rules!$E$7,MAX(Hit!E17,Stand!E17,Double!E17,Surrender!E17),MAX(Hit!E17,Stand!E17,Double!E17))</f>
        <v>-8.0573373145316152E-2</v>
      </c>
      <c r="F17">
        <f>IF(Rules!$B$7=Rules!$E$7,MAX(Hit!F17,Stand!F17,Double!F17,Surrender!F17),MAX(Hit!F17,Stand!F17,Double!F17))</f>
        <v>-4.4941375564924446E-2</v>
      </c>
      <c r="G17">
        <f>IF(Rules!$B$7=Rules!$E$7,MAX(Hit!G17,Stand!G17,Double!G17,Surrender!G17),MAX(Hit!G17,Stand!G17,Double!G17))</f>
        <v>1.1739160673341853E-2</v>
      </c>
      <c r="H17">
        <f>IF(Rules!$B$7=Rules!$E$7,MAX(Hit!H17,Stand!H17,Double!H17,Surrender!H17),MAX(Hit!H17,Stand!H17,Double!H17))</f>
        <v>-0.10680898948269468</v>
      </c>
      <c r="I17">
        <f>IF(Rules!$B$7=Rules!$E$7,MAX(Hit!I17,Stand!I17,Double!I17,Surrender!I17),MAX(Hit!I17,Stand!I17,Double!I17))</f>
        <v>-0.38195097104844711</v>
      </c>
      <c r="J17">
        <f>IF(Rules!$B$7=Rules!$E$7,MAX(Hit!J17,Stand!J17,Double!J17,Surrender!J17),MAX(Hit!J17,Stand!J17,Double!J17))</f>
        <v>-0.42315423964521737</v>
      </c>
      <c r="K17">
        <f>IF(Rules!$B$7=Rules!$E$7,MAX(Hit!K17,Stand!K17,Double!K17,Surrender!K17),MAX(Hit!K17,Stand!K17,Double!K17))</f>
        <v>-0.41972063392881986</v>
      </c>
      <c r="N17" s="31">
        <v>17</v>
      </c>
      <c r="O17" s="31" t="str">
        <f>IF(B17=Surrender!B17,"R",HSD!O17)</f>
        <v>S</v>
      </c>
      <c r="P17" s="31" t="str">
        <f>IF(C17=Surrender!C17,"R",HSD!P17)</f>
        <v>S</v>
      </c>
      <c r="Q17" s="31" t="str">
        <f>IF(D17=Surrender!D17,"R",HSD!Q17)</f>
        <v>S</v>
      </c>
      <c r="R17" s="31" t="str">
        <f>IF(E17=Surrender!E17,"R",HSD!R17)</f>
        <v>S</v>
      </c>
      <c r="S17" s="31" t="str">
        <f>IF(F17=Surrender!F17,"R",HSD!S17)</f>
        <v>S</v>
      </c>
      <c r="T17" s="31" t="str">
        <f>IF(G17=Surrender!G17,"R",HSD!T17)</f>
        <v>S</v>
      </c>
      <c r="U17" s="31" t="str">
        <f>IF(H17=Surrender!H17,"R",HSD!U17)</f>
        <v>S</v>
      </c>
      <c r="V17" s="31" t="str">
        <f>IF(I17=Surrender!I17,"R",HSD!V17)</f>
        <v>S</v>
      </c>
      <c r="W17" s="31" t="str">
        <f>IF(J17=Surrender!J17,"R",HSD!W17)</f>
        <v>S</v>
      </c>
      <c r="X17" s="31" t="str">
        <f>IF(K17=Surrender!K17,"R",HSD!X17)</f>
        <v>S</v>
      </c>
    </row>
    <row r="18" spans="1:24" x14ac:dyDescent="0.2">
      <c r="A18">
        <v>18</v>
      </c>
      <c r="B18">
        <f>IF(AND(Rules!$B$8=Rules!$E$8,Rules!$B$7=Rules!$E$7),MAX(Hit!B18,Stand!B18,Double!B18,Surrender!B18),MAX(Hit!B18,Stand!B18,Double!B18))</f>
        <v>-0.10019887561319057</v>
      </c>
      <c r="C18">
        <f>IF(Rules!$B$7=Rules!$E$7,MAX(Hit!C18,Stand!C18,Double!C18,Surrender!C18),MAX(Hit!C18,Stand!C18,Double!C18))</f>
        <v>0.12174190222088771</v>
      </c>
      <c r="D18">
        <f>IF(Rules!$B$7=Rules!$E$7,MAX(Hit!D18,Stand!D18,Double!D18,Surrender!D18),MAX(Hit!D18,Stand!D18,Double!D18))</f>
        <v>0.14830007284131119</v>
      </c>
      <c r="E18">
        <f>IF(Rules!$B$7=Rules!$E$7,MAX(Hit!E18,Stand!E18,Double!E18,Surrender!E18),MAX(Hit!E18,Stand!E18,Double!E18))</f>
        <v>0.17585443719748528</v>
      </c>
      <c r="F18">
        <f>IF(Rules!$B$7=Rules!$E$7,MAX(Hit!F18,Stand!F18,Double!F18,Surrender!F18),MAX(Hit!F18,Stand!F18,Double!F18))</f>
        <v>0.19956119497617719</v>
      </c>
      <c r="G18">
        <f>IF(Rules!$B$7=Rules!$E$7,MAX(Hit!G18,Stand!G18,Double!G18,Surrender!G18),MAX(Hit!G18,Stand!G18,Double!G18))</f>
        <v>0.28344391604689856</v>
      </c>
      <c r="H18">
        <f>IF(Rules!$B$7=Rules!$E$7,MAX(Hit!H18,Stand!H18,Double!H18,Surrender!H18),MAX(Hit!H18,Stand!H18,Double!H18))</f>
        <v>0.3995541673365518</v>
      </c>
      <c r="I18">
        <f>IF(Rules!$B$7=Rules!$E$7,MAX(Hit!I18,Stand!I18,Double!I18,Surrender!I18),MAX(Hit!I18,Stand!I18,Double!I18))</f>
        <v>0.10595134861912359</v>
      </c>
      <c r="J18">
        <f>IF(Rules!$B$7=Rules!$E$7,MAX(Hit!J18,Stand!J18,Double!J18,Surrender!J18),MAX(Hit!J18,Stand!J18,Double!J18))</f>
        <v>-0.18316335667343331</v>
      </c>
      <c r="K18">
        <f>IF(Rules!$B$7=Rules!$E$7,MAX(Hit!K18,Stand!K18,Double!K18,Surrender!K18),MAX(Hit!K18,Stand!K18,Double!K18))</f>
        <v>-0.17830123379648949</v>
      </c>
      <c r="N18" s="31">
        <v>18</v>
      </c>
      <c r="O18" s="31" t="str">
        <f>IF(B18=Surrender!B18,"R",HSD!O18)</f>
        <v>S</v>
      </c>
      <c r="P18" s="31" t="str">
        <f>IF(C18=Surrender!C18,"R",HSD!P18)</f>
        <v>S</v>
      </c>
      <c r="Q18" s="31" t="str">
        <f>IF(D18=Surrender!D18,"R",HSD!Q18)</f>
        <v>S</v>
      </c>
      <c r="R18" s="31" t="str">
        <f>IF(E18=Surrender!E18,"R",HSD!R18)</f>
        <v>S</v>
      </c>
      <c r="S18" s="31" t="str">
        <f>IF(F18=Surrender!F18,"R",HSD!S18)</f>
        <v>S</v>
      </c>
      <c r="T18" s="31" t="str">
        <f>IF(G18=Surrender!G18,"R",HSD!T18)</f>
        <v>S</v>
      </c>
      <c r="U18" s="31" t="str">
        <f>IF(H18=Surrender!H18,"R",HSD!U18)</f>
        <v>S</v>
      </c>
      <c r="V18" s="31" t="str">
        <f>IF(I18=Surrender!I18,"R",HSD!V18)</f>
        <v>S</v>
      </c>
      <c r="W18" s="31" t="str">
        <f>IF(J18=Surrender!J18,"R",HSD!W18)</f>
        <v>S</v>
      </c>
      <c r="X18" s="31" t="str">
        <f>IF(K18=Surrender!K18,"R",HSD!X18)</f>
        <v>S</v>
      </c>
    </row>
    <row r="19" spans="1:24" x14ac:dyDescent="0.2">
      <c r="A19">
        <v>19</v>
      </c>
      <c r="B19">
        <f>IF(AND(Rules!$B$8=Rules!$E$8,Rules!$B$7=Rules!$E$7),MAX(Hit!B19,Stand!B19,Double!B19,Surrender!B19),MAX(Hit!B19,Stand!B19,Double!B19))</f>
        <v>0.27763572376835594</v>
      </c>
      <c r="C19">
        <f>IF(Rules!$B$7=Rules!$E$7,MAX(Hit!C19,Stand!C19,Double!C19,Surrender!C19),MAX(Hit!C19,Stand!C19,Double!C19))</f>
        <v>0.38630468602058993</v>
      </c>
      <c r="D19">
        <f>IF(Rules!$B$7=Rules!$E$7,MAX(Hit!D19,Stand!D19,Double!D19,Surrender!D19),MAX(Hit!D19,Stand!D19,Double!D19))</f>
        <v>0.4043629365977599</v>
      </c>
      <c r="E19">
        <f>IF(Rules!$B$7=Rules!$E$7,MAX(Hit!E19,Stand!E19,Double!E19,Surrender!E19),MAX(Hit!E19,Stand!E19,Double!E19))</f>
        <v>0.42317892482749653</v>
      </c>
      <c r="F19">
        <f>IF(Rules!$B$7=Rules!$E$7,MAX(Hit!F19,Stand!F19,Double!F19,Surrender!F19),MAX(Hit!F19,Stand!F19,Double!F19))</f>
        <v>0.43951210416088371</v>
      </c>
      <c r="G19">
        <f>IF(Rules!$B$7=Rules!$E$7,MAX(Hit!G19,Stand!G19,Double!G19,Surrender!G19),MAX(Hit!G19,Stand!G19,Double!G19))</f>
        <v>0.49597707378731914</v>
      </c>
      <c r="H19">
        <f>IF(Rules!$B$7=Rules!$E$7,MAX(Hit!H19,Stand!H19,Double!H19,Surrender!H19),MAX(Hit!H19,Stand!H19,Double!H19))</f>
        <v>0.6159764957534315</v>
      </c>
      <c r="I19">
        <f>IF(Rules!$B$7=Rules!$E$7,MAX(Hit!I19,Stand!I19,Double!I19,Surrender!I19),MAX(Hit!I19,Stand!I19,Double!I19))</f>
        <v>0.59385366828669439</v>
      </c>
      <c r="J19">
        <f>IF(Rules!$B$7=Rules!$E$7,MAX(Hit!J19,Stand!J19,Double!J19,Surrender!J19),MAX(Hit!J19,Stand!J19,Double!J19))</f>
        <v>0.28759675706758148</v>
      </c>
      <c r="K19">
        <f>IF(Rules!$B$7=Rules!$E$7,MAX(Hit!K19,Stand!K19,Double!K19,Surrender!K19),MAX(Hit!K19,Stand!K19,Double!K19))</f>
        <v>6.3118166335840831E-2</v>
      </c>
      <c r="N19" s="31">
        <v>19</v>
      </c>
      <c r="O19" s="31" t="str">
        <f>IF(B19=Surrender!B19,"R",HSD!O19)</f>
        <v>S</v>
      </c>
      <c r="P19" s="31" t="str">
        <f>IF(C19=Surrender!C19,"R",HSD!P19)</f>
        <v>S</v>
      </c>
      <c r="Q19" s="31" t="str">
        <f>IF(D19=Surrender!D19,"R",HSD!Q19)</f>
        <v>S</v>
      </c>
      <c r="R19" s="31" t="str">
        <f>IF(E19=Surrender!E19,"R",HSD!R19)</f>
        <v>S</v>
      </c>
      <c r="S19" s="31" t="str">
        <f>IF(F19=Surrender!F19,"R",HSD!S19)</f>
        <v>S</v>
      </c>
      <c r="T19" s="31" t="str">
        <f>IF(G19=Surrender!G19,"R",HSD!T19)</f>
        <v>S</v>
      </c>
      <c r="U19" s="31" t="str">
        <f>IF(H19=Surrender!H19,"R",HSD!U19)</f>
        <v>S</v>
      </c>
      <c r="V19" s="31" t="str">
        <f>IF(I19=Surrender!I19,"R",HSD!V19)</f>
        <v>S</v>
      </c>
      <c r="W19" s="31" t="str">
        <f>IF(J19=Surrender!J19,"R",HSD!W19)</f>
        <v>S</v>
      </c>
      <c r="X19" s="31" t="str">
        <f>IF(K19=Surrender!K19,"R",HSD!X19)</f>
        <v>S</v>
      </c>
    </row>
    <row r="20" spans="1:24" x14ac:dyDescent="0.2">
      <c r="A20">
        <v>20</v>
      </c>
      <c r="B20">
        <f>IF(AND(Rules!$B$8=Rules!$E$8,Rules!$B$7=Rules!$E$7),MAX(Hit!B20,Stand!B20,Double!B20,Surrender!B20),MAX(Hit!B20,Stand!B20,Double!B20))</f>
        <v>0.65547032314990239</v>
      </c>
      <c r="C20">
        <f>IF(Rules!$B$7=Rules!$E$7,MAX(Hit!C20,Stand!C20,Double!C20,Surrender!C20),MAX(Hit!C20,Stand!C20,Double!C20))</f>
        <v>0.63998657521683877</v>
      </c>
      <c r="D20">
        <f>IF(Rules!$B$7=Rules!$E$7,MAX(Hit!D20,Stand!D20,Double!D20,Surrender!D20),MAX(Hit!D20,Stand!D20,Double!D20))</f>
        <v>0.65027209425148136</v>
      </c>
      <c r="E20">
        <f>IF(Rules!$B$7=Rules!$E$7,MAX(Hit!E20,Stand!E20,Double!E20,Surrender!E20),MAX(Hit!E20,Stand!E20,Double!E20))</f>
        <v>0.66104996194807186</v>
      </c>
      <c r="F20">
        <f>IF(Rules!$B$7=Rules!$E$7,MAX(Hit!F20,Stand!F20,Double!F20,Surrender!F20),MAX(Hit!F20,Stand!F20,Double!F20))</f>
        <v>0.67035969063279999</v>
      </c>
      <c r="G20">
        <f>IF(Rules!$B$7=Rules!$E$7,MAX(Hit!G20,Stand!G20,Double!G20,Surrender!G20),MAX(Hit!G20,Stand!G20,Double!G20))</f>
        <v>0.70395857017134467</v>
      </c>
      <c r="H20">
        <f>IF(Rules!$B$7=Rules!$E$7,MAX(Hit!H20,Stand!H20,Double!H20,Surrender!H20),MAX(Hit!H20,Stand!H20,Double!H20))</f>
        <v>0.77322722653717491</v>
      </c>
      <c r="I20">
        <f>IF(Rules!$B$7=Rules!$E$7,MAX(Hit!I20,Stand!I20,Double!I20,Surrender!I20),MAX(Hit!I20,Stand!I20,Double!I20))</f>
        <v>0.79181515955189841</v>
      </c>
      <c r="J20">
        <f>IF(Rules!$B$7=Rules!$E$7,MAX(Hit!J20,Stand!J20,Double!J20,Surrender!J20),MAX(Hit!J20,Stand!J20,Double!J20))</f>
        <v>0.75835687080859626</v>
      </c>
      <c r="K20">
        <f>IF(Rules!$B$7=Rules!$E$7,MAX(Hit!K20,Stand!K20,Double!K20,Surrender!K20),MAX(Hit!K20,Stand!K20,Double!K20))</f>
        <v>0.55453756646817121</v>
      </c>
      <c r="N20" s="31">
        <v>20</v>
      </c>
      <c r="O20" s="31" t="str">
        <f>IF(B20=Surrender!B20,"R",HSD!O20)</f>
        <v>S</v>
      </c>
      <c r="P20" s="31" t="str">
        <f>IF(C20=Surrender!C20,"R",HSD!P20)</f>
        <v>S</v>
      </c>
      <c r="Q20" s="31" t="str">
        <f>IF(D20=Surrender!D20,"R",HSD!Q20)</f>
        <v>S</v>
      </c>
      <c r="R20" s="31" t="str">
        <f>IF(E20=Surrender!E20,"R",HSD!R20)</f>
        <v>S</v>
      </c>
      <c r="S20" s="31" t="str">
        <f>IF(F20=Surrender!F20,"R",HSD!S20)</f>
        <v>S</v>
      </c>
      <c r="T20" s="31" t="str">
        <f>IF(G20=Surrender!G20,"R",HSD!T20)</f>
        <v>S</v>
      </c>
      <c r="U20" s="31" t="str">
        <f>IF(H20=Surrender!H20,"R",HSD!U20)</f>
        <v>S</v>
      </c>
      <c r="V20" s="31" t="str">
        <f>IF(I20=Surrender!I20,"R",HSD!V20)</f>
        <v>S</v>
      </c>
      <c r="W20" s="31" t="str">
        <f>IF(J20=Surrender!J20,"R",HSD!W20)</f>
        <v>S</v>
      </c>
      <c r="X20" s="31" t="str">
        <f>IF(K20=Surrender!K20,"R",HSD!X20)</f>
        <v>S</v>
      </c>
    </row>
    <row r="21" spans="1:24" x14ac:dyDescent="0.2">
      <c r="A21">
        <v>21</v>
      </c>
      <c r="B21">
        <f>IF(AND(Rules!$B$8=Rules!$E$8,Rules!$B$7=Rules!$E$7),MAX(Hit!B21,Stand!B21,Double!B21,Surrender!B21),MAX(Hit!B21,Stand!B21,Double!B21))</f>
        <v>0.92219381142033785</v>
      </c>
      <c r="C21">
        <f>IF(Rules!$B$7=Rules!$E$7,MAX(Hit!C21,Stand!C21,Double!C21,Surrender!C21),MAX(Hit!C21,Stand!C21,Double!C21))</f>
        <v>0.88200651549403997</v>
      </c>
      <c r="D21">
        <f>IF(Rules!$B$7=Rules!$E$7,MAX(Hit!D21,Stand!D21,Double!D21,Surrender!D21),MAX(Hit!D21,Stand!D21,Double!D21))</f>
        <v>0.88530035730174927</v>
      </c>
      <c r="E21">
        <f>IF(Rules!$B$7=Rules!$E$7,MAX(Hit!E21,Stand!E21,Double!E21,Surrender!E21),MAX(Hit!E21,Stand!E21,Double!E21))</f>
        <v>0.88876729296591961</v>
      </c>
      <c r="F21">
        <f>IF(Rules!$B$7=Rules!$E$7,MAX(Hit!F21,Stand!F21,Double!F21,Surrender!F21),MAX(Hit!F21,Stand!F21,Double!F21))</f>
        <v>0.89175382659528035</v>
      </c>
      <c r="G21">
        <f>IF(Rules!$B$7=Rules!$E$7,MAX(Hit!G21,Stand!G21,Double!G21,Surrender!G21),MAX(Hit!G21,Stand!G21,Double!G21))</f>
        <v>0.90283674384257995</v>
      </c>
      <c r="H21">
        <f>IF(Rules!$B$7=Rules!$E$7,MAX(Hit!H21,Stand!H21,Double!H21,Surrender!H21),MAX(Hit!H21,Stand!H21,Double!H21))</f>
        <v>0.92592629596452325</v>
      </c>
      <c r="I21">
        <f>IF(Rules!$B$7=Rules!$E$7,MAX(Hit!I21,Stand!I21,Double!I21,Surrender!I21),MAX(Hit!I21,Stand!I21,Double!I21))</f>
        <v>0.93060505318396614</v>
      </c>
      <c r="J21">
        <f>IF(Rules!$B$7=Rules!$E$7,MAX(Hit!J21,Stand!J21,Double!J21,Surrender!J21),MAX(Hit!J21,Stand!J21,Double!J21))</f>
        <v>0.93917615614724415</v>
      </c>
      <c r="K21">
        <f>IF(Rules!$B$7=Rules!$E$7,MAX(Hit!K21,Stand!K21,Double!K21,Surrender!K21),MAX(Hit!K21,Stand!K21,Double!K21))</f>
        <v>0.96262363326716827</v>
      </c>
      <c r="N21" s="31">
        <v>21</v>
      </c>
      <c r="O21" s="31" t="str">
        <f>IF(B21=Surrender!B21,"R",HSD!O21)</f>
        <v>S</v>
      </c>
      <c r="P21" s="31" t="str">
        <f>IF(C21=Surrender!C21,"R",HSD!P21)</f>
        <v>S</v>
      </c>
      <c r="Q21" s="31" t="str">
        <f>IF(D21=Surrender!D21,"R",HSD!Q21)</f>
        <v>S</v>
      </c>
      <c r="R21" s="31" t="str">
        <f>IF(E21=Surrender!E21,"R",HSD!R21)</f>
        <v>S</v>
      </c>
      <c r="S21" s="31" t="str">
        <f>IF(F21=Surrender!F21,"R",HSD!S21)</f>
        <v>S</v>
      </c>
      <c r="T21" s="31" t="str">
        <f>IF(G21=Surrender!G21,"R",HSD!T21)</f>
        <v>S</v>
      </c>
      <c r="U21" s="31" t="str">
        <f>IF(H21=Surrender!H21,"R",HSD!U21)</f>
        <v>S</v>
      </c>
      <c r="V21" s="31" t="str">
        <f>IF(I21=Surrender!I21,"R",HSD!V21)</f>
        <v>S</v>
      </c>
      <c r="W21" s="31" t="str">
        <f>IF(J21=Surrender!J21,"R",HSD!W21)</f>
        <v>S</v>
      </c>
      <c r="X21" s="31" t="str">
        <f>IF(K21=Surrender!K21,"R",HSD!X21)</f>
        <v>S</v>
      </c>
    </row>
    <row r="22" spans="1:24" x14ac:dyDescent="0.2">
      <c r="A22">
        <v>22</v>
      </c>
      <c r="B22">
        <f>IF(AND(Rules!$B$8=Rules!$E$8,Rules!$B$7=Rules!$E$7),MAX(Hit!B22,Stand!B22,Double!B22,Surrender!B22),MAX(Hit!B22,Stand!B22,Double!B22))</f>
        <v>-0.5</v>
      </c>
      <c r="C22">
        <f>IF(Rules!$B$7=Rules!$E$7,MAX(Hit!C22,Stand!C22,Double!C22,Surrender!C22),MAX(Hit!C22,Stand!C22,Double!C22))</f>
        <v>-0.5</v>
      </c>
      <c r="D22">
        <f>IF(Rules!$B$7=Rules!$E$7,MAX(Hit!D22,Stand!D22,Double!D22,Surrender!D22),MAX(Hit!D22,Stand!D22,Double!D22))</f>
        <v>-0.5</v>
      </c>
      <c r="E22">
        <f>IF(Rules!$B$7=Rules!$E$7,MAX(Hit!E22,Stand!E22,Double!E22,Surrender!E22),MAX(Hit!E22,Stand!E22,Double!E22))</f>
        <v>-0.5</v>
      </c>
      <c r="F22">
        <f>IF(Rules!$B$7=Rules!$E$7,MAX(Hit!F22,Stand!F22,Double!F22,Surrender!F22),MAX(Hit!F22,Stand!F22,Double!F22))</f>
        <v>-0.5</v>
      </c>
      <c r="G22">
        <f>IF(Rules!$B$7=Rules!$E$7,MAX(Hit!G22,Stand!G22,Double!G22,Surrender!G22),MAX(Hit!G22,Stand!G22,Double!G22))</f>
        <v>-0.5</v>
      </c>
      <c r="H22">
        <f>IF(Rules!$B$7=Rules!$E$7,MAX(Hit!H22,Stand!H22,Double!H22,Surrender!H22),MAX(Hit!H22,Stand!H22,Double!H22))</f>
        <v>-0.5</v>
      </c>
      <c r="I22">
        <f>IF(Rules!$B$7=Rules!$E$7,MAX(Hit!I22,Stand!I22,Double!I22,Surrender!I22),MAX(Hit!I22,Stand!I22,Double!I22))</f>
        <v>-0.5</v>
      </c>
      <c r="J22">
        <f>IF(Rules!$B$7=Rules!$E$7,MAX(Hit!J22,Stand!J22,Double!J22,Surrender!J22),MAX(Hit!J22,Stand!J22,Double!J22))</f>
        <v>-0.5</v>
      </c>
      <c r="K22">
        <f>IF(Rules!$B$7=Rules!$E$7,MAX(Hit!K22,Stand!K22,Double!K22,Surrender!K22),MAX(Hit!K22,Stand!K22,Double!K22))</f>
        <v>-0.5</v>
      </c>
      <c r="N22" s="31">
        <v>22</v>
      </c>
      <c r="O22" s="31" t="str">
        <f>IF(B22=Surrender!B22,"R",HSD!O22)</f>
        <v>R</v>
      </c>
      <c r="P22" s="31" t="str">
        <f>IF(C22=Surrender!C22,"R",HSD!P22)</f>
        <v>R</v>
      </c>
      <c r="Q22" s="31" t="str">
        <f>IF(D22=Surrender!D22,"R",HSD!Q22)</f>
        <v>R</v>
      </c>
      <c r="R22" s="31" t="str">
        <f>IF(E22=Surrender!E22,"R",HSD!R22)</f>
        <v>R</v>
      </c>
      <c r="S22" s="31" t="str">
        <f>IF(F22=Surrender!F22,"R",HSD!S22)</f>
        <v>R</v>
      </c>
      <c r="T22" s="31" t="str">
        <f>IF(G22=Surrender!G22,"R",HSD!T22)</f>
        <v>R</v>
      </c>
      <c r="U22" s="31" t="str">
        <f>IF(H22=Surrender!H22,"R",HSD!U22)</f>
        <v>R</v>
      </c>
      <c r="V22" s="31" t="str">
        <f>IF(I22=Surrender!I22,"R",HSD!V22)</f>
        <v>R</v>
      </c>
      <c r="W22" s="31" t="str">
        <f>IF(J22=Surrender!J22,"R",HSD!W22)</f>
        <v>R</v>
      </c>
      <c r="X22" s="31" t="str">
        <f>IF(K22=Surrender!K22,"R",HSD!X22)</f>
        <v>R</v>
      </c>
    </row>
    <row r="23" spans="1:24" x14ac:dyDescent="0.2">
      <c r="A23">
        <v>23</v>
      </c>
      <c r="B23">
        <f>IF(AND(Rules!$B$8=Rules!$E$8,Rules!$B$7=Rules!$E$7),MAX(Hit!B23,Stand!B23,Double!B23,Surrender!B23),MAX(Hit!B23,Stand!B23,Double!B23))</f>
        <v>-0.5</v>
      </c>
      <c r="C23">
        <f>IF(Rules!$B$7=Rules!$E$7,MAX(Hit!C23,Stand!C23,Double!C23,Surrender!C23),MAX(Hit!C23,Stand!C23,Double!C23))</f>
        <v>-0.5</v>
      </c>
      <c r="D23">
        <f>IF(Rules!$B$7=Rules!$E$7,MAX(Hit!D23,Stand!D23,Double!D23,Surrender!D23),MAX(Hit!D23,Stand!D23,Double!D23))</f>
        <v>-0.5</v>
      </c>
      <c r="E23">
        <f>IF(Rules!$B$7=Rules!$E$7,MAX(Hit!E23,Stand!E23,Double!E23,Surrender!E23),MAX(Hit!E23,Stand!E23,Double!E23))</f>
        <v>-0.5</v>
      </c>
      <c r="F23">
        <f>IF(Rules!$B$7=Rules!$E$7,MAX(Hit!F23,Stand!F23,Double!F23,Surrender!F23),MAX(Hit!F23,Stand!F23,Double!F23))</f>
        <v>-0.5</v>
      </c>
      <c r="G23">
        <f>IF(Rules!$B$7=Rules!$E$7,MAX(Hit!G23,Stand!G23,Double!G23,Surrender!G23),MAX(Hit!G23,Stand!G23,Double!G23))</f>
        <v>-0.5</v>
      </c>
      <c r="H23">
        <f>IF(Rules!$B$7=Rules!$E$7,MAX(Hit!H23,Stand!H23,Double!H23,Surrender!H23),MAX(Hit!H23,Stand!H23,Double!H23))</f>
        <v>-0.5</v>
      </c>
      <c r="I23">
        <f>IF(Rules!$B$7=Rules!$E$7,MAX(Hit!I23,Stand!I23,Double!I23,Surrender!I23),MAX(Hit!I23,Stand!I23,Double!I23))</f>
        <v>-0.5</v>
      </c>
      <c r="J23">
        <f>IF(Rules!$B$7=Rules!$E$7,MAX(Hit!J23,Stand!J23,Double!J23,Surrender!J23),MAX(Hit!J23,Stand!J23,Double!J23))</f>
        <v>-0.5</v>
      </c>
      <c r="K23">
        <f>IF(Rules!$B$7=Rules!$E$7,MAX(Hit!K23,Stand!K23,Double!K23,Surrender!K23),MAX(Hit!K23,Stand!K23,Double!K23))</f>
        <v>-0.5</v>
      </c>
      <c r="N23" s="31">
        <v>23</v>
      </c>
      <c r="O23" s="31" t="str">
        <f>IF(B23=Surrender!B23,"R",HSD!O23)</f>
        <v>R</v>
      </c>
      <c r="P23" s="31" t="str">
        <f>IF(C23=Surrender!C23,"R",HSD!P23)</f>
        <v>R</v>
      </c>
      <c r="Q23" s="31" t="str">
        <f>IF(D23=Surrender!D23,"R",HSD!Q23)</f>
        <v>R</v>
      </c>
      <c r="R23" s="31" t="str">
        <f>IF(E23=Surrender!E23,"R",HSD!R23)</f>
        <v>R</v>
      </c>
      <c r="S23" s="31" t="str">
        <f>IF(F23=Surrender!F23,"R",HSD!S23)</f>
        <v>R</v>
      </c>
      <c r="T23" s="31" t="str">
        <f>IF(G23=Surrender!G23,"R",HSD!T23)</f>
        <v>R</v>
      </c>
      <c r="U23" s="31" t="str">
        <f>IF(H23=Surrender!H23,"R",HSD!U23)</f>
        <v>R</v>
      </c>
      <c r="V23" s="31" t="str">
        <f>IF(I23=Surrender!I23,"R",HSD!V23)</f>
        <v>R</v>
      </c>
      <c r="W23" s="31" t="str">
        <f>IF(J23=Surrender!J23,"R",HSD!W23)</f>
        <v>R</v>
      </c>
      <c r="X23" s="31" t="str">
        <f>IF(K23=Surrender!K23,"R",HSD!X23)</f>
        <v>R</v>
      </c>
    </row>
    <row r="24" spans="1:24" x14ac:dyDescent="0.2">
      <c r="A24">
        <v>24</v>
      </c>
      <c r="B24">
        <f>IF(AND(Rules!$B$8=Rules!$E$8,Rules!$B$7=Rules!$E$7),MAX(Hit!B24,Stand!B24,Double!B24,Surrender!B24),MAX(Hit!B24,Stand!B24,Double!B24))</f>
        <v>-0.5</v>
      </c>
      <c r="C24">
        <f>IF(Rules!$B$7=Rules!$E$7,MAX(Hit!C24,Stand!C24,Double!C24,Surrender!C24),MAX(Hit!C24,Stand!C24,Double!C24))</f>
        <v>-0.5</v>
      </c>
      <c r="D24">
        <f>IF(Rules!$B$7=Rules!$E$7,MAX(Hit!D24,Stand!D24,Double!D24,Surrender!D24),MAX(Hit!D24,Stand!D24,Double!D24))</f>
        <v>-0.5</v>
      </c>
      <c r="E24">
        <f>IF(Rules!$B$7=Rules!$E$7,MAX(Hit!E24,Stand!E24,Double!E24,Surrender!E24),MAX(Hit!E24,Stand!E24,Double!E24))</f>
        <v>-0.5</v>
      </c>
      <c r="F24">
        <f>IF(Rules!$B$7=Rules!$E$7,MAX(Hit!F24,Stand!F24,Double!F24,Surrender!F24),MAX(Hit!F24,Stand!F24,Double!F24))</f>
        <v>-0.5</v>
      </c>
      <c r="G24">
        <f>IF(Rules!$B$7=Rules!$E$7,MAX(Hit!G24,Stand!G24,Double!G24,Surrender!G24),MAX(Hit!G24,Stand!G24,Double!G24))</f>
        <v>-0.5</v>
      </c>
      <c r="H24">
        <f>IF(Rules!$B$7=Rules!$E$7,MAX(Hit!H24,Stand!H24,Double!H24,Surrender!H24),MAX(Hit!H24,Stand!H24,Double!H24))</f>
        <v>-0.5</v>
      </c>
      <c r="I24">
        <f>IF(Rules!$B$7=Rules!$E$7,MAX(Hit!I24,Stand!I24,Double!I24,Surrender!I24),MAX(Hit!I24,Stand!I24,Double!I24))</f>
        <v>-0.5</v>
      </c>
      <c r="J24">
        <f>IF(Rules!$B$7=Rules!$E$7,MAX(Hit!J24,Stand!J24,Double!J24,Surrender!J24),MAX(Hit!J24,Stand!J24,Double!J24))</f>
        <v>-0.5</v>
      </c>
      <c r="K24">
        <f>IF(Rules!$B$7=Rules!$E$7,MAX(Hit!K24,Stand!K24,Double!K24,Surrender!K24),MAX(Hit!K24,Stand!K24,Double!K24))</f>
        <v>-0.5</v>
      </c>
      <c r="N24" s="31">
        <v>24</v>
      </c>
      <c r="O24" s="31" t="str">
        <f>IF(B24=Surrender!B24,"R",HSD!O24)</f>
        <v>R</v>
      </c>
      <c r="P24" s="31" t="str">
        <f>IF(C24=Surrender!C24,"R",HSD!P24)</f>
        <v>R</v>
      </c>
      <c r="Q24" s="31" t="str">
        <f>IF(D24=Surrender!D24,"R",HSD!Q24)</f>
        <v>R</v>
      </c>
      <c r="R24" s="31" t="str">
        <f>IF(E24=Surrender!E24,"R",HSD!R24)</f>
        <v>R</v>
      </c>
      <c r="S24" s="31" t="str">
        <f>IF(F24=Surrender!F24,"R",HSD!S24)</f>
        <v>R</v>
      </c>
      <c r="T24" s="31" t="str">
        <f>IF(G24=Surrender!G24,"R",HSD!T24)</f>
        <v>R</v>
      </c>
      <c r="U24" s="31" t="str">
        <f>IF(H24=Surrender!H24,"R",HSD!U24)</f>
        <v>R</v>
      </c>
      <c r="V24" s="31" t="str">
        <f>IF(I24=Surrender!I24,"R",HSD!V24)</f>
        <v>R</v>
      </c>
      <c r="W24" s="31" t="str">
        <f>IF(J24=Surrender!J24,"R",HSD!W24)</f>
        <v>R</v>
      </c>
      <c r="X24" s="31" t="str">
        <f>IF(K24=Surrender!K24,"R",HSD!X24)</f>
        <v>R</v>
      </c>
    </row>
    <row r="25" spans="1:24" x14ac:dyDescent="0.2">
      <c r="A25">
        <v>25</v>
      </c>
      <c r="B25">
        <f>IF(AND(Rules!$B$8=Rules!$E$8,Rules!$B$7=Rules!$E$7),MAX(Hit!B25,Stand!B25,Double!B25,Surrender!B25),MAX(Hit!B25,Stand!B25,Double!B25))</f>
        <v>-0.5</v>
      </c>
      <c r="C25">
        <f>IF(Rules!$B$7=Rules!$E$7,MAX(Hit!C25,Stand!C25,Double!C25,Surrender!C25),MAX(Hit!C25,Stand!C25,Double!C25))</f>
        <v>-0.5</v>
      </c>
      <c r="D25">
        <f>IF(Rules!$B$7=Rules!$E$7,MAX(Hit!D25,Stand!D25,Double!D25,Surrender!D25),MAX(Hit!D25,Stand!D25,Double!D25))</f>
        <v>-0.5</v>
      </c>
      <c r="E25">
        <f>IF(Rules!$B$7=Rules!$E$7,MAX(Hit!E25,Stand!E25,Double!E25,Surrender!E25),MAX(Hit!E25,Stand!E25,Double!E25))</f>
        <v>-0.5</v>
      </c>
      <c r="F25">
        <f>IF(Rules!$B$7=Rules!$E$7,MAX(Hit!F25,Stand!F25,Double!F25,Surrender!F25),MAX(Hit!F25,Stand!F25,Double!F25))</f>
        <v>-0.5</v>
      </c>
      <c r="G25">
        <f>IF(Rules!$B$7=Rules!$E$7,MAX(Hit!G25,Stand!G25,Double!G25,Surrender!G25),MAX(Hit!G25,Stand!G25,Double!G25))</f>
        <v>-0.5</v>
      </c>
      <c r="H25">
        <f>IF(Rules!$B$7=Rules!$E$7,MAX(Hit!H25,Stand!H25,Double!H25,Surrender!H25),MAX(Hit!H25,Stand!H25,Double!H25))</f>
        <v>-0.5</v>
      </c>
      <c r="I25">
        <f>IF(Rules!$B$7=Rules!$E$7,MAX(Hit!I25,Stand!I25,Double!I25,Surrender!I25),MAX(Hit!I25,Stand!I25,Double!I25))</f>
        <v>-0.5</v>
      </c>
      <c r="J25">
        <f>IF(Rules!$B$7=Rules!$E$7,MAX(Hit!J25,Stand!J25,Double!J25,Surrender!J25),MAX(Hit!J25,Stand!J25,Double!J25))</f>
        <v>-0.5</v>
      </c>
      <c r="K25">
        <f>IF(Rules!$B$7=Rules!$E$7,MAX(Hit!K25,Stand!K25,Double!K25,Surrender!K25),MAX(Hit!K25,Stand!K25,Double!K25))</f>
        <v>-0.5</v>
      </c>
      <c r="N25" s="31">
        <v>25</v>
      </c>
      <c r="O25" s="31" t="str">
        <f>IF(B25=Surrender!B25,"R",HSD!O25)</f>
        <v>R</v>
      </c>
      <c r="P25" s="31" t="str">
        <f>IF(C25=Surrender!C25,"R",HSD!P25)</f>
        <v>R</v>
      </c>
      <c r="Q25" s="31" t="str">
        <f>IF(D25=Surrender!D25,"R",HSD!Q25)</f>
        <v>R</v>
      </c>
      <c r="R25" s="31" t="str">
        <f>IF(E25=Surrender!E25,"R",HSD!R25)</f>
        <v>R</v>
      </c>
      <c r="S25" s="31" t="str">
        <f>IF(F25=Surrender!F25,"R",HSD!S25)</f>
        <v>R</v>
      </c>
      <c r="T25" s="31" t="str">
        <f>IF(G25=Surrender!G25,"R",HSD!T25)</f>
        <v>R</v>
      </c>
      <c r="U25" s="31" t="str">
        <f>IF(H25=Surrender!H25,"R",HSD!U25)</f>
        <v>R</v>
      </c>
      <c r="V25" s="31" t="str">
        <f>IF(I25=Surrender!I25,"R",HSD!V25)</f>
        <v>R</v>
      </c>
      <c r="W25" s="31" t="str">
        <f>IF(J25=Surrender!J25,"R",HSD!W25)</f>
        <v>R</v>
      </c>
      <c r="X25" s="31" t="str">
        <f>IF(K25=Surrender!K25,"R",HSD!X25)</f>
        <v>R</v>
      </c>
    </row>
    <row r="26" spans="1:24" x14ac:dyDescent="0.2">
      <c r="A26">
        <v>26</v>
      </c>
      <c r="B26">
        <f>IF(AND(Rules!$B$8=Rules!$E$8,Rules!$B$7=Rules!$E$7),MAX(Hit!B26,Stand!B26,Double!B26,Surrender!B26),MAX(Hit!B26,Stand!B26,Double!B26))</f>
        <v>-0.5</v>
      </c>
      <c r="C26">
        <f>IF(Rules!$B$7=Rules!$E$7,MAX(Hit!C26,Stand!C26,Double!C26,Surrender!C26),MAX(Hit!C26,Stand!C26,Double!C26))</f>
        <v>-0.5</v>
      </c>
      <c r="D26">
        <f>IF(Rules!$B$7=Rules!$E$7,MAX(Hit!D26,Stand!D26,Double!D26,Surrender!D26),MAX(Hit!D26,Stand!D26,Double!D26))</f>
        <v>-0.5</v>
      </c>
      <c r="E26">
        <f>IF(Rules!$B$7=Rules!$E$7,MAX(Hit!E26,Stand!E26,Double!E26,Surrender!E26),MAX(Hit!E26,Stand!E26,Double!E26))</f>
        <v>-0.5</v>
      </c>
      <c r="F26">
        <f>IF(Rules!$B$7=Rules!$E$7,MAX(Hit!F26,Stand!F26,Double!F26,Surrender!F26),MAX(Hit!F26,Stand!F26,Double!F26))</f>
        <v>-0.5</v>
      </c>
      <c r="G26">
        <f>IF(Rules!$B$7=Rules!$E$7,MAX(Hit!G26,Stand!G26,Double!G26,Surrender!G26),MAX(Hit!G26,Stand!G26,Double!G26))</f>
        <v>-0.5</v>
      </c>
      <c r="H26">
        <f>IF(Rules!$B$7=Rules!$E$7,MAX(Hit!H26,Stand!H26,Double!H26,Surrender!H26),MAX(Hit!H26,Stand!H26,Double!H26))</f>
        <v>-0.5</v>
      </c>
      <c r="I26">
        <f>IF(Rules!$B$7=Rules!$E$7,MAX(Hit!I26,Stand!I26,Double!I26,Surrender!I26),MAX(Hit!I26,Stand!I26,Double!I26))</f>
        <v>-0.5</v>
      </c>
      <c r="J26">
        <f>IF(Rules!$B$7=Rules!$E$7,MAX(Hit!J26,Stand!J26,Double!J26,Surrender!J26),MAX(Hit!J26,Stand!J26,Double!J26))</f>
        <v>-0.5</v>
      </c>
      <c r="K26">
        <f>IF(Rules!$B$7=Rules!$E$7,MAX(Hit!K26,Stand!K26,Double!K26,Surrender!K26),MAX(Hit!K26,Stand!K26,Double!K26))</f>
        <v>-0.5</v>
      </c>
      <c r="N26" s="31">
        <v>26</v>
      </c>
      <c r="O26" s="31" t="str">
        <f>IF(B26=Surrender!B26,"R",HSD!O26)</f>
        <v>R</v>
      </c>
      <c r="P26" s="31" t="str">
        <f>IF(C26=Surrender!C26,"R",HSD!P26)</f>
        <v>R</v>
      </c>
      <c r="Q26" s="31" t="str">
        <f>IF(D26=Surrender!D26,"R",HSD!Q26)</f>
        <v>R</v>
      </c>
      <c r="R26" s="31" t="str">
        <f>IF(E26=Surrender!E26,"R",HSD!R26)</f>
        <v>R</v>
      </c>
      <c r="S26" s="31" t="str">
        <f>IF(F26=Surrender!F26,"R",HSD!S26)</f>
        <v>R</v>
      </c>
      <c r="T26" s="31" t="str">
        <f>IF(G26=Surrender!G26,"R",HSD!T26)</f>
        <v>R</v>
      </c>
      <c r="U26" s="31" t="str">
        <f>IF(H26=Surrender!H26,"R",HSD!U26)</f>
        <v>R</v>
      </c>
      <c r="V26" s="31" t="str">
        <f>IF(I26=Surrender!I26,"R",HSD!V26)</f>
        <v>R</v>
      </c>
      <c r="W26" s="31" t="str">
        <f>IF(J26=Surrender!J26,"R",HSD!W26)</f>
        <v>R</v>
      </c>
      <c r="X26" s="31" t="str">
        <f>IF(K26=Surrender!K26,"R",HSD!X26)</f>
        <v>R</v>
      </c>
    </row>
    <row r="27" spans="1:24" x14ac:dyDescent="0.2">
      <c r="A27">
        <v>27</v>
      </c>
      <c r="B27">
        <f>IF(AND(Rules!$B$8=Rules!$E$8,Rules!$B$7=Rules!$E$7),MAX(Hit!B27,Stand!B27,Double!B27,Surrender!B27),MAX(Hit!B27,Stand!B27,Double!B27))</f>
        <v>-0.5</v>
      </c>
      <c r="C27">
        <f>IF(Rules!$B$7=Rules!$E$7,MAX(Hit!C27,Stand!C27,Double!C27,Surrender!C27),MAX(Hit!C27,Stand!C27,Double!C27))</f>
        <v>-0.5</v>
      </c>
      <c r="D27">
        <f>IF(Rules!$B$7=Rules!$E$7,MAX(Hit!D27,Stand!D27,Double!D27,Surrender!D27),MAX(Hit!D27,Stand!D27,Double!D27))</f>
        <v>-0.5</v>
      </c>
      <c r="E27">
        <f>IF(Rules!$B$7=Rules!$E$7,MAX(Hit!E27,Stand!E27,Double!E27,Surrender!E27),MAX(Hit!E27,Stand!E27,Double!E27))</f>
        <v>-0.5</v>
      </c>
      <c r="F27">
        <f>IF(Rules!$B$7=Rules!$E$7,MAX(Hit!F27,Stand!F27,Double!F27,Surrender!F27),MAX(Hit!F27,Stand!F27,Double!F27))</f>
        <v>-0.5</v>
      </c>
      <c r="G27">
        <f>IF(Rules!$B$7=Rules!$E$7,MAX(Hit!G27,Stand!G27,Double!G27,Surrender!G27),MAX(Hit!G27,Stand!G27,Double!G27))</f>
        <v>-0.5</v>
      </c>
      <c r="H27">
        <f>IF(Rules!$B$7=Rules!$E$7,MAX(Hit!H27,Stand!H27,Double!H27,Surrender!H27),MAX(Hit!H27,Stand!H27,Double!H27))</f>
        <v>-0.5</v>
      </c>
      <c r="I27">
        <f>IF(Rules!$B$7=Rules!$E$7,MAX(Hit!I27,Stand!I27,Double!I27,Surrender!I27),MAX(Hit!I27,Stand!I27,Double!I27))</f>
        <v>-0.5</v>
      </c>
      <c r="J27">
        <f>IF(Rules!$B$7=Rules!$E$7,MAX(Hit!J27,Stand!J27,Double!J27,Surrender!J27),MAX(Hit!J27,Stand!J27,Double!J27))</f>
        <v>-0.5</v>
      </c>
      <c r="K27">
        <f>IF(Rules!$B$7=Rules!$E$7,MAX(Hit!K27,Stand!K27,Double!K27,Surrender!K27),MAX(Hit!K27,Stand!K27,Double!K27))</f>
        <v>-0.5</v>
      </c>
      <c r="N27" s="31">
        <v>27</v>
      </c>
      <c r="O27" s="31" t="str">
        <f>IF(B27=Surrender!B27,"R",HSD!O27)</f>
        <v>R</v>
      </c>
      <c r="P27" s="31" t="str">
        <f>IF(C27=Surrender!C27,"R",HSD!P27)</f>
        <v>R</v>
      </c>
      <c r="Q27" s="31" t="str">
        <f>IF(D27=Surrender!D27,"R",HSD!Q27)</f>
        <v>R</v>
      </c>
      <c r="R27" s="31" t="str">
        <f>IF(E27=Surrender!E27,"R",HSD!R27)</f>
        <v>R</v>
      </c>
      <c r="S27" s="31" t="str">
        <f>IF(F27=Surrender!F27,"R",HSD!S27)</f>
        <v>R</v>
      </c>
      <c r="T27" s="31" t="str">
        <f>IF(G27=Surrender!G27,"R",HSD!T27)</f>
        <v>R</v>
      </c>
      <c r="U27" s="31" t="str">
        <f>IF(H27=Surrender!H27,"R",HSD!U27)</f>
        <v>R</v>
      </c>
      <c r="V27" s="31" t="str">
        <f>IF(I27=Surrender!I27,"R",HSD!V27)</f>
        <v>R</v>
      </c>
      <c r="W27" s="31" t="str">
        <f>IF(J27=Surrender!J27,"R",HSD!W27)</f>
        <v>R</v>
      </c>
      <c r="X27" s="31" t="str">
        <f>IF(K27=Surrender!K27,"R",HSD!X27)</f>
        <v>R</v>
      </c>
    </row>
    <row r="28" spans="1:24" x14ac:dyDescent="0.2">
      <c r="A28">
        <v>28</v>
      </c>
      <c r="B28">
        <f>IF(AND(Rules!$B$8=Rules!$E$8,Rules!$B$7=Rules!$E$7),MAX(Hit!B28,Stand!B28,Double!B28,Surrender!B28),MAX(Hit!B28,Stand!B28,Double!B28))</f>
        <v>-0.5</v>
      </c>
      <c r="C28">
        <f>IF(Rules!$B$7=Rules!$E$7,MAX(Hit!C28,Stand!C28,Double!C28,Surrender!C28),MAX(Hit!C28,Stand!C28,Double!C28))</f>
        <v>-0.5</v>
      </c>
      <c r="D28">
        <f>IF(Rules!$B$7=Rules!$E$7,MAX(Hit!D28,Stand!D28,Double!D28,Surrender!D28),MAX(Hit!D28,Stand!D28,Double!D28))</f>
        <v>-0.5</v>
      </c>
      <c r="E28">
        <f>IF(Rules!$B$7=Rules!$E$7,MAX(Hit!E28,Stand!E28,Double!E28,Surrender!E28),MAX(Hit!E28,Stand!E28,Double!E28))</f>
        <v>-0.5</v>
      </c>
      <c r="F28">
        <f>IF(Rules!$B$7=Rules!$E$7,MAX(Hit!F28,Stand!F28,Double!F28,Surrender!F28),MAX(Hit!F28,Stand!F28,Double!F28))</f>
        <v>-0.5</v>
      </c>
      <c r="G28">
        <f>IF(Rules!$B$7=Rules!$E$7,MAX(Hit!G28,Stand!G28,Double!G28,Surrender!G28),MAX(Hit!G28,Stand!G28,Double!G28))</f>
        <v>-0.5</v>
      </c>
      <c r="H28">
        <f>IF(Rules!$B$7=Rules!$E$7,MAX(Hit!H28,Stand!H28,Double!H28,Surrender!H28),MAX(Hit!H28,Stand!H28,Double!H28))</f>
        <v>-0.5</v>
      </c>
      <c r="I28">
        <f>IF(Rules!$B$7=Rules!$E$7,MAX(Hit!I28,Stand!I28,Double!I28,Surrender!I28),MAX(Hit!I28,Stand!I28,Double!I28))</f>
        <v>-0.5</v>
      </c>
      <c r="J28">
        <f>IF(Rules!$B$7=Rules!$E$7,MAX(Hit!J28,Stand!J28,Double!J28,Surrender!J28),MAX(Hit!J28,Stand!J28,Double!J28))</f>
        <v>-0.5</v>
      </c>
      <c r="K28">
        <f>IF(Rules!$B$7=Rules!$E$7,MAX(Hit!K28,Stand!K28,Double!K28,Surrender!K28),MAX(Hit!K28,Stand!K28,Double!K28))</f>
        <v>-0.5</v>
      </c>
      <c r="N28" s="31">
        <v>28</v>
      </c>
      <c r="O28" s="31" t="str">
        <f>IF(B28=Surrender!B28,"R",HSD!O28)</f>
        <v>R</v>
      </c>
      <c r="P28" s="31" t="str">
        <f>IF(C28=Surrender!C28,"R",HSD!P28)</f>
        <v>R</v>
      </c>
      <c r="Q28" s="31" t="str">
        <f>IF(D28=Surrender!D28,"R",HSD!Q28)</f>
        <v>R</v>
      </c>
      <c r="R28" s="31" t="str">
        <f>IF(E28=Surrender!E28,"R",HSD!R28)</f>
        <v>R</v>
      </c>
      <c r="S28" s="31" t="str">
        <f>IF(F28=Surrender!F28,"R",HSD!S28)</f>
        <v>R</v>
      </c>
      <c r="T28" s="31" t="str">
        <f>IF(G28=Surrender!G28,"R",HSD!T28)</f>
        <v>R</v>
      </c>
      <c r="U28" s="31" t="str">
        <f>IF(H28=Surrender!H28,"R",HSD!U28)</f>
        <v>R</v>
      </c>
      <c r="V28" s="31" t="str">
        <f>IF(I28=Surrender!I28,"R",HSD!V28)</f>
        <v>R</v>
      </c>
      <c r="W28" s="31" t="str">
        <f>IF(J28=Surrender!J28,"R",HSD!W28)</f>
        <v>R</v>
      </c>
      <c r="X28" s="31" t="str">
        <f>IF(K28=Surrender!K28,"R",HSD!X28)</f>
        <v>R</v>
      </c>
    </row>
    <row r="29" spans="1:24" x14ac:dyDescent="0.2">
      <c r="A29">
        <v>29</v>
      </c>
      <c r="B29">
        <f>IF(AND(Rules!$B$8=Rules!$E$8,Rules!$B$7=Rules!$E$7),MAX(Hit!B29,Stand!B29,Double!B29,Surrender!B29),MAX(Hit!B29,Stand!B29,Double!B29))</f>
        <v>-0.5</v>
      </c>
      <c r="C29">
        <f>IF(Rules!$B$7=Rules!$E$7,MAX(Hit!C29,Stand!C29,Double!C29,Surrender!C29),MAX(Hit!C29,Stand!C29,Double!C29))</f>
        <v>-0.5</v>
      </c>
      <c r="D29">
        <f>IF(Rules!$B$7=Rules!$E$7,MAX(Hit!D29,Stand!D29,Double!D29,Surrender!D29),MAX(Hit!D29,Stand!D29,Double!D29))</f>
        <v>-0.5</v>
      </c>
      <c r="E29">
        <f>IF(Rules!$B$7=Rules!$E$7,MAX(Hit!E29,Stand!E29,Double!E29,Surrender!E29),MAX(Hit!E29,Stand!E29,Double!E29))</f>
        <v>-0.5</v>
      </c>
      <c r="F29">
        <f>IF(Rules!$B$7=Rules!$E$7,MAX(Hit!F29,Stand!F29,Double!F29,Surrender!F29),MAX(Hit!F29,Stand!F29,Double!F29))</f>
        <v>-0.5</v>
      </c>
      <c r="G29">
        <f>IF(Rules!$B$7=Rules!$E$7,MAX(Hit!G29,Stand!G29,Double!G29,Surrender!G29),MAX(Hit!G29,Stand!G29,Double!G29))</f>
        <v>-0.5</v>
      </c>
      <c r="H29">
        <f>IF(Rules!$B$7=Rules!$E$7,MAX(Hit!H29,Stand!H29,Double!H29,Surrender!H29),MAX(Hit!H29,Stand!H29,Double!H29))</f>
        <v>-0.5</v>
      </c>
      <c r="I29">
        <f>IF(Rules!$B$7=Rules!$E$7,MAX(Hit!I29,Stand!I29,Double!I29,Surrender!I29),MAX(Hit!I29,Stand!I29,Double!I29))</f>
        <v>-0.5</v>
      </c>
      <c r="J29">
        <f>IF(Rules!$B$7=Rules!$E$7,MAX(Hit!J29,Stand!J29,Double!J29,Surrender!J29),MAX(Hit!J29,Stand!J29,Double!J29))</f>
        <v>-0.5</v>
      </c>
      <c r="K29">
        <f>IF(Rules!$B$7=Rules!$E$7,MAX(Hit!K29,Stand!K29,Double!K29,Surrender!K29),MAX(Hit!K29,Stand!K29,Double!K29))</f>
        <v>-0.5</v>
      </c>
      <c r="N29" s="31">
        <v>29</v>
      </c>
      <c r="O29" s="31" t="str">
        <f>IF(B29=Surrender!B29,"R",HSD!O29)</f>
        <v>R</v>
      </c>
      <c r="P29" s="31" t="str">
        <f>IF(C29=Surrender!C29,"R",HSD!P29)</f>
        <v>R</v>
      </c>
      <c r="Q29" s="31" t="str">
        <f>IF(D29=Surrender!D29,"R",HSD!Q29)</f>
        <v>R</v>
      </c>
      <c r="R29" s="31" t="str">
        <f>IF(E29=Surrender!E29,"R",HSD!R29)</f>
        <v>R</v>
      </c>
      <c r="S29" s="31" t="str">
        <f>IF(F29=Surrender!F29,"R",HSD!S29)</f>
        <v>R</v>
      </c>
      <c r="T29" s="31" t="str">
        <f>IF(G29=Surrender!G29,"R",HSD!T29)</f>
        <v>R</v>
      </c>
      <c r="U29" s="31" t="str">
        <f>IF(H29=Surrender!H29,"R",HSD!U29)</f>
        <v>R</v>
      </c>
      <c r="V29" s="31" t="str">
        <f>IF(I29=Surrender!I29,"R",HSD!V29)</f>
        <v>R</v>
      </c>
      <c r="W29" s="31" t="str">
        <f>IF(J29=Surrender!J29,"R",HSD!W29)</f>
        <v>R</v>
      </c>
      <c r="X29" s="31" t="str">
        <f>IF(K29=Surrender!K29,"R",HSD!X29)</f>
        <v>R</v>
      </c>
    </row>
    <row r="30" spans="1:24" x14ac:dyDescent="0.2">
      <c r="A30">
        <v>30</v>
      </c>
      <c r="B30">
        <f>IF(AND(Rules!$B$8=Rules!$E$8,Rules!$B$7=Rules!$E$7),MAX(Hit!B30,Stand!B30,Double!B30,Surrender!B30),MAX(Hit!B30,Stand!B30,Double!B30))</f>
        <v>-0.5</v>
      </c>
      <c r="C30">
        <f>IF(Rules!$B$7=Rules!$E$7,MAX(Hit!C30,Stand!C30,Double!C30,Surrender!C30),MAX(Hit!C30,Stand!C30,Double!C30))</f>
        <v>-0.5</v>
      </c>
      <c r="D30">
        <f>IF(Rules!$B$7=Rules!$E$7,MAX(Hit!D30,Stand!D30,Double!D30,Surrender!D30),MAX(Hit!D30,Stand!D30,Double!D30))</f>
        <v>-0.5</v>
      </c>
      <c r="E30">
        <f>IF(Rules!$B$7=Rules!$E$7,MAX(Hit!E30,Stand!E30,Double!E30,Surrender!E30),MAX(Hit!E30,Stand!E30,Double!E30))</f>
        <v>-0.5</v>
      </c>
      <c r="F30">
        <f>IF(Rules!$B$7=Rules!$E$7,MAX(Hit!F30,Stand!F30,Double!F30,Surrender!F30),MAX(Hit!F30,Stand!F30,Double!F30))</f>
        <v>-0.5</v>
      </c>
      <c r="G30">
        <f>IF(Rules!$B$7=Rules!$E$7,MAX(Hit!G30,Stand!G30,Double!G30,Surrender!G30),MAX(Hit!G30,Stand!G30,Double!G30))</f>
        <v>-0.5</v>
      </c>
      <c r="H30">
        <f>IF(Rules!$B$7=Rules!$E$7,MAX(Hit!H30,Stand!H30,Double!H30,Surrender!H30),MAX(Hit!H30,Stand!H30,Double!H30))</f>
        <v>-0.5</v>
      </c>
      <c r="I30">
        <f>IF(Rules!$B$7=Rules!$E$7,MAX(Hit!I30,Stand!I30,Double!I30,Surrender!I30),MAX(Hit!I30,Stand!I30,Double!I30))</f>
        <v>-0.5</v>
      </c>
      <c r="J30">
        <f>IF(Rules!$B$7=Rules!$E$7,MAX(Hit!J30,Stand!J30,Double!J30,Surrender!J30),MAX(Hit!J30,Stand!J30,Double!J30))</f>
        <v>-0.5</v>
      </c>
      <c r="K30">
        <f>IF(Rules!$B$7=Rules!$E$7,MAX(Hit!K30,Stand!K30,Double!K30,Surrender!K30),MAX(Hit!K30,Stand!K30,Double!K30))</f>
        <v>-0.5</v>
      </c>
      <c r="N30" s="31">
        <v>30</v>
      </c>
      <c r="O30" s="31" t="str">
        <f>IF(B30=Surrender!B30,"R",HSD!O30)</f>
        <v>R</v>
      </c>
      <c r="P30" s="31" t="str">
        <f>IF(C30=Surrender!C30,"R",HSD!P30)</f>
        <v>R</v>
      </c>
      <c r="Q30" s="31" t="str">
        <f>IF(D30=Surrender!D30,"R",HSD!Q30)</f>
        <v>R</v>
      </c>
      <c r="R30" s="31" t="str">
        <f>IF(E30=Surrender!E30,"R",HSD!R30)</f>
        <v>R</v>
      </c>
      <c r="S30" s="31" t="str">
        <f>IF(F30=Surrender!F30,"R",HSD!S30)</f>
        <v>R</v>
      </c>
      <c r="T30" s="31" t="str">
        <f>IF(G30=Surrender!G30,"R",HSD!T30)</f>
        <v>R</v>
      </c>
      <c r="U30" s="31" t="str">
        <f>IF(H30=Surrender!H30,"R",HSD!U30)</f>
        <v>R</v>
      </c>
      <c r="V30" s="31" t="str">
        <f>IF(I30=Surrender!I30,"R",HSD!V30)</f>
        <v>R</v>
      </c>
      <c r="W30" s="31" t="str">
        <f>IF(J30=Surrender!J30,"R",HSD!W30)</f>
        <v>R</v>
      </c>
      <c r="X30" s="31" t="str">
        <f>IF(K30=Surrender!K30,"R",HSD!X30)</f>
        <v>R</v>
      </c>
    </row>
    <row r="31" spans="1:24" x14ac:dyDescent="0.2">
      <c r="A31">
        <v>31</v>
      </c>
      <c r="B31">
        <f>IF(AND(Rules!$B$8=Rules!$E$8,Rules!$B$7=Rules!$E$7),MAX(Hit!B31,Stand!B31,Double!B31,Surrender!B31),MAX(Hit!B31,Stand!B31,Double!B31))</f>
        <v>-0.5</v>
      </c>
      <c r="C31">
        <f>IF(Rules!$B$7=Rules!$E$7,MAX(Hit!C31,Stand!C31,Double!C31,Surrender!C31),MAX(Hit!C31,Stand!C31,Double!C31))</f>
        <v>-0.5</v>
      </c>
      <c r="D31">
        <f>IF(Rules!$B$7=Rules!$E$7,MAX(Hit!D31,Stand!D31,Double!D31,Surrender!D31),MAX(Hit!D31,Stand!D31,Double!D31))</f>
        <v>-0.5</v>
      </c>
      <c r="E31">
        <f>IF(Rules!$B$7=Rules!$E$7,MAX(Hit!E31,Stand!E31,Double!E31,Surrender!E31),MAX(Hit!E31,Stand!E31,Double!E31))</f>
        <v>-0.5</v>
      </c>
      <c r="F31">
        <f>IF(Rules!$B$7=Rules!$E$7,MAX(Hit!F31,Stand!F31,Double!F31,Surrender!F31),MAX(Hit!F31,Stand!F31,Double!F31))</f>
        <v>-0.5</v>
      </c>
      <c r="G31">
        <f>IF(Rules!$B$7=Rules!$E$7,MAX(Hit!G31,Stand!G31,Double!G31,Surrender!G31),MAX(Hit!G31,Stand!G31,Double!G31))</f>
        <v>-0.5</v>
      </c>
      <c r="H31">
        <f>IF(Rules!$B$7=Rules!$E$7,MAX(Hit!H31,Stand!H31,Double!H31,Surrender!H31),MAX(Hit!H31,Stand!H31,Double!H31))</f>
        <v>-0.5</v>
      </c>
      <c r="I31">
        <f>IF(Rules!$B$7=Rules!$E$7,MAX(Hit!I31,Stand!I31,Double!I31,Surrender!I31),MAX(Hit!I31,Stand!I31,Double!I31))</f>
        <v>-0.5</v>
      </c>
      <c r="J31">
        <f>IF(Rules!$B$7=Rules!$E$7,MAX(Hit!J31,Stand!J31,Double!J31,Surrender!J31),MAX(Hit!J31,Stand!J31,Double!J31))</f>
        <v>-0.5</v>
      </c>
      <c r="K31">
        <f>IF(Rules!$B$7=Rules!$E$7,MAX(Hit!K31,Stand!K31,Double!K31,Surrender!K31),MAX(Hit!K31,Stand!K31,Double!K31))</f>
        <v>-0.5</v>
      </c>
      <c r="N31" s="31">
        <v>31</v>
      </c>
      <c r="O31" s="31" t="str">
        <f>IF(B31=Surrender!B31,"R",HSD!O31)</f>
        <v>R</v>
      </c>
      <c r="P31" s="31" t="str">
        <f>IF(C31=Surrender!C31,"R",HSD!P31)</f>
        <v>R</v>
      </c>
      <c r="Q31" s="31" t="str">
        <f>IF(D31=Surrender!D31,"R",HSD!Q31)</f>
        <v>R</v>
      </c>
      <c r="R31" s="31" t="str">
        <f>IF(E31=Surrender!E31,"R",HSD!R31)</f>
        <v>R</v>
      </c>
      <c r="S31" s="31" t="str">
        <f>IF(F31=Surrender!F31,"R",HSD!S31)</f>
        <v>R</v>
      </c>
      <c r="T31" s="31" t="str">
        <f>IF(G31=Surrender!G31,"R",HSD!T31)</f>
        <v>R</v>
      </c>
      <c r="U31" s="31" t="str">
        <f>IF(H31=Surrender!H31,"R",HSD!U31)</f>
        <v>R</v>
      </c>
      <c r="V31" s="31" t="str">
        <f>IF(I31=Surrender!I31,"R",HSD!V31)</f>
        <v>R</v>
      </c>
      <c r="W31" s="31" t="str">
        <f>IF(J31=Surrender!J31,"R",HSD!W31)</f>
        <v>R</v>
      </c>
      <c r="X31" s="31" t="str">
        <f>IF(K31=Surrender!K31,"R",HSD!X31)</f>
        <v>R</v>
      </c>
    </row>
    <row r="33" spans="1:24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N33" s="31" t="s">
        <v>4</v>
      </c>
      <c r="O33" s="31">
        <v>1</v>
      </c>
      <c r="P33" s="31">
        <v>2</v>
      </c>
      <c r="Q33" s="31">
        <v>3</v>
      </c>
      <c r="R33" s="31">
        <v>4</v>
      </c>
      <c r="S33" s="31">
        <v>5</v>
      </c>
      <c r="T33" s="31">
        <v>6</v>
      </c>
      <c r="U33" s="31">
        <v>7</v>
      </c>
      <c r="V33" s="31">
        <v>8</v>
      </c>
      <c r="W33" s="31">
        <v>9</v>
      </c>
      <c r="X33" s="31">
        <v>10</v>
      </c>
    </row>
    <row r="34" spans="1:24" x14ac:dyDescent="0.2">
      <c r="A34">
        <v>11</v>
      </c>
      <c r="B34">
        <f>IF(AND(Rules!$B$8=Rules!$E$8,Rules!$B$7=Rules!$E$7),MAX(Hit!B34,Stand!B34,Double!B34,Surrender!B34),MAX(Hit!B34,Stand!B34,Double!B34))</f>
        <v>0.29861942370404337</v>
      </c>
      <c r="C34">
        <f>IF(Rules!$B$7=Rules!$E$7,MAX(Hit!C34,Stand!C34,Double!C34,Surrender!C34),MAX(Hit!C34,Stand!C34,Double!C34))</f>
        <v>0.47064092333946894</v>
      </c>
      <c r="D34">
        <f>IF(Rules!$B$7=Rules!$E$7,MAX(Hit!D34,Stand!D34,Double!D34,Surrender!D34),MAX(Hit!D34,Stand!D34,Double!D34))</f>
        <v>0.51779525312221664</v>
      </c>
      <c r="E34">
        <f>IF(Rules!$B$7=Rules!$E$7,MAX(Hit!E34,Stand!E34,Double!E34,Surrender!E34),MAX(Hit!E34,Stand!E34,Double!E34))</f>
        <v>0.56604055041797596</v>
      </c>
      <c r="F34">
        <f>IF(Rules!$B$7=Rules!$E$7,MAX(Hit!F34,Stand!F34,Double!F34,Surrender!F34),MAX(Hit!F34,Stand!F34,Double!F34))</f>
        <v>0.61469901790902803</v>
      </c>
      <c r="G34">
        <f>IF(Rules!$B$7=Rules!$E$7,MAX(Hit!G34,Stand!G34,Double!G34,Surrender!G34),MAX(Hit!G34,Stand!G34,Double!G34))</f>
        <v>0.66738009490756944</v>
      </c>
      <c r="H34">
        <f>IF(Rules!$B$7=Rules!$E$7,MAX(Hit!H34,Stand!H34,Double!H34,Surrender!H34),MAX(Hit!H34,Stand!H34,Double!H34))</f>
        <v>0.46288894886429088</v>
      </c>
      <c r="I34">
        <f>IF(Rules!$B$7=Rules!$E$7,MAX(Hit!I34,Stand!I34,Double!I34,Surrender!I34),MAX(Hit!I34,Stand!I34,Double!I34))</f>
        <v>0.40074805174057648</v>
      </c>
      <c r="J34">
        <f>IF(Rules!$B$7=Rules!$E$7,MAX(Hit!J34,Stand!J34,Double!J34,Surrender!J34),MAX(Hit!J34,Stand!J34,Double!J34))</f>
        <v>0.32142328174266549</v>
      </c>
      <c r="K34">
        <f>IF(Rules!$B$7=Rules!$E$7,MAX(Hit!K34,Stand!K34,Double!K34,Surrender!K34),MAX(Hit!K34,Stand!K34,Double!K34))</f>
        <v>0.26400071601402691</v>
      </c>
      <c r="N34" s="31">
        <v>11</v>
      </c>
      <c r="O34" s="31" t="str">
        <f>IF(B34=Surrender!B34,"R",HSD!O34)</f>
        <v>H</v>
      </c>
      <c r="P34" s="31" t="str">
        <f>IF(C34=Surrender!C34,"R",HSD!P34)</f>
        <v>D</v>
      </c>
      <c r="Q34" s="31" t="str">
        <f>IF(D34=Surrender!D34,"R",HSD!Q34)</f>
        <v>D</v>
      </c>
      <c r="R34" s="31" t="str">
        <f>IF(E34=Surrender!E34,"R",HSD!R34)</f>
        <v>D</v>
      </c>
      <c r="S34" s="31" t="str">
        <f>IF(F34=Surrender!F34,"R",HSD!S34)</f>
        <v>D</v>
      </c>
      <c r="T34" s="31" t="str">
        <f>IF(G34=Surrender!G34,"R",HSD!T34)</f>
        <v>D</v>
      </c>
      <c r="U34" s="31" t="str">
        <f>IF(H34=Surrender!H34,"R",HSD!U34)</f>
        <v>D</v>
      </c>
      <c r="V34" s="31" t="str">
        <f>IF(I34=Surrender!I34,"R",HSD!V34)</f>
        <v>H</v>
      </c>
      <c r="W34" s="31" t="str">
        <f>IF(J34=Surrender!J34,"R",HSD!W34)</f>
        <v>H</v>
      </c>
      <c r="X34" s="31" t="str">
        <f>IF(K34=Surrender!K34,"R",HSD!X34)</f>
        <v>H</v>
      </c>
    </row>
    <row r="35" spans="1:24" x14ac:dyDescent="0.2">
      <c r="A35">
        <v>12</v>
      </c>
      <c r="B35">
        <f>IF(AND(Rules!$B$8=Rules!$E$8,Rules!$B$7=Rules!$E$7),MAX(Hit!B35,Stand!B35,Double!B35,Surrender!B35),MAX(Hit!B35,Stand!B35,Double!B35))</f>
        <v>-2.0477877704912145E-2</v>
      </c>
      <c r="C35">
        <f>IF(Rules!$B$7=Rules!$E$7,MAX(Hit!C35,Stand!C35,Double!C35,Surrender!C35),MAX(Hit!C35,Stand!C35,Double!C35))</f>
        <v>8.1836216051656044E-2</v>
      </c>
      <c r="D35">
        <f>IF(Rules!$B$7=Rules!$E$7,MAX(Hit!D35,Stand!D35,Double!D35,Surrender!D35),MAX(Hit!D35,Stand!D35,Double!D35))</f>
        <v>0.10350704654207775</v>
      </c>
      <c r="E35">
        <f>IF(Rules!$B$7=Rules!$E$7,MAX(Hit!E35,Stand!E35,Double!E35,Surrender!E35),MAX(Hit!E35,Stand!E35,Double!E35))</f>
        <v>0.12659562809256977</v>
      </c>
      <c r="F35">
        <f>IF(Rules!$B$7=Rules!$E$7,MAX(Hit!F35,Stand!F35,Double!F35,Surrender!F35),MAX(Hit!F35,Stand!F35,Double!F35))</f>
        <v>0.15648238458465519</v>
      </c>
      <c r="G35">
        <f>IF(Rules!$B$7=Rules!$E$7,MAX(Hit!G35,Stand!G35,Double!G35,Surrender!G35),MAX(Hit!G35,Stand!G35,Double!G35))</f>
        <v>0.18595361333225549</v>
      </c>
      <c r="H35">
        <f>IF(Rules!$B$7=Rules!$E$7,MAX(Hit!H35,Stand!H35,Double!H35,Surrender!H35),MAX(Hit!H35,Stand!H35,Double!H35))</f>
        <v>0.16547293077063496</v>
      </c>
      <c r="I35">
        <f>IF(Rules!$B$7=Rules!$E$7,MAX(Hit!I35,Stand!I35,Double!I35,Surrender!I35),MAX(Hit!I35,Stand!I35,Double!I35))</f>
        <v>9.5115020927032265E-2</v>
      </c>
      <c r="J35">
        <f>IF(Rules!$B$7=Rules!$E$7,MAX(Hit!J35,Stand!J35,Double!J35,Surrender!J35),MAX(Hit!J35,Stand!J35,Double!J35))</f>
        <v>6.5790841226914386E-5</v>
      </c>
      <c r="K35">
        <f>IF(Rules!$B$7=Rules!$E$7,MAX(Hit!K35,Stand!K35,Double!K35,Surrender!K35),MAX(Hit!K35,Stand!K35,Double!K35))</f>
        <v>-7.0002397357964694E-2</v>
      </c>
      <c r="N35" s="31">
        <v>12</v>
      </c>
      <c r="O35" s="31" t="str">
        <f>IF(B35=Surrender!B35,"R",HSD!O35)</f>
        <v>H</v>
      </c>
      <c r="P35" s="31" t="str">
        <f>IF(C35=Surrender!C35,"R",HSD!P35)</f>
        <v>H</v>
      </c>
      <c r="Q35" s="31" t="str">
        <f>IF(D35=Surrender!D35,"R",HSD!Q35)</f>
        <v>H</v>
      </c>
      <c r="R35" s="31" t="str">
        <f>IF(E35=Surrender!E35,"R",HSD!R35)</f>
        <v>H</v>
      </c>
      <c r="S35" s="31" t="str">
        <f>IF(F35=Surrender!F35,"R",HSD!S35)</f>
        <v>H</v>
      </c>
      <c r="T35" s="31" t="str">
        <f>IF(G35=Surrender!G35,"R",HSD!T35)</f>
        <v>H</v>
      </c>
      <c r="U35" s="31" t="str">
        <f>IF(H35=Surrender!H35,"R",HSD!U35)</f>
        <v>H</v>
      </c>
      <c r="V35" s="31" t="str">
        <f>IF(I35=Surrender!I35,"R",HSD!V35)</f>
        <v>H</v>
      </c>
      <c r="W35" s="31" t="str">
        <f>IF(J35=Surrender!J35,"R",HSD!W35)</f>
        <v>H</v>
      </c>
      <c r="X35" s="31" t="str">
        <f>IF(K35=Surrender!K35,"R",HSD!X35)</f>
        <v>H</v>
      </c>
    </row>
    <row r="36" spans="1:24" x14ac:dyDescent="0.2">
      <c r="A36">
        <v>13</v>
      </c>
      <c r="B36">
        <f>IF(AND(Rules!$B$8=Rules!$E$8,Rules!$B$7=Rules!$E$7),MAX(Hit!B36,Stand!B36,Double!B36,Surrender!B36),MAX(Hit!B36,Stand!B36,Double!B36))</f>
        <v>-5.7308046666810254E-2</v>
      </c>
      <c r="C36">
        <f>IF(Rules!$B$7=Rules!$E$7,MAX(Hit!C36,Stand!C36,Double!C36,Surrender!C36),MAX(Hit!C36,Stand!C36,Double!C36))</f>
        <v>4.6636132695309578E-2</v>
      </c>
      <c r="D36">
        <f>IF(Rules!$B$7=Rules!$E$7,MAX(Hit!D36,Stand!D36,Double!D36,Surrender!D36),MAX(Hit!D36,Stand!D36,Double!D36))</f>
        <v>7.4118813392744051E-2</v>
      </c>
      <c r="E36">
        <f>IF(Rules!$B$7=Rules!$E$7,MAX(Hit!E36,Stand!E36,Double!E36,Surrender!E36),MAX(Hit!E36,Stand!E36,Double!E36))</f>
        <v>0.10247714687203523</v>
      </c>
      <c r="F36">
        <f>IF(Rules!$B$7=Rules!$E$7,MAX(Hit!F36,Stand!F36,Double!F36,Surrender!F36),MAX(Hit!F36,Stand!F36,Double!F36))</f>
        <v>0.13336273848321728</v>
      </c>
      <c r="G36">
        <f>IF(Rules!$B$7=Rules!$E$7,MAX(Hit!G36,Stand!G36,Double!G36,Surrender!G36),MAX(Hit!G36,Stand!G36,Double!G36))</f>
        <v>0.17974820582791512</v>
      </c>
      <c r="H36">
        <f>IF(Rules!$B$7=Rules!$E$7,MAX(Hit!H36,Stand!H36,Double!H36,Surrender!H36),MAX(Hit!H36,Stand!H36,Double!H36))</f>
        <v>0.12238569517899196</v>
      </c>
      <c r="I36">
        <f>IF(Rules!$B$7=Rules!$E$7,MAX(Hit!I36,Stand!I36,Double!I36,Surrender!I36),MAX(Hit!I36,Stand!I36,Double!I36))</f>
        <v>5.4057070196311299E-2</v>
      </c>
      <c r="J36">
        <f>IF(Rules!$B$7=Rules!$E$7,MAX(Hit!J36,Stand!J36,Double!J36,Surrender!J36),MAX(Hit!J36,Stand!J36,Double!J36))</f>
        <v>-3.7694688127479885E-2</v>
      </c>
      <c r="K36">
        <f>IF(Rules!$B$7=Rules!$E$7,MAX(Hit!K36,Stand!K36,Double!K36,Surrender!K36),MAX(Hit!K36,Stand!K36,Double!K36))</f>
        <v>-0.10485135840627779</v>
      </c>
      <c r="N36" s="31">
        <v>13</v>
      </c>
      <c r="O36" s="31" t="str">
        <f>IF(B36=Surrender!B36,"R",HSD!O36)</f>
        <v>H</v>
      </c>
      <c r="P36" s="31" t="str">
        <f>IF(C36=Surrender!C36,"R",HSD!P36)</f>
        <v>H</v>
      </c>
      <c r="Q36" s="31" t="str">
        <f>IF(D36=Surrender!D36,"R",HSD!Q36)</f>
        <v>H</v>
      </c>
      <c r="R36" s="31" t="str">
        <f>IF(E36=Surrender!E36,"R",HSD!R36)</f>
        <v>H</v>
      </c>
      <c r="S36" s="31" t="str">
        <f>IF(F36=Surrender!F36,"R",HSD!S36)</f>
        <v>H</v>
      </c>
      <c r="T36" s="31" t="str">
        <f>IF(G36=Surrender!G36,"R",HSD!T36)</f>
        <v>D</v>
      </c>
      <c r="U36" s="31" t="str">
        <f>IF(H36=Surrender!H36,"R",HSD!U36)</f>
        <v>H</v>
      </c>
      <c r="V36" s="31" t="str">
        <f>IF(I36=Surrender!I36,"R",HSD!V36)</f>
        <v>H</v>
      </c>
      <c r="W36" s="31" t="str">
        <f>IF(J36=Surrender!J36,"R",HSD!W36)</f>
        <v>H</v>
      </c>
      <c r="X36" s="31" t="str">
        <f>IF(K36=Surrender!K36,"R",HSD!X36)</f>
        <v>H</v>
      </c>
    </row>
    <row r="37" spans="1:24" x14ac:dyDescent="0.2">
      <c r="A37">
        <v>14</v>
      </c>
      <c r="B37">
        <f>IF(AND(Rules!$B$8=Rules!$E$8,Rules!$B$7=Rules!$E$7),MAX(Hit!B37,Stand!B37,Double!B37,Surrender!B37),MAX(Hit!B37,Stand!B37,Double!B37))</f>
        <v>-9.3874324768310105E-2</v>
      </c>
      <c r="C37">
        <f>IF(Rules!$B$7=Rules!$E$7,MAX(Hit!C37,Stand!C37,Double!C37,Surrender!C37),MAX(Hit!C37,Stand!C37,Double!C37))</f>
        <v>2.2391856987839083E-2</v>
      </c>
      <c r="D37">
        <f>IF(Rules!$B$7=Rules!$E$7,MAX(Hit!D37,Stand!D37,Double!D37,Surrender!D37),MAX(Hit!D37,Stand!D37,Double!D37))</f>
        <v>5.0806738919282814E-2</v>
      </c>
      <c r="E37">
        <f>IF(Rules!$B$7=Rules!$E$7,MAX(Hit!E37,Stand!E37,Double!E37,Surrender!E37),MAX(Hit!E37,Stand!E37,Double!E37))</f>
        <v>8.0081414310110233E-2</v>
      </c>
      <c r="F37">
        <f>IF(Rules!$B$7=Rules!$E$7,MAX(Hit!F37,Stand!F37,Double!F37,Surrender!F37),MAX(Hit!F37,Stand!F37,Double!F37))</f>
        <v>0.12595448524867925</v>
      </c>
      <c r="G37">
        <f>IF(Rules!$B$7=Rules!$E$7,MAX(Hit!G37,Stand!G37,Double!G37,Surrender!G37),MAX(Hit!G37,Stand!G37,Double!G37))</f>
        <v>0.17974820582791512</v>
      </c>
      <c r="H37">
        <f>IF(Rules!$B$7=Rules!$E$7,MAX(Hit!H37,Stand!H37,Double!H37,Surrender!H37),MAX(Hit!H37,Stand!H37,Double!H37))</f>
        <v>7.9507488494468148E-2</v>
      </c>
      <c r="I37">
        <f>IF(Rules!$B$7=Rules!$E$7,MAX(Hit!I37,Stand!I37,Double!I37,Surrender!I37),MAX(Hit!I37,Stand!I37,Double!I37))</f>
        <v>1.3277219463208444E-2</v>
      </c>
      <c r="J37">
        <f>IF(Rules!$B$7=Rules!$E$7,MAX(Hit!J37,Stand!J37,Double!J37,Surrender!J37),MAX(Hit!J37,Stand!J37,Double!J37))</f>
        <v>-7.516318944168382E-2</v>
      </c>
      <c r="K37">
        <f>IF(Rules!$B$7=Rules!$E$7,MAX(Hit!K37,Stand!K37,Double!K37,Surrender!K37),MAX(Hit!K37,Stand!K37,Double!K37))</f>
        <v>-0.13946678217545452</v>
      </c>
      <c r="N37" s="31">
        <v>14</v>
      </c>
      <c r="O37" s="31" t="str">
        <f>IF(B37=Surrender!B37,"R",HSD!O37)</f>
        <v>H</v>
      </c>
      <c r="P37" s="31" t="str">
        <f>IF(C37=Surrender!C37,"R",HSD!P37)</f>
        <v>H</v>
      </c>
      <c r="Q37" s="31" t="str">
        <f>IF(D37=Surrender!D37,"R",HSD!Q37)</f>
        <v>H</v>
      </c>
      <c r="R37" s="31" t="str">
        <f>IF(E37=Surrender!E37,"R",HSD!R37)</f>
        <v>H</v>
      </c>
      <c r="S37" s="31" t="str">
        <f>IF(F37=Surrender!F37,"R",HSD!S37)</f>
        <v>D</v>
      </c>
      <c r="T37" s="31" t="str">
        <f>IF(G37=Surrender!G37,"R",HSD!T37)</f>
        <v>D</v>
      </c>
      <c r="U37" s="31" t="str">
        <f>IF(H37=Surrender!H37,"R",HSD!U37)</f>
        <v>H</v>
      </c>
      <c r="V37" s="31" t="str">
        <f>IF(I37=Surrender!I37,"R",HSD!V37)</f>
        <v>H</v>
      </c>
      <c r="W37" s="31" t="str">
        <f>IF(J37=Surrender!J37,"R",HSD!W37)</f>
        <v>H</v>
      </c>
      <c r="X37" s="31" t="str">
        <f>IF(K37=Surrender!K37,"R",HSD!X37)</f>
        <v>H</v>
      </c>
    </row>
    <row r="38" spans="1:24" x14ac:dyDescent="0.2">
      <c r="A38">
        <v>15</v>
      </c>
      <c r="B38">
        <f>IF(AND(Rules!$B$8=Rules!$E$8,Rules!$B$7=Rules!$E$7),MAX(Hit!B38,Stand!B38,Double!B38,Surrender!B38),MAX(Hit!B38,Stand!B38,Double!B38))</f>
        <v>-0.13002650167843849</v>
      </c>
      <c r="C38">
        <f>IF(Rules!$B$7=Rules!$E$7,MAX(Hit!C38,Stand!C38,Double!C38,Surrender!C38),MAX(Hit!C38,Stand!C38,Double!C38))</f>
        <v>-1.2068474052636583E-4</v>
      </c>
      <c r="D38">
        <f>IF(Rules!$B$7=Rules!$E$7,MAX(Hit!D38,Stand!D38,Double!D38,Surrender!D38),MAX(Hit!D38,Stand!D38,Double!D38))</f>
        <v>2.9159812622497363E-2</v>
      </c>
      <c r="E38">
        <f>IF(Rules!$B$7=Rules!$E$7,MAX(Hit!E38,Stand!E38,Double!E38,Surrender!E38),MAX(Hit!E38,Stand!E38,Double!E38))</f>
        <v>5.9285376931179926E-2</v>
      </c>
      <c r="F38">
        <f>IF(Rules!$B$7=Rules!$E$7,MAX(Hit!F38,Stand!F38,Double!F38,Surrender!F38),MAX(Hit!F38,Stand!F38,Double!F38))</f>
        <v>0.12595448524867925</v>
      </c>
      <c r="G38">
        <f>IF(Rules!$B$7=Rules!$E$7,MAX(Hit!G38,Stand!G38,Double!G38,Surrender!G38),MAX(Hit!G38,Stand!G38,Double!G38))</f>
        <v>0.17974820582791512</v>
      </c>
      <c r="H38">
        <f>IF(Rules!$B$7=Rules!$E$7,MAX(Hit!H38,Stand!H38,Double!H38,Surrender!H38),MAX(Hit!H38,Stand!H38,Double!H38))</f>
        <v>3.7028282279269235E-2</v>
      </c>
      <c r="I38">
        <f>IF(Rules!$B$7=Rules!$E$7,MAX(Hit!I38,Stand!I38,Double!I38,Surrender!I38),MAX(Hit!I38,Stand!I38,Double!I38))</f>
        <v>-2.7054780502901672E-2</v>
      </c>
      <c r="J38">
        <f>IF(Rules!$B$7=Rules!$E$7,MAX(Hit!J38,Stand!J38,Double!J38,Surrender!J38),MAX(Hit!J38,Stand!J38,Double!J38))</f>
        <v>-0.11218876868994289</v>
      </c>
      <c r="K38">
        <f>IF(Rules!$B$7=Rules!$E$7,MAX(Hit!K38,Stand!K38,Double!K38,Surrender!K38),MAX(Hit!K38,Stand!K38,Double!K38))</f>
        <v>-0.17370423031226784</v>
      </c>
      <c r="N38" s="31">
        <v>15</v>
      </c>
      <c r="O38" s="31" t="str">
        <f>IF(B38=Surrender!B38,"R",HSD!O38)</f>
        <v>H</v>
      </c>
      <c r="P38" s="31" t="str">
        <f>IF(C38=Surrender!C38,"R",HSD!P38)</f>
        <v>H</v>
      </c>
      <c r="Q38" s="31" t="str">
        <f>IF(D38=Surrender!D38,"R",HSD!Q38)</f>
        <v>H</v>
      </c>
      <c r="R38" s="31" t="str">
        <f>IF(E38=Surrender!E38,"R",HSD!R38)</f>
        <v>H</v>
      </c>
      <c r="S38" s="31" t="str">
        <f>IF(F38=Surrender!F38,"R",HSD!S38)</f>
        <v>D</v>
      </c>
      <c r="T38" s="31" t="str">
        <f>IF(G38=Surrender!G38,"R",HSD!T38)</f>
        <v>D</v>
      </c>
      <c r="U38" s="31" t="str">
        <f>IF(H38=Surrender!H38,"R",HSD!U38)</f>
        <v>H</v>
      </c>
      <c r="V38" s="31" t="str">
        <f>IF(I38=Surrender!I38,"R",HSD!V38)</f>
        <v>H</v>
      </c>
      <c r="W38" s="31" t="str">
        <f>IF(J38=Surrender!J38,"R",HSD!W38)</f>
        <v>H</v>
      </c>
      <c r="X38" s="31" t="str">
        <f>IF(K38=Surrender!K38,"R",HSD!X38)</f>
        <v>H</v>
      </c>
    </row>
    <row r="39" spans="1:24" x14ac:dyDescent="0.2">
      <c r="A39">
        <v>16</v>
      </c>
      <c r="B39">
        <f>IF(AND(Rules!$B$8=Rules!$E$8,Rules!$B$7=Rules!$E$7),MAX(Hit!B39,Stand!B39,Double!B39,Surrender!B39),MAX(Hit!B39,Stand!B39,Double!B39))</f>
        <v>-0.16563717206687348</v>
      </c>
      <c r="C39">
        <f>IF(Rules!$B$7=Rules!$E$7,MAX(Hit!C39,Stand!C39,Double!C39,Surrender!C39),MAX(Hit!C39,Stand!C39,Double!C39))</f>
        <v>-2.1025187774008566E-2</v>
      </c>
      <c r="D39">
        <f>IF(Rules!$B$7=Rules!$E$7,MAX(Hit!D39,Stand!D39,Double!D39,Surrender!D39),MAX(Hit!D39,Stand!D39,Double!D39))</f>
        <v>9.0590953469108244E-3</v>
      </c>
      <c r="E39">
        <f>IF(Rules!$B$7=Rules!$E$7,MAX(Hit!E39,Stand!E39,Double!E39,Surrender!E39),MAX(Hit!E39,Stand!E39,Double!E39))</f>
        <v>5.8426518743744951E-2</v>
      </c>
      <c r="F39">
        <f>IF(Rules!$B$7=Rules!$E$7,MAX(Hit!F39,Stand!F39,Double!F39,Surrender!F39),MAX(Hit!F39,Stand!F39,Double!F39))</f>
        <v>0.12595448524867925</v>
      </c>
      <c r="G39">
        <f>IF(Rules!$B$7=Rules!$E$7,MAX(Hit!G39,Stand!G39,Double!G39,Surrender!G39),MAX(Hit!G39,Stand!G39,Double!G39))</f>
        <v>0.17974820582791512</v>
      </c>
      <c r="H39">
        <f>IF(Rules!$B$7=Rules!$E$7,MAX(Hit!H39,Stand!H39,Double!H39,Surrender!H39),MAX(Hit!H39,Stand!H39,Double!H39))</f>
        <v>-4.8901571730158942E-3</v>
      </c>
      <c r="I39">
        <f>IF(Rules!$B$7=Rules!$E$7,MAX(Hit!I39,Stand!I39,Double!I39,Surrender!I39),MAX(Hit!I39,Stand!I39,Double!I39))</f>
        <v>-6.6794847920094103E-2</v>
      </c>
      <c r="J39">
        <f>IF(Rules!$B$7=Rules!$E$7,MAX(Hit!J39,Stand!J39,Double!J39,Surrender!J39),MAX(Hit!J39,Stand!J39,Double!J39))</f>
        <v>-0.14864353463007471</v>
      </c>
      <c r="K39">
        <f>IF(Rules!$B$7=Rules!$E$7,MAX(Hit!K39,Stand!K39,Double!K39,Surrender!K39),MAX(Hit!K39,Stand!K39,Double!K39))</f>
        <v>-0.20744109003068206</v>
      </c>
      <c r="N39" s="31">
        <v>16</v>
      </c>
      <c r="O39" s="31" t="str">
        <f>IF(B39=Surrender!B39,"R",HSD!O39)</f>
        <v>H</v>
      </c>
      <c r="P39" s="31" t="str">
        <f>IF(C39=Surrender!C39,"R",HSD!P39)</f>
        <v>H</v>
      </c>
      <c r="Q39" s="31" t="str">
        <f>IF(D39=Surrender!D39,"R",HSD!Q39)</f>
        <v>H</v>
      </c>
      <c r="R39" s="31" t="str">
        <f>IF(E39=Surrender!E39,"R",HSD!R39)</f>
        <v>D</v>
      </c>
      <c r="S39" s="31" t="str">
        <f>IF(F39=Surrender!F39,"R",HSD!S39)</f>
        <v>D</v>
      </c>
      <c r="T39" s="31" t="str">
        <f>IF(G39=Surrender!G39,"R",HSD!T39)</f>
        <v>D</v>
      </c>
      <c r="U39" s="31" t="str">
        <f>IF(H39=Surrender!H39,"R",HSD!U39)</f>
        <v>H</v>
      </c>
      <c r="V39" s="31" t="str">
        <f>IF(I39=Surrender!I39,"R",HSD!V39)</f>
        <v>H</v>
      </c>
      <c r="W39" s="31" t="str">
        <f>IF(J39=Surrender!J39,"R",HSD!W39)</f>
        <v>H</v>
      </c>
      <c r="X39" s="31" t="str">
        <f>IF(K39=Surrender!K39,"R",HSD!X39)</f>
        <v>H</v>
      </c>
    </row>
    <row r="40" spans="1:24" x14ac:dyDescent="0.2">
      <c r="A40">
        <v>17</v>
      </c>
      <c r="B40">
        <f>IF(AND(Rules!$B$8=Rules!$E$8,Rules!$B$7=Rules!$E$7),MAX(Hit!B40,Stand!B40,Double!B40,Surrender!B40),MAX(Hit!B40,Stand!B40,Double!B40))</f>
        <v>-0.17956936979241733</v>
      </c>
      <c r="C40">
        <f>IF(Rules!$B$7=Rules!$E$7,MAX(Hit!C40,Stand!C40,Double!C40,Surrender!C40),MAX(Hit!C40,Stand!C40,Double!C40))</f>
        <v>-4.9104358288912882E-4</v>
      </c>
      <c r="D40">
        <f>IF(Rules!$B$7=Rules!$E$7,MAX(Hit!D40,Stand!D40,Double!D40,Surrender!D40),MAX(Hit!D40,Stand!D40,Double!D40))</f>
        <v>5.5095284479298338E-2</v>
      </c>
      <c r="E40">
        <f>IF(Rules!$B$7=Rules!$E$7,MAX(Hit!E40,Stand!E40,Double!E40,Surrender!E40),MAX(Hit!E40,Stand!E40,Double!E40))</f>
        <v>0.11865255067432869</v>
      </c>
      <c r="F40">
        <f>IF(Rules!$B$7=Rules!$E$7,MAX(Hit!F40,Stand!F40,Double!F40,Surrender!F40),MAX(Hit!F40,Stand!F40,Double!F40))</f>
        <v>0.18237815537354879</v>
      </c>
      <c r="G40">
        <f>IF(Rules!$B$7=Rules!$E$7,MAX(Hit!G40,Stand!G40,Double!G40,Surrender!G40),MAX(Hit!G40,Stand!G40,Double!G40))</f>
        <v>0.2561042872909981</v>
      </c>
      <c r="H40">
        <f>IF(Rules!$B$7=Rules!$E$7,MAX(Hit!H40,Stand!H40,Double!H40,Surrender!H40),MAX(Hit!H40,Stand!H40,Double!H40))</f>
        <v>5.3823463716116654E-2</v>
      </c>
      <c r="I40">
        <f>IF(Rules!$B$7=Rules!$E$7,MAX(Hit!I40,Stand!I40,Double!I40,Surrender!I40),MAX(Hit!I40,Stand!I40,Double!I40))</f>
        <v>-7.2915398729642075E-2</v>
      </c>
      <c r="J40">
        <f>IF(Rules!$B$7=Rules!$E$7,MAX(Hit!J40,Stand!J40,Double!J40,Surrender!J40),MAX(Hit!J40,Stand!J40,Double!J40))</f>
        <v>-0.1497868921821332</v>
      </c>
      <c r="K40">
        <f>IF(Rules!$B$7=Rules!$E$7,MAX(Hit!K40,Stand!K40,Double!K40,Surrender!K40),MAX(Hit!K40,Stand!K40,Double!K40))</f>
        <v>-0.19686697623363469</v>
      </c>
      <c r="N40" s="31">
        <v>17</v>
      </c>
      <c r="O40" s="31" t="str">
        <f>IF(B40=Surrender!B40,"R",HSD!O40)</f>
        <v>H</v>
      </c>
      <c r="P40" s="31" t="str">
        <f>IF(C40=Surrender!C40,"R",HSD!P40)</f>
        <v>H</v>
      </c>
      <c r="Q40" s="31" t="str">
        <f>IF(D40=Surrender!D40,"R",HSD!Q40)</f>
        <v>D</v>
      </c>
      <c r="R40" s="31" t="str">
        <f>IF(E40=Surrender!E40,"R",HSD!R40)</f>
        <v>D</v>
      </c>
      <c r="S40" s="31" t="str">
        <f>IF(F40=Surrender!F40,"R",HSD!S40)</f>
        <v>D</v>
      </c>
      <c r="T40" s="31" t="str">
        <f>IF(G40=Surrender!G40,"R",HSD!T40)</f>
        <v>D</v>
      </c>
      <c r="U40" s="31" t="str">
        <f>IF(H40=Surrender!H40,"R",HSD!U40)</f>
        <v>H</v>
      </c>
      <c r="V40" s="31" t="str">
        <f>IF(I40=Surrender!I40,"R",HSD!V40)</f>
        <v>H</v>
      </c>
      <c r="W40" s="31" t="str">
        <f>IF(J40=Surrender!J40,"R",HSD!W40)</f>
        <v>H</v>
      </c>
      <c r="X40" s="31" t="str">
        <f>IF(K40=Surrender!K40,"R",HSD!X40)</f>
        <v>H</v>
      </c>
    </row>
    <row r="41" spans="1:24" x14ac:dyDescent="0.2">
      <c r="A41">
        <v>18</v>
      </c>
      <c r="B41">
        <f>IF(AND(Rules!$B$8=Rules!$E$8,Rules!$B$7=Rules!$E$7),MAX(Hit!B41,Stand!B41,Double!B41,Surrender!B41),MAX(Hit!B41,Stand!B41,Double!B41))</f>
        <v>-9.2935491769284034E-2</v>
      </c>
      <c r="C41">
        <f>IF(Rules!$B$7=Rules!$E$7,MAX(Hit!C41,Stand!C41,Double!C41,Surrender!C41),MAX(Hit!C41,Stand!C41,Double!C41))</f>
        <v>0.12174190222088771</v>
      </c>
      <c r="D41">
        <f>IF(Rules!$B$7=Rules!$E$7,MAX(Hit!D41,Stand!D41,Double!D41,Surrender!D41),MAX(Hit!D41,Stand!D41,Double!D41))</f>
        <v>0.17764127567893753</v>
      </c>
      <c r="E41">
        <f>IF(Rules!$B$7=Rules!$E$7,MAX(Hit!E41,Stand!E41,Double!E41,Surrender!E41),MAX(Hit!E41,Stand!E41,Double!E41))</f>
        <v>0.23700384775562167</v>
      </c>
      <c r="F41">
        <f>IF(Rules!$B$7=Rules!$E$7,MAX(Hit!F41,Stand!F41,Double!F41,Surrender!F41),MAX(Hit!F41,Stand!F41,Double!F41))</f>
        <v>0.29522549562328804</v>
      </c>
      <c r="G41">
        <f>IF(Rules!$B$7=Rules!$E$7,MAX(Hit!G41,Stand!G41,Double!G41,Surrender!G41),MAX(Hit!G41,Stand!G41,Double!G41))</f>
        <v>0.38150648207879345</v>
      </c>
      <c r="H41">
        <f>IF(Rules!$B$7=Rules!$E$7,MAX(Hit!H41,Stand!H41,Double!H41,Surrender!H41),MAX(Hit!H41,Stand!H41,Double!H41))</f>
        <v>0.3995541673365518</v>
      </c>
      <c r="I41">
        <f>IF(Rules!$B$7=Rules!$E$7,MAX(Hit!I41,Stand!I41,Double!I41,Surrender!I41),MAX(Hit!I41,Stand!I41,Double!I41))</f>
        <v>0.10595134861912359</v>
      </c>
      <c r="J41">
        <f>IF(Rules!$B$7=Rules!$E$7,MAX(Hit!J41,Stand!J41,Double!J41,Surrender!J41),MAX(Hit!J41,Stand!J41,Double!J41))</f>
        <v>-0.10074430758041522</v>
      </c>
      <c r="K41">
        <f>IF(Rules!$B$7=Rules!$E$7,MAX(Hit!K41,Stand!K41,Double!K41,Surrender!K41),MAX(Hit!K41,Stand!K41,Double!K41))</f>
        <v>-0.14380812317405353</v>
      </c>
      <c r="N41" s="31">
        <v>18</v>
      </c>
      <c r="O41" s="31" t="str">
        <f>IF(B41=Surrender!B41,"R",HSD!O41)</f>
        <v>H</v>
      </c>
      <c r="P41" s="31" t="str">
        <f>IF(C41=Surrender!C41,"R",HSD!P41)</f>
        <v>S</v>
      </c>
      <c r="Q41" s="31" t="str">
        <f>IF(D41=Surrender!D41,"R",HSD!Q41)</f>
        <v>D</v>
      </c>
      <c r="R41" s="31" t="str">
        <f>IF(E41=Surrender!E41,"R",HSD!R41)</f>
        <v>D</v>
      </c>
      <c r="S41" s="31" t="str">
        <f>IF(F41=Surrender!F41,"R",HSD!S41)</f>
        <v>D</v>
      </c>
      <c r="T41" s="31" t="str">
        <f>IF(G41=Surrender!G41,"R",HSD!T41)</f>
        <v>D</v>
      </c>
      <c r="U41" s="31" t="str">
        <f>IF(H41=Surrender!H41,"R",HSD!U41)</f>
        <v>S</v>
      </c>
      <c r="V41" s="31" t="str">
        <f>IF(I41=Surrender!I41,"R",HSD!V41)</f>
        <v>S</v>
      </c>
      <c r="W41" s="31" t="str">
        <f>IF(J41=Surrender!J41,"R",HSD!W41)</f>
        <v>H</v>
      </c>
      <c r="X41" s="31" t="str">
        <f>IF(K41=Surrender!K41,"R",HSD!X41)</f>
        <v>H</v>
      </c>
    </row>
    <row r="42" spans="1:24" x14ac:dyDescent="0.2">
      <c r="A42">
        <v>19</v>
      </c>
      <c r="B42">
        <f>IF(AND(Rules!$B$8=Rules!$E$8,Rules!$B$7=Rules!$E$7),MAX(Hit!B42,Stand!B42,Double!B42,Surrender!B42),MAX(Hit!B42,Stand!B42,Double!B42))</f>
        <v>0.27763572376835594</v>
      </c>
      <c r="C42">
        <f>IF(Rules!$B$7=Rules!$E$7,MAX(Hit!C42,Stand!C42,Double!C42,Surrender!C42),MAX(Hit!C42,Stand!C42,Double!C42))</f>
        <v>0.38630468602058993</v>
      </c>
      <c r="D42">
        <f>IF(Rules!$B$7=Rules!$E$7,MAX(Hit!D42,Stand!D42,Double!D42,Surrender!D42),MAX(Hit!D42,Stand!D42,Double!D42))</f>
        <v>0.4043629365977599</v>
      </c>
      <c r="E42">
        <f>IF(Rules!$B$7=Rules!$E$7,MAX(Hit!E42,Stand!E42,Double!E42,Surrender!E42),MAX(Hit!E42,Stand!E42,Double!E42))</f>
        <v>0.42317892482749653</v>
      </c>
      <c r="F42">
        <f>IF(Rules!$B$7=Rules!$E$7,MAX(Hit!F42,Stand!F42,Double!F42,Surrender!F42),MAX(Hit!F42,Stand!F42,Double!F42))</f>
        <v>0.43951210416088371</v>
      </c>
      <c r="G42">
        <f>IF(Rules!$B$7=Rules!$E$7,MAX(Hit!G42,Stand!G42,Double!G42,Surrender!G42),MAX(Hit!G42,Stand!G42,Double!G42))</f>
        <v>0.49597707378731914</v>
      </c>
      <c r="H42">
        <f>IF(Rules!$B$7=Rules!$E$7,MAX(Hit!H42,Stand!H42,Double!H42,Surrender!H42),MAX(Hit!H42,Stand!H42,Double!H42))</f>
        <v>0.6159764957534315</v>
      </c>
      <c r="I42">
        <f>IF(Rules!$B$7=Rules!$E$7,MAX(Hit!I42,Stand!I42,Double!I42,Surrender!I42),MAX(Hit!I42,Stand!I42,Double!I42))</f>
        <v>0.59385366828669439</v>
      </c>
      <c r="J42">
        <f>IF(Rules!$B$7=Rules!$E$7,MAX(Hit!J42,Stand!J42,Double!J42,Surrender!J42),MAX(Hit!J42,Stand!J42,Double!J42))</f>
        <v>0.28759675706758148</v>
      </c>
      <c r="K42">
        <f>IF(Rules!$B$7=Rules!$E$7,MAX(Hit!K42,Stand!K42,Double!K42,Surrender!K42),MAX(Hit!K42,Stand!K42,Double!K42))</f>
        <v>6.3118166335840831E-2</v>
      </c>
      <c r="N42" s="31">
        <v>19</v>
      </c>
      <c r="O42" s="31" t="str">
        <f>IF(B42=Surrender!B42,"R",HSD!O42)</f>
        <v>S</v>
      </c>
      <c r="P42" s="31" t="str">
        <f>IF(C42=Surrender!C42,"R",HSD!P42)</f>
        <v>S</v>
      </c>
      <c r="Q42" s="31" t="str">
        <f>IF(D42=Surrender!D42,"R",HSD!Q42)</f>
        <v>S</v>
      </c>
      <c r="R42" s="31" t="str">
        <f>IF(E42=Surrender!E42,"R",HSD!R42)</f>
        <v>S</v>
      </c>
      <c r="S42" s="31" t="str">
        <f>IF(F42=Surrender!F42,"R",HSD!S42)</f>
        <v>S</v>
      </c>
      <c r="T42" s="31" t="str">
        <f>IF(G42=Surrender!G42,"R",HSD!T42)</f>
        <v>S</v>
      </c>
      <c r="U42" s="31" t="str">
        <f>IF(H42=Surrender!H42,"R",HSD!U42)</f>
        <v>S</v>
      </c>
      <c r="V42" s="31" t="str">
        <f>IF(I42=Surrender!I42,"R",HSD!V42)</f>
        <v>S</v>
      </c>
      <c r="W42" s="31" t="str">
        <f>IF(J42=Surrender!J42,"R",HSD!W42)</f>
        <v>S</v>
      </c>
      <c r="X42" s="31" t="str">
        <f>IF(K42=Surrender!K42,"R",HSD!X42)</f>
        <v>S</v>
      </c>
    </row>
    <row r="43" spans="1:24" x14ac:dyDescent="0.2">
      <c r="A43">
        <v>20</v>
      </c>
      <c r="B43">
        <f>IF(AND(Rules!$B$8=Rules!$E$8,Rules!$B$7=Rules!$E$7),MAX(Hit!B43,Stand!B43,Double!B43,Surrender!B43),MAX(Hit!B43,Stand!B43,Double!B43))</f>
        <v>0.65547032314990239</v>
      </c>
      <c r="C43">
        <f>IF(Rules!$B$7=Rules!$E$7,MAX(Hit!C43,Stand!C43,Double!C43,Surrender!C43),MAX(Hit!C43,Stand!C43,Double!C43))</f>
        <v>0.63998657521683877</v>
      </c>
      <c r="D43">
        <f>IF(Rules!$B$7=Rules!$E$7,MAX(Hit!D43,Stand!D43,Double!D43,Surrender!D43),MAX(Hit!D43,Stand!D43,Double!D43))</f>
        <v>0.65027209425148136</v>
      </c>
      <c r="E43">
        <f>IF(Rules!$B$7=Rules!$E$7,MAX(Hit!E43,Stand!E43,Double!E43,Surrender!E43),MAX(Hit!E43,Stand!E43,Double!E43))</f>
        <v>0.66104996194807186</v>
      </c>
      <c r="F43">
        <f>IF(Rules!$B$7=Rules!$E$7,MAX(Hit!F43,Stand!F43,Double!F43,Surrender!F43),MAX(Hit!F43,Stand!F43,Double!F43))</f>
        <v>0.67035969063279999</v>
      </c>
      <c r="G43">
        <f>IF(Rules!$B$7=Rules!$E$7,MAX(Hit!G43,Stand!G43,Double!G43,Surrender!G43),MAX(Hit!G43,Stand!G43,Double!G43))</f>
        <v>0.70395857017134467</v>
      </c>
      <c r="H43">
        <f>IF(Rules!$B$7=Rules!$E$7,MAX(Hit!H43,Stand!H43,Double!H43,Surrender!H43),MAX(Hit!H43,Stand!H43,Double!H43))</f>
        <v>0.77322722653717491</v>
      </c>
      <c r="I43">
        <f>IF(Rules!$B$7=Rules!$E$7,MAX(Hit!I43,Stand!I43,Double!I43,Surrender!I43),MAX(Hit!I43,Stand!I43,Double!I43))</f>
        <v>0.79181515955189841</v>
      </c>
      <c r="J43">
        <f>IF(Rules!$B$7=Rules!$E$7,MAX(Hit!J43,Stand!J43,Double!J43,Surrender!J43),MAX(Hit!J43,Stand!J43,Double!J43))</f>
        <v>0.75835687080859626</v>
      </c>
      <c r="K43">
        <f>IF(Rules!$B$7=Rules!$E$7,MAX(Hit!K43,Stand!K43,Double!K43,Surrender!K43),MAX(Hit!K43,Stand!K43,Double!K43))</f>
        <v>0.55453756646817121</v>
      </c>
      <c r="N43" s="31">
        <v>20</v>
      </c>
      <c r="O43" s="31" t="str">
        <f>IF(B43=Surrender!B43,"R",HSD!O43)</f>
        <v>S</v>
      </c>
      <c r="P43" s="31" t="str">
        <f>IF(C43=Surrender!C43,"R",HSD!P43)</f>
        <v>S</v>
      </c>
      <c r="Q43" s="31" t="str">
        <f>IF(D43=Surrender!D43,"R",HSD!Q43)</f>
        <v>S</v>
      </c>
      <c r="R43" s="31" t="str">
        <f>IF(E43=Surrender!E43,"R",HSD!R43)</f>
        <v>S</v>
      </c>
      <c r="S43" s="31" t="str">
        <f>IF(F43=Surrender!F43,"R",HSD!S43)</f>
        <v>S</v>
      </c>
      <c r="T43" s="31" t="str">
        <f>IF(G43=Surrender!G43,"R",HSD!T43)</f>
        <v>S</v>
      </c>
      <c r="U43" s="31" t="str">
        <f>IF(H43=Surrender!H43,"R",HSD!U43)</f>
        <v>S</v>
      </c>
      <c r="V43" s="31" t="str">
        <f>IF(I43=Surrender!I43,"R",HSD!V43)</f>
        <v>S</v>
      </c>
      <c r="W43" s="31" t="str">
        <f>IF(J43=Surrender!J43,"R",HSD!W43)</f>
        <v>S</v>
      </c>
      <c r="X43" s="31" t="str">
        <f>IF(K43=Surrender!K43,"R",HSD!X43)</f>
        <v>S</v>
      </c>
    </row>
    <row r="44" spans="1:24" x14ac:dyDescent="0.2">
      <c r="A44">
        <v>21</v>
      </c>
      <c r="B44">
        <f>IF(AND(Rules!$B$8=Rules!$E$8,Rules!$B$7=Rules!$E$7),MAX(Hit!B44,Stand!B44,Double!B44,Surrender!B44),MAX(Hit!B44,Stand!B44,Double!B44))</f>
        <v>0.92219381142033785</v>
      </c>
      <c r="C44">
        <f>IF(Rules!$B$7=Rules!$E$7,MAX(Hit!C44,Stand!C44,Double!C44,Surrender!C44),MAX(Hit!C44,Stand!C44,Double!C44))</f>
        <v>0.88200651549403997</v>
      </c>
      <c r="D44">
        <f>IF(Rules!$B$7=Rules!$E$7,MAX(Hit!D44,Stand!D44,Double!D44,Surrender!D44),MAX(Hit!D44,Stand!D44,Double!D44))</f>
        <v>0.88530035730174927</v>
      </c>
      <c r="E44">
        <f>IF(Rules!$B$7=Rules!$E$7,MAX(Hit!E44,Stand!E44,Double!E44,Surrender!E44),MAX(Hit!E44,Stand!E44,Double!E44))</f>
        <v>0.88876729296591961</v>
      </c>
      <c r="F44">
        <f>IF(Rules!$B$7=Rules!$E$7,MAX(Hit!F44,Stand!F44,Double!F44,Surrender!F44),MAX(Hit!F44,Stand!F44,Double!F44))</f>
        <v>0.89175382659528035</v>
      </c>
      <c r="G44">
        <f>IF(Rules!$B$7=Rules!$E$7,MAX(Hit!G44,Stand!G44,Double!G44,Surrender!G44),MAX(Hit!G44,Stand!G44,Double!G44))</f>
        <v>0.90283674384257995</v>
      </c>
      <c r="H44">
        <f>IF(Rules!$B$7=Rules!$E$7,MAX(Hit!H44,Stand!H44,Double!H44,Surrender!H44),MAX(Hit!H44,Stand!H44,Double!H44))</f>
        <v>0.92592629596452325</v>
      </c>
      <c r="I44">
        <f>IF(Rules!$B$7=Rules!$E$7,MAX(Hit!I44,Stand!I44,Double!I44,Surrender!I44),MAX(Hit!I44,Stand!I44,Double!I44))</f>
        <v>0.93060505318396614</v>
      </c>
      <c r="J44">
        <f>IF(Rules!$B$7=Rules!$E$7,MAX(Hit!J44,Stand!J44,Double!J44,Surrender!J44),MAX(Hit!J44,Stand!J44,Double!J44))</f>
        <v>0.93917615614724415</v>
      </c>
      <c r="K44">
        <f>IF(Rules!$B$7=Rules!$E$7,MAX(Hit!K44,Stand!K44,Double!K44,Surrender!K44),MAX(Hit!K44,Stand!K44,Double!K44))</f>
        <v>0.96262363326716827</v>
      </c>
      <c r="N44" s="31">
        <v>21</v>
      </c>
      <c r="O44" s="31" t="str">
        <f>IF(B44=Surrender!B44,"R",HSD!O44)</f>
        <v>S</v>
      </c>
      <c r="P44" s="31" t="str">
        <f>IF(C44=Surrender!C44,"R",HSD!P44)</f>
        <v>S</v>
      </c>
      <c r="Q44" s="31" t="str">
        <f>IF(D44=Surrender!D44,"R",HSD!Q44)</f>
        <v>S</v>
      </c>
      <c r="R44" s="31" t="str">
        <f>IF(E44=Surrender!E44,"R",HSD!R44)</f>
        <v>S</v>
      </c>
      <c r="S44" s="31" t="str">
        <f>IF(F44=Surrender!F44,"R",HSD!S44)</f>
        <v>S</v>
      </c>
      <c r="T44" s="31" t="str">
        <f>IF(G44=Surrender!G44,"R",HSD!T44)</f>
        <v>S</v>
      </c>
      <c r="U44" s="31" t="str">
        <f>IF(H44=Surrender!H44,"R",HSD!U44)</f>
        <v>S</v>
      </c>
      <c r="V44" s="31" t="str">
        <f>IF(I44=Surrender!I44,"R",HSD!V44)</f>
        <v>S</v>
      </c>
      <c r="W44" s="31" t="str">
        <f>IF(J44=Surrender!J44,"R",HSD!W44)</f>
        <v>S</v>
      </c>
      <c r="X44" s="31" t="str">
        <f>IF(K44=Surrender!K44,"R",HSD!X44)</f>
        <v>S</v>
      </c>
    </row>
    <row r="45" spans="1:24" x14ac:dyDescent="0.2">
      <c r="A45">
        <v>22</v>
      </c>
      <c r="B45">
        <f>IF(AND(Rules!$B$8=Rules!$E$8,Rules!$B$7=Rules!$E$7),MAX(Hit!B45,Stand!B45,Double!B45,Surrender!B45),MAX(Hit!B45,Stand!B45,Double!B45))</f>
        <v>-0.35054034044008009</v>
      </c>
      <c r="C45">
        <f>IF(Rules!$B$7=Rules!$E$7,MAX(Hit!C45,Stand!C45,Double!C45,Surrender!C45),MAX(Hit!C45,Stand!C45,Double!C45))</f>
        <v>-0.25338998596663809</v>
      </c>
      <c r="D45">
        <f>IF(Rules!$B$7=Rules!$E$7,MAX(Hit!D45,Stand!D45,Double!D45,Surrender!D45),MAX(Hit!D45,Stand!D45,Double!D45))</f>
        <v>-0.2336908997980866</v>
      </c>
      <c r="E45">
        <f>IF(Rules!$B$7=Rules!$E$7,MAX(Hit!E45,Stand!E45,Double!E45,Surrender!E45),MAX(Hit!E45,Stand!E45,Double!E45))</f>
        <v>-0.21106310899491437</v>
      </c>
      <c r="F45">
        <f>IF(Rules!$B$7=Rules!$E$7,MAX(Hit!F45,Stand!F45,Double!F45,Surrender!F45),MAX(Hit!F45,Stand!F45,Double!F45))</f>
        <v>-0.16719266083547524</v>
      </c>
      <c r="G45">
        <f>IF(Rules!$B$7=Rules!$E$7,MAX(Hit!G45,Stand!G45,Double!G45,Surrender!G45),MAX(Hit!G45,Stand!G45,Double!G45))</f>
        <v>-0.1536990158300045</v>
      </c>
      <c r="H45">
        <f>IF(Rules!$B$7=Rules!$E$7,MAX(Hit!H45,Stand!H45,Double!H45,Surrender!H45),MAX(Hit!H45,Stand!H45,Double!H45))</f>
        <v>-0.21284771451731424</v>
      </c>
      <c r="I45">
        <f>IF(Rules!$B$7=Rules!$E$7,MAX(Hit!I45,Stand!I45,Double!I45,Surrender!I45),MAX(Hit!I45,Stand!I45,Double!I45))</f>
        <v>-0.27157480502428616</v>
      </c>
      <c r="J45">
        <f>IF(Rules!$B$7=Rules!$E$7,MAX(Hit!J45,Stand!J45,Double!J45,Surrender!J45),MAX(Hit!J45,Stand!J45,Double!J45))</f>
        <v>-0.3400132806089356</v>
      </c>
      <c r="K45">
        <f>IF(Rules!$B$7=Rules!$E$7,MAX(Hit!K45,Stand!K45,Double!K45,Surrender!K45),MAX(Hit!K45,Stand!K45,Double!K45))</f>
        <v>-0.38104299284808768</v>
      </c>
      <c r="N45" s="31">
        <v>22</v>
      </c>
      <c r="O45" s="31" t="str">
        <f>IF(B45=Surrender!B45,"R",HSD!O45)</f>
        <v>H</v>
      </c>
      <c r="P45" s="31" t="str">
        <f>IF(C45=Surrender!C45,"R",HSD!P45)</f>
        <v>H</v>
      </c>
      <c r="Q45" s="31" t="str">
        <f>IF(D45=Surrender!D45,"R",HSD!Q45)</f>
        <v>H</v>
      </c>
      <c r="R45" s="31" t="str">
        <f>IF(E45=Surrender!E45,"R",HSD!R45)</f>
        <v>S</v>
      </c>
      <c r="S45" s="31" t="str">
        <f>IF(F45=Surrender!F45,"R",HSD!S45)</f>
        <v>S</v>
      </c>
      <c r="T45" s="31" t="str">
        <f>IF(G45=Surrender!G45,"R",HSD!T45)</f>
        <v>S</v>
      </c>
      <c r="U45" s="31" t="str">
        <f>IF(H45=Surrender!H45,"R",HSD!U45)</f>
        <v>H</v>
      </c>
      <c r="V45" s="31" t="str">
        <f>IF(I45=Surrender!I45,"R",HSD!V45)</f>
        <v>H</v>
      </c>
      <c r="W45" s="31" t="str">
        <f>IF(J45=Surrender!J45,"R",HSD!W45)</f>
        <v>H</v>
      </c>
      <c r="X45" s="31" t="str">
        <f>IF(K45=Surrender!K45,"R",HSD!X45)</f>
        <v>H</v>
      </c>
    </row>
    <row r="46" spans="1:24" x14ac:dyDescent="0.2">
      <c r="A46">
        <v>23</v>
      </c>
      <c r="B46">
        <f>IF(AND(Rules!$B$8=Rules!$E$8,Rules!$B$7=Rules!$E$7),MAX(Hit!B46,Stand!B46,Double!B46,Surrender!B46),MAX(Hit!B46,Stand!B46,Double!B46))</f>
        <v>-0.3969303161229315</v>
      </c>
      <c r="C46">
        <f>IF(Rules!$B$7=Rules!$E$7,MAX(Hit!C46,Stand!C46,Double!C46,Surrender!C46),MAX(Hit!C46,Stand!C46,Double!C46))</f>
        <v>-0.29278372720927726</v>
      </c>
      <c r="D46">
        <f>IF(Rules!$B$7=Rules!$E$7,MAX(Hit!D46,Stand!D46,Double!D46,Surrender!D46),MAX(Hit!D46,Stand!D46,Double!D46))</f>
        <v>-0.2522502292357135</v>
      </c>
      <c r="E46">
        <f>IF(Rules!$B$7=Rules!$E$7,MAX(Hit!E46,Stand!E46,Double!E46,Surrender!E46),MAX(Hit!E46,Stand!E46,Double!E46))</f>
        <v>-0.21106310899491437</v>
      </c>
      <c r="F46">
        <f>IF(Rules!$B$7=Rules!$E$7,MAX(Hit!F46,Stand!F46,Double!F46,Surrender!F46),MAX(Hit!F46,Stand!F46,Double!F46))</f>
        <v>-0.16719266083547524</v>
      </c>
      <c r="G46">
        <f>IF(Rules!$B$7=Rules!$E$7,MAX(Hit!G46,Stand!G46,Double!G46,Surrender!G46),MAX(Hit!G46,Stand!G46,Double!G46))</f>
        <v>-0.1536990158300045</v>
      </c>
      <c r="H46">
        <f>IF(Rules!$B$7=Rules!$E$7,MAX(Hit!H46,Stand!H46,Double!H46,Surrender!H46),MAX(Hit!H46,Stand!H46,Double!H46))</f>
        <v>-0.26907287776607752</v>
      </c>
      <c r="I46">
        <f>IF(Rules!$B$7=Rules!$E$7,MAX(Hit!I46,Stand!I46,Double!I46,Surrender!I46),MAX(Hit!I46,Stand!I46,Double!I46))</f>
        <v>-0.32360517609397998</v>
      </c>
      <c r="J46">
        <f>IF(Rules!$B$7=Rules!$E$7,MAX(Hit!J46,Stand!J46,Double!J46,Surrender!J46),MAX(Hit!J46,Stand!J46,Double!J46))</f>
        <v>-0.38715518913686875</v>
      </c>
      <c r="K46">
        <f>IF(Rules!$B$7=Rules!$E$7,MAX(Hit!K46,Stand!K46,Double!K46,Surrender!K46),MAX(Hit!K46,Stand!K46,Double!K46))</f>
        <v>-0.42525420764465277</v>
      </c>
      <c r="N46" s="31">
        <v>23</v>
      </c>
      <c r="O46" s="31" t="str">
        <f>IF(B46=Surrender!B46,"R",HSD!O46)</f>
        <v>H</v>
      </c>
      <c r="P46" s="31" t="str">
        <f>IF(C46=Surrender!C46,"R",HSD!P46)</f>
        <v>S</v>
      </c>
      <c r="Q46" s="31" t="str">
        <f>IF(D46=Surrender!D46,"R",HSD!Q46)</f>
        <v>S</v>
      </c>
      <c r="R46" s="31" t="str">
        <f>IF(E46=Surrender!E46,"R",HSD!R46)</f>
        <v>S</v>
      </c>
      <c r="S46" s="31" t="str">
        <f>IF(F46=Surrender!F46,"R",HSD!S46)</f>
        <v>S</v>
      </c>
      <c r="T46" s="31" t="str">
        <f>IF(G46=Surrender!G46,"R",HSD!T46)</f>
        <v>S</v>
      </c>
      <c r="U46" s="31" t="str">
        <f>IF(H46=Surrender!H46,"R",HSD!U46)</f>
        <v>H</v>
      </c>
      <c r="V46" s="31" t="str">
        <f>IF(I46=Surrender!I46,"R",HSD!V46)</f>
        <v>H</v>
      </c>
      <c r="W46" s="31" t="str">
        <f>IF(J46=Surrender!J46,"R",HSD!W46)</f>
        <v>H</v>
      </c>
      <c r="X46" s="31" t="str">
        <f>IF(K46=Surrender!K46,"R",HSD!X46)</f>
        <v>H</v>
      </c>
    </row>
    <row r="47" spans="1:24" x14ac:dyDescent="0.2">
      <c r="A47">
        <v>24</v>
      </c>
      <c r="B47">
        <f>IF(AND(Rules!$B$8=Rules!$E$8,Rules!$B$7=Rules!$E$7),MAX(Hit!B47,Stand!B47,Double!B47,Surrender!B47),MAX(Hit!B47,Stand!B47,Double!B47))</f>
        <v>-0.44000672211415065</v>
      </c>
      <c r="C47">
        <f>IF(Rules!$B$7=Rules!$E$7,MAX(Hit!C47,Stand!C47,Double!C47,Surrender!C47),MAX(Hit!C47,Stand!C47,Double!C47))</f>
        <v>-0.29278372720927726</v>
      </c>
      <c r="D47">
        <f>IF(Rules!$B$7=Rules!$E$7,MAX(Hit!D47,Stand!D47,Double!D47,Surrender!D47),MAX(Hit!D47,Stand!D47,Double!D47))</f>
        <v>-0.2522502292357135</v>
      </c>
      <c r="E47">
        <f>IF(Rules!$B$7=Rules!$E$7,MAX(Hit!E47,Stand!E47,Double!E47,Surrender!E47),MAX(Hit!E47,Stand!E47,Double!E47))</f>
        <v>-0.21106310899491437</v>
      </c>
      <c r="F47">
        <f>IF(Rules!$B$7=Rules!$E$7,MAX(Hit!F47,Stand!F47,Double!F47,Surrender!F47),MAX(Hit!F47,Stand!F47,Double!F47))</f>
        <v>-0.16719266083547524</v>
      </c>
      <c r="G47">
        <f>IF(Rules!$B$7=Rules!$E$7,MAX(Hit!G47,Stand!G47,Double!G47,Surrender!G47),MAX(Hit!G47,Stand!G47,Double!G47))</f>
        <v>-0.1536990158300045</v>
      </c>
      <c r="H47">
        <f>IF(Rules!$B$7=Rules!$E$7,MAX(Hit!H47,Stand!H47,Double!H47,Surrender!H47),MAX(Hit!H47,Stand!H47,Double!H47))</f>
        <v>-0.3212819579256434</v>
      </c>
      <c r="I47">
        <f>IF(Rules!$B$7=Rules!$E$7,MAX(Hit!I47,Stand!I47,Double!I47,Surrender!I47),MAX(Hit!I47,Stand!I47,Double!I47))</f>
        <v>-0.37191909208726714</v>
      </c>
      <c r="J47">
        <f>IF(Rules!$B$7=Rules!$E$7,MAX(Hit!J47,Stand!J47,Double!J47,Surrender!J47),MAX(Hit!J47,Stand!J47,Double!J47))</f>
        <v>-0.43092981848423528</v>
      </c>
      <c r="K47">
        <f>IF(Rules!$B$7=Rules!$E$7,MAX(Hit!K47,Stand!K47,Double!K47,Surrender!K47),MAX(Hit!K47,Stand!K47,Double!K47))</f>
        <v>-0.46630747852717758</v>
      </c>
      <c r="N47" s="31">
        <v>24</v>
      </c>
      <c r="O47" s="31" t="str">
        <f>IF(B47=Surrender!B47,"R",HSD!O47)</f>
        <v>H</v>
      </c>
      <c r="P47" s="31" t="str">
        <f>IF(C47=Surrender!C47,"R",HSD!P47)</f>
        <v>S</v>
      </c>
      <c r="Q47" s="31" t="str">
        <f>IF(D47=Surrender!D47,"R",HSD!Q47)</f>
        <v>S</v>
      </c>
      <c r="R47" s="31" t="str">
        <f>IF(E47=Surrender!E47,"R",HSD!R47)</f>
        <v>S</v>
      </c>
      <c r="S47" s="31" t="str">
        <f>IF(F47=Surrender!F47,"R",HSD!S47)</f>
        <v>S</v>
      </c>
      <c r="T47" s="31" t="str">
        <f>IF(G47=Surrender!G47,"R",HSD!T47)</f>
        <v>S</v>
      </c>
      <c r="U47" s="31" t="str">
        <f>IF(H47=Surrender!H47,"R",HSD!U47)</f>
        <v>H</v>
      </c>
      <c r="V47" s="31" t="str">
        <f>IF(I47=Surrender!I47,"R",HSD!V47)</f>
        <v>H</v>
      </c>
      <c r="W47" s="31" t="str">
        <f>IF(J47=Surrender!J47,"R",HSD!W47)</f>
        <v>H</v>
      </c>
      <c r="X47" s="31" t="str">
        <f>IF(K47=Surrender!K47,"R",HSD!X47)</f>
        <v>H</v>
      </c>
    </row>
    <row r="48" spans="1:24" x14ac:dyDescent="0.2">
      <c r="A48">
        <v>25</v>
      </c>
      <c r="B48">
        <f>IF(AND(Rules!$B$8=Rules!$E$8,Rules!$B$7=Rules!$E$7),MAX(Hit!B48,Stand!B48,Double!B48,Surrender!B48),MAX(Hit!B48,Stand!B48,Double!B48))</f>
        <v>-0.4800062419631399</v>
      </c>
      <c r="C48">
        <f>IF(Rules!$B$7=Rules!$E$7,MAX(Hit!C48,Stand!C48,Double!C48,Surrender!C48),MAX(Hit!C48,Stand!C48,Double!C48))</f>
        <v>-0.29278372720927726</v>
      </c>
      <c r="D48">
        <f>IF(Rules!$B$7=Rules!$E$7,MAX(Hit!D48,Stand!D48,Double!D48,Surrender!D48),MAX(Hit!D48,Stand!D48,Double!D48))</f>
        <v>-0.2522502292357135</v>
      </c>
      <c r="E48">
        <f>IF(Rules!$B$7=Rules!$E$7,MAX(Hit!E48,Stand!E48,Double!E48,Surrender!E48),MAX(Hit!E48,Stand!E48,Double!E48))</f>
        <v>-0.21106310899491437</v>
      </c>
      <c r="F48">
        <f>IF(Rules!$B$7=Rules!$E$7,MAX(Hit!F48,Stand!F48,Double!F48,Surrender!F48),MAX(Hit!F48,Stand!F48,Double!F48))</f>
        <v>-0.16719266083547524</v>
      </c>
      <c r="G48">
        <f>IF(Rules!$B$7=Rules!$E$7,MAX(Hit!G48,Stand!G48,Double!G48,Surrender!G48),MAX(Hit!G48,Stand!G48,Double!G48))</f>
        <v>-0.1536990158300045</v>
      </c>
      <c r="H48">
        <f>IF(Rules!$B$7=Rules!$E$7,MAX(Hit!H48,Stand!H48,Double!H48,Surrender!H48),MAX(Hit!H48,Stand!H48,Double!H48))</f>
        <v>-0.36976181807381175</v>
      </c>
      <c r="I48">
        <f>IF(Rules!$B$7=Rules!$E$7,MAX(Hit!I48,Stand!I48,Double!I48,Surrender!I48),MAX(Hit!I48,Stand!I48,Double!I48))</f>
        <v>-0.41678201408103371</v>
      </c>
      <c r="J48">
        <f>IF(Rules!$B$7=Rules!$E$7,MAX(Hit!J48,Stand!J48,Double!J48,Surrender!J48),MAX(Hit!J48,Stand!J48,Double!J48))</f>
        <v>-0.47157768859250415</v>
      </c>
      <c r="K48">
        <f>IF(Rules!$B$7=Rules!$E$7,MAX(Hit!K48,Stand!K48,Double!K48,Surrender!K48),MAX(Hit!K48,Stand!K48,Double!K48))</f>
        <v>-0.5</v>
      </c>
      <c r="N48" s="31">
        <v>25</v>
      </c>
      <c r="O48" s="31" t="str">
        <f>IF(B48=Surrender!B48,"R",HSD!O48)</f>
        <v>H</v>
      </c>
      <c r="P48" s="31" t="str">
        <f>IF(C48=Surrender!C48,"R",HSD!P48)</f>
        <v>S</v>
      </c>
      <c r="Q48" s="31" t="str">
        <f>IF(D48=Surrender!D48,"R",HSD!Q48)</f>
        <v>S</v>
      </c>
      <c r="R48" s="31" t="str">
        <f>IF(E48=Surrender!E48,"R",HSD!R48)</f>
        <v>S</v>
      </c>
      <c r="S48" s="31" t="str">
        <f>IF(F48=Surrender!F48,"R",HSD!S48)</f>
        <v>S</v>
      </c>
      <c r="T48" s="31" t="str">
        <f>IF(G48=Surrender!G48,"R",HSD!T48)</f>
        <v>S</v>
      </c>
      <c r="U48" s="31" t="str">
        <f>IF(H48=Surrender!H48,"R",HSD!U48)</f>
        <v>H</v>
      </c>
      <c r="V48" s="31" t="str">
        <f>IF(I48=Surrender!I48,"R",HSD!V48)</f>
        <v>H</v>
      </c>
      <c r="W48" s="31" t="str">
        <f>IF(J48=Surrender!J48,"R",HSD!W48)</f>
        <v>H</v>
      </c>
      <c r="X48" s="31" t="str">
        <f>IF(K48=Surrender!K48,"R",HSD!X48)</f>
        <v>R</v>
      </c>
    </row>
    <row r="49" spans="1:24" x14ac:dyDescent="0.2">
      <c r="A49">
        <v>26</v>
      </c>
      <c r="B49">
        <f>IF(AND(Rules!$B$8=Rules!$E$8,Rules!$B$7=Rules!$E$7),MAX(Hit!B49,Stand!B49,Double!B49,Surrender!B49),MAX(Hit!B49,Stand!B49,Double!B49))</f>
        <v>-0.5</v>
      </c>
      <c r="C49">
        <f>IF(Rules!$B$7=Rules!$E$7,MAX(Hit!C49,Stand!C49,Double!C49,Surrender!C49),MAX(Hit!C49,Stand!C49,Double!C49))</f>
        <v>-0.29278372720927726</v>
      </c>
      <c r="D49">
        <f>IF(Rules!$B$7=Rules!$E$7,MAX(Hit!D49,Stand!D49,Double!D49,Surrender!D49),MAX(Hit!D49,Stand!D49,Double!D49))</f>
        <v>-0.2522502292357135</v>
      </c>
      <c r="E49">
        <f>IF(Rules!$B$7=Rules!$E$7,MAX(Hit!E49,Stand!E49,Double!E49,Surrender!E49),MAX(Hit!E49,Stand!E49,Double!E49))</f>
        <v>-0.21106310899491437</v>
      </c>
      <c r="F49">
        <f>IF(Rules!$B$7=Rules!$E$7,MAX(Hit!F49,Stand!F49,Double!F49,Surrender!F49),MAX(Hit!F49,Stand!F49,Double!F49))</f>
        <v>-0.16719266083547524</v>
      </c>
      <c r="G49">
        <f>IF(Rules!$B$7=Rules!$E$7,MAX(Hit!G49,Stand!G49,Double!G49,Surrender!G49),MAX(Hit!G49,Stand!G49,Double!G49))</f>
        <v>-0.1536990158300045</v>
      </c>
      <c r="H49">
        <f>IF(Rules!$B$7=Rules!$E$7,MAX(Hit!H49,Stand!H49,Double!H49,Surrender!H49),MAX(Hit!H49,Stand!H49,Double!H49))</f>
        <v>-0.41477883106853947</v>
      </c>
      <c r="I49">
        <f>IF(Rules!$B$7=Rules!$E$7,MAX(Hit!I49,Stand!I49,Double!I49,Surrender!I49),MAX(Hit!I49,Stand!I49,Double!I49))</f>
        <v>-0.45844044164667419</v>
      </c>
      <c r="J49">
        <f>IF(Rules!$B$7=Rules!$E$7,MAX(Hit!J49,Stand!J49,Double!J49,Surrender!J49),MAX(Hit!J49,Stand!J49,Double!J49))</f>
        <v>-0.5</v>
      </c>
      <c r="K49">
        <f>IF(Rules!$B$7=Rules!$E$7,MAX(Hit!K49,Stand!K49,Double!K49,Surrender!K49),MAX(Hit!K49,Stand!K49,Double!K49))</f>
        <v>-0.5</v>
      </c>
      <c r="N49" s="31">
        <v>26</v>
      </c>
      <c r="O49" s="31" t="str">
        <f>IF(B49=Surrender!B49,"R",HSD!O49)</f>
        <v>R</v>
      </c>
      <c r="P49" s="31" t="str">
        <f>IF(C49=Surrender!C49,"R",HSD!P49)</f>
        <v>S</v>
      </c>
      <c r="Q49" s="31" t="str">
        <f>IF(D49=Surrender!D49,"R",HSD!Q49)</f>
        <v>S</v>
      </c>
      <c r="R49" s="31" t="str">
        <f>IF(E49=Surrender!E49,"R",HSD!R49)</f>
        <v>S</v>
      </c>
      <c r="S49" s="31" t="str">
        <f>IF(F49=Surrender!F49,"R",HSD!S49)</f>
        <v>S</v>
      </c>
      <c r="T49" s="31" t="str">
        <f>IF(G49=Surrender!G49,"R",HSD!T49)</f>
        <v>S</v>
      </c>
      <c r="U49" s="31" t="str">
        <f>IF(H49=Surrender!H49,"R",HSD!U49)</f>
        <v>H</v>
      </c>
      <c r="V49" s="31" t="str">
        <f>IF(I49=Surrender!I49,"R",HSD!V49)</f>
        <v>H</v>
      </c>
      <c r="W49" s="31" t="str">
        <f>IF(J49=Surrender!J49,"R",HSD!W49)</f>
        <v>R</v>
      </c>
      <c r="X49" s="31" t="str">
        <f>IF(K49=Surrender!K49,"R",HSD!X49)</f>
        <v>R</v>
      </c>
    </row>
    <row r="50" spans="1:24" x14ac:dyDescent="0.2">
      <c r="A50">
        <v>27</v>
      </c>
      <c r="B50">
        <f>IF(AND(Rules!$B$8=Rules!$E$8,Rules!$B$7=Rules!$E$7),MAX(Hit!B50,Stand!B50,Double!B50,Surrender!B50),MAX(Hit!B50,Stand!B50,Double!B50))</f>
        <v>-0.47803347499473703</v>
      </c>
      <c r="C50">
        <f>IF(Rules!$B$7=Rules!$E$7,MAX(Hit!C50,Stand!C50,Double!C50,Surrender!C50),MAX(Hit!C50,Stand!C50,Double!C50))</f>
        <v>-0.15297458768154204</v>
      </c>
      <c r="D50">
        <f>IF(Rules!$B$7=Rules!$E$7,MAX(Hit!D50,Stand!D50,Double!D50,Surrender!D50),MAX(Hit!D50,Stand!D50,Double!D50))</f>
        <v>-0.11721624142457365</v>
      </c>
      <c r="E50">
        <f>IF(Rules!$B$7=Rules!$E$7,MAX(Hit!E50,Stand!E50,Double!E50,Surrender!E50),MAX(Hit!E50,Stand!E50,Double!E50))</f>
        <v>-8.0573373145316152E-2</v>
      </c>
      <c r="F50">
        <f>IF(Rules!$B$7=Rules!$E$7,MAX(Hit!F50,Stand!F50,Double!F50,Surrender!F50),MAX(Hit!F50,Stand!F50,Double!F50))</f>
        <v>-4.4941375564924446E-2</v>
      </c>
      <c r="G50">
        <f>IF(Rules!$B$7=Rules!$E$7,MAX(Hit!G50,Stand!G50,Double!G50,Surrender!G50),MAX(Hit!G50,Stand!G50,Double!G50))</f>
        <v>1.1739160673341853E-2</v>
      </c>
      <c r="H50">
        <f>IF(Rules!$B$7=Rules!$E$7,MAX(Hit!H50,Stand!H50,Double!H50,Surrender!H50),MAX(Hit!H50,Stand!H50,Double!H50))</f>
        <v>-0.10680898948269468</v>
      </c>
      <c r="I50">
        <f>IF(Rules!$B$7=Rules!$E$7,MAX(Hit!I50,Stand!I50,Double!I50,Surrender!I50),MAX(Hit!I50,Stand!I50,Double!I50))</f>
        <v>-0.38195097104844711</v>
      </c>
      <c r="J50">
        <f>IF(Rules!$B$7=Rules!$E$7,MAX(Hit!J50,Stand!J50,Double!J50,Surrender!J50),MAX(Hit!J50,Stand!J50,Double!J50))</f>
        <v>-0.42315423964521737</v>
      </c>
      <c r="K50">
        <f>IF(Rules!$B$7=Rules!$E$7,MAX(Hit!K50,Stand!K50,Double!K50,Surrender!K50),MAX(Hit!K50,Stand!K50,Double!K50))</f>
        <v>-0.41972063392881986</v>
      </c>
      <c r="N50" s="31">
        <v>27</v>
      </c>
      <c r="O50" s="31" t="str">
        <f>IF(B50=Surrender!B50,"R",HSD!O50)</f>
        <v>S</v>
      </c>
      <c r="P50" s="31" t="str">
        <f>IF(C50=Surrender!C50,"R",HSD!P50)</f>
        <v>S</v>
      </c>
      <c r="Q50" s="31" t="str">
        <f>IF(D50=Surrender!D50,"R",HSD!Q50)</f>
        <v>S</v>
      </c>
      <c r="R50" s="31" t="str">
        <f>IF(E50=Surrender!E50,"R",HSD!R50)</f>
        <v>S</v>
      </c>
      <c r="S50" s="31" t="str">
        <f>IF(F50=Surrender!F50,"R",HSD!S50)</f>
        <v>S</v>
      </c>
      <c r="T50" s="31" t="str">
        <f>IF(G50=Surrender!G50,"R",HSD!T50)</f>
        <v>S</v>
      </c>
      <c r="U50" s="31" t="str">
        <f>IF(H50=Surrender!H50,"R",HSD!U50)</f>
        <v>S</v>
      </c>
      <c r="V50" s="31" t="str">
        <f>IF(I50=Surrender!I50,"R",HSD!V50)</f>
        <v>S</v>
      </c>
      <c r="W50" s="31" t="str">
        <f>IF(J50=Surrender!J50,"R",HSD!W50)</f>
        <v>S</v>
      </c>
      <c r="X50" s="31" t="str">
        <f>IF(K50=Surrender!K50,"R",HSD!X50)</f>
        <v>S</v>
      </c>
    </row>
    <row r="51" spans="1:24" x14ac:dyDescent="0.2">
      <c r="A51">
        <v>28</v>
      </c>
      <c r="B51">
        <f>IF(AND(Rules!$B$8=Rules!$E$8,Rules!$B$7=Rules!$E$7),MAX(Hit!B51,Stand!B51,Double!B51,Surrender!B51),MAX(Hit!B51,Stand!B51,Double!B51))</f>
        <v>-0.10019887561319057</v>
      </c>
      <c r="C51">
        <f>IF(Rules!$B$7=Rules!$E$7,MAX(Hit!C51,Stand!C51,Double!C51,Surrender!C51),MAX(Hit!C51,Stand!C51,Double!C51))</f>
        <v>0.12174190222088771</v>
      </c>
      <c r="D51">
        <f>IF(Rules!$B$7=Rules!$E$7,MAX(Hit!D51,Stand!D51,Double!D51,Surrender!D51),MAX(Hit!D51,Stand!D51,Double!D51))</f>
        <v>0.14830007284131119</v>
      </c>
      <c r="E51">
        <f>IF(Rules!$B$7=Rules!$E$7,MAX(Hit!E51,Stand!E51,Double!E51,Surrender!E51),MAX(Hit!E51,Stand!E51,Double!E51))</f>
        <v>0.17585443719748528</v>
      </c>
      <c r="F51">
        <f>IF(Rules!$B$7=Rules!$E$7,MAX(Hit!F51,Stand!F51,Double!F51,Surrender!F51),MAX(Hit!F51,Stand!F51,Double!F51))</f>
        <v>0.19956119497617719</v>
      </c>
      <c r="G51">
        <f>IF(Rules!$B$7=Rules!$E$7,MAX(Hit!G51,Stand!G51,Double!G51,Surrender!G51),MAX(Hit!G51,Stand!G51,Double!G51))</f>
        <v>0.28344391604689856</v>
      </c>
      <c r="H51">
        <f>IF(Rules!$B$7=Rules!$E$7,MAX(Hit!H51,Stand!H51,Double!H51,Surrender!H51),MAX(Hit!H51,Stand!H51,Double!H51))</f>
        <v>0.3995541673365518</v>
      </c>
      <c r="I51">
        <f>IF(Rules!$B$7=Rules!$E$7,MAX(Hit!I51,Stand!I51,Double!I51,Surrender!I51),MAX(Hit!I51,Stand!I51,Double!I51))</f>
        <v>0.10595134861912359</v>
      </c>
      <c r="J51">
        <f>IF(Rules!$B$7=Rules!$E$7,MAX(Hit!J51,Stand!J51,Double!J51,Surrender!J51),MAX(Hit!J51,Stand!J51,Double!J51))</f>
        <v>-0.18316335667343331</v>
      </c>
      <c r="K51">
        <f>IF(Rules!$B$7=Rules!$E$7,MAX(Hit!K51,Stand!K51,Double!K51,Surrender!K51),MAX(Hit!K51,Stand!K51,Double!K51))</f>
        <v>-0.17830123379648949</v>
      </c>
      <c r="N51" s="31">
        <v>28</v>
      </c>
      <c r="O51" s="31" t="str">
        <f>IF(B51=Surrender!B51,"R",HSD!O51)</f>
        <v>S</v>
      </c>
      <c r="P51" s="31" t="str">
        <f>IF(C51=Surrender!C51,"R",HSD!P51)</f>
        <v>S</v>
      </c>
      <c r="Q51" s="31" t="str">
        <f>IF(D51=Surrender!D51,"R",HSD!Q51)</f>
        <v>S</v>
      </c>
      <c r="R51" s="31" t="str">
        <f>IF(E51=Surrender!E51,"R",HSD!R51)</f>
        <v>S</v>
      </c>
      <c r="S51" s="31" t="str">
        <f>IF(F51=Surrender!F51,"R",HSD!S51)</f>
        <v>S</v>
      </c>
      <c r="T51" s="31" t="str">
        <f>IF(G51=Surrender!G51,"R",HSD!T51)</f>
        <v>S</v>
      </c>
      <c r="U51" s="31" t="str">
        <f>IF(H51=Surrender!H51,"R",HSD!U51)</f>
        <v>S</v>
      </c>
      <c r="V51" s="31" t="str">
        <f>IF(I51=Surrender!I51,"R",HSD!V51)</f>
        <v>S</v>
      </c>
      <c r="W51" s="31" t="str">
        <f>IF(J51=Surrender!J51,"R",HSD!W51)</f>
        <v>S</v>
      </c>
      <c r="X51" s="31" t="str">
        <f>IF(K51=Surrender!K51,"R",HSD!X51)</f>
        <v>S</v>
      </c>
    </row>
    <row r="52" spans="1:24" x14ac:dyDescent="0.2">
      <c r="A52">
        <v>29</v>
      </c>
      <c r="B52">
        <f>IF(AND(Rules!$B$8=Rules!$E$8,Rules!$B$7=Rules!$E$7),MAX(Hit!B52,Stand!B52,Double!B52,Surrender!B52),MAX(Hit!B52,Stand!B52,Double!B52))</f>
        <v>0.27763572376835594</v>
      </c>
      <c r="C52">
        <f>IF(Rules!$B$7=Rules!$E$7,MAX(Hit!C52,Stand!C52,Double!C52,Surrender!C52),MAX(Hit!C52,Stand!C52,Double!C52))</f>
        <v>0.38630468602058993</v>
      </c>
      <c r="D52">
        <f>IF(Rules!$B$7=Rules!$E$7,MAX(Hit!D52,Stand!D52,Double!D52,Surrender!D52),MAX(Hit!D52,Stand!D52,Double!D52))</f>
        <v>0.4043629365977599</v>
      </c>
      <c r="E52">
        <f>IF(Rules!$B$7=Rules!$E$7,MAX(Hit!E52,Stand!E52,Double!E52,Surrender!E52),MAX(Hit!E52,Stand!E52,Double!E52))</f>
        <v>0.42317892482749653</v>
      </c>
      <c r="F52">
        <f>IF(Rules!$B$7=Rules!$E$7,MAX(Hit!F52,Stand!F52,Double!F52,Surrender!F52),MAX(Hit!F52,Stand!F52,Double!F52))</f>
        <v>0.43951210416088371</v>
      </c>
      <c r="G52">
        <f>IF(Rules!$B$7=Rules!$E$7,MAX(Hit!G52,Stand!G52,Double!G52,Surrender!G52),MAX(Hit!G52,Stand!G52,Double!G52))</f>
        <v>0.49597707378731914</v>
      </c>
      <c r="H52">
        <f>IF(Rules!$B$7=Rules!$E$7,MAX(Hit!H52,Stand!H52,Double!H52,Surrender!H52),MAX(Hit!H52,Stand!H52,Double!H52))</f>
        <v>0.6159764957534315</v>
      </c>
      <c r="I52">
        <f>IF(Rules!$B$7=Rules!$E$7,MAX(Hit!I52,Stand!I52,Double!I52,Surrender!I52),MAX(Hit!I52,Stand!I52,Double!I52))</f>
        <v>0.59385366828669439</v>
      </c>
      <c r="J52">
        <f>IF(Rules!$B$7=Rules!$E$7,MAX(Hit!J52,Stand!J52,Double!J52,Surrender!J52),MAX(Hit!J52,Stand!J52,Double!J52))</f>
        <v>0.28759675706758148</v>
      </c>
      <c r="K52">
        <f>IF(Rules!$B$7=Rules!$E$7,MAX(Hit!K52,Stand!K52,Double!K52,Surrender!K52),MAX(Hit!K52,Stand!K52,Double!K52))</f>
        <v>6.3118166335840831E-2</v>
      </c>
      <c r="N52" s="31">
        <v>29</v>
      </c>
      <c r="O52" s="31" t="str">
        <f>IF(B52=Surrender!B52,"R",HSD!O52)</f>
        <v>S</v>
      </c>
      <c r="P52" s="31" t="str">
        <f>IF(C52=Surrender!C52,"R",HSD!P52)</f>
        <v>S</v>
      </c>
      <c r="Q52" s="31" t="str">
        <f>IF(D52=Surrender!D52,"R",HSD!Q52)</f>
        <v>S</v>
      </c>
      <c r="R52" s="31" t="str">
        <f>IF(E52=Surrender!E52,"R",HSD!R52)</f>
        <v>S</v>
      </c>
      <c r="S52" s="31" t="str">
        <f>IF(F52=Surrender!F52,"R",HSD!S52)</f>
        <v>S</v>
      </c>
      <c r="T52" s="31" t="str">
        <f>IF(G52=Surrender!G52,"R",HSD!T52)</f>
        <v>S</v>
      </c>
      <c r="U52" s="31" t="str">
        <f>IF(H52=Surrender!H52,"R",HSD!U52)</f>
        <v>S</v>
      </c>
      <c r="V52" s="31" t="str">
        <f>IF(I52=Surrender!I52,"R",HSD!V52)</f>
        <v>S</v>
      </c>
      <c r="W52" s="31" t="str">
        <f>IF(J52=Surrender!J52,"R",HSD!W52)</f>
        <v>S</v>
      </c>
      <c r="X52" s="31" t="str">
        <f>IF(K52=Surrender!K52,"R",HSD!X52)</f>
        <v>S</v>
      </c>
    </row>
    <row r="53" spans="1:24" x14ac:dyDescent="0.2">
      <c r="A53">
        <v>30</v>
      </c>
      <c r="B53">
        <f>IF(AND(Rules!$B$8=Rules!$E$8,Rules!$B$7=Rules!$E$7),MAX(Hit!B53,Stand!B53,Double!B53,Surrender!B53),MAX(Hit!B53,Stand!B53,Double!B53))</f>
        <v>0.65547032314990239</v>
      </c>
      <c r="C53">
        <f>IF(Rules!$B$7=Rules!$E$7,MAX(Hit!C53,Stand!C53,Double!C53,Surrender!C53),MAX(Hit!C53,Stand!C53,Double!C53))</f>
        <v>0.63998657521683877</v>
      </c>
      <c r="D53">
        <f>IF(Rules!$B$7=Rules!$E$7,MAX(Hit!D53,Stand!D53,Double!D53,Surrender!D53),MAX(Hit!D53,Stand!D53,Double!D53))</f>
        <v>0.65027209425148136</v>
      </c>
      <c r="E53">
        <f>IF(Rules!$B$7=Rules!$E$7,MAX(Hit!E53,Stand!E53,Double!E53,Surrender!E53),MAX(Hit!E53,Stand!E53,Double!E53))</f>
        <v>0.66104996194807186</v>
      </c>
      <c r="F53">
        <f>IF(Rules!$B$7=Rules!$E$7,MAX(Hit!F53,Stand!F53,Double!F53,Surrender!F53),MAX(Hit!F53,Stand!F53,Double!F53))</f>
        <v>0.67035969063279999</v>
      </c>
      <c r="G53">
        <f>IF(Rules!$B$7=Rules!$E$7,MAX(Hit!G53,Stand!G53,Double!G53,Surrender!G53),MAX(Hit!G53,Stand!G53,Double!G53))</f>
        <v>0.70395857017134467</v>
      </c>
      <c r="H53">
        <f>IF(Rules!$B$7=Rules!$E$7,MAX(Hit!H53,Stand!H53,Double!H53,Surrender!H53),MAX(Hit!H53,Stand!H53,Double!H53))</f>
        <v>0.77322722653717491</v>
      </c>
      <c r="I53">
        <f>IF(Rules!$B$7=Rules!$E$7,MAX(Hit!I53,Stand!I53,Double!I53,Surrender!I53),MAX(Hit!I53,Stand!I53,Double!I53))</f>
        <v>0.79181515955189841</v>
      </c>
      <c r="J53">
        <f>IF(Rules!$B$7=Rules!$E$7,MAX(Hit!J53,Stand!J53,Double!J53,Surrender!J53),MAX(Hit!J53,Stand!J53,Double!J53))</f>
        <v>0.75835687080859626</v>
      </c>
      <c r="K53">
        <f>IF(Rules!$B$7=Rules!$E$7,MAX(Hit!K53,Stand!K53,Double!K53,Surrender!K53),MAX(Hit!K53,Stand!K53,Double!K53))</f>
        <v>0.55453756646817121</v>
      </c>
      <c r="N53" s="31">
        <v>30</v>
      </c>
      <c r="O53" s="31" t="str">
        <f>IF(B53=Surrender!B53,"R",HSD!O53)</f>
        <v>S</v>
      </c>
      <c r="P53" s="31" t="str">
        <f>IF(C53=Surrender!C53,"R",HSD!P53)</f>
        <v>S</v>
      </c>
      <c r="Q53" s="31" t="str">
        <f>IF(D53=Surrender!D53,"R",HSD!Q53)</f>
        <v>S</v>
      </c>
      <c r="R53" s="31" t="str">
        <f>IF(E53=Surrender!E53,"R",HSD!R53)</f>
        <v>S</v>
      </c>
      <c r="S53" s="31" t="str">
        <f>IF(F53=Surrender!F53,"R",HSD!S53)</f>
        <v>S</v>
      </c>
      <c r="T53" s="31" t="str">
        <f>IF(G53=Surrender!G53,"R",HSD!T53)</f>
        <v>S</v>
      </c>
      <c r="U53" s="31" t="str">
        <f>IF(H53=Surrender!H53,"R",HSD!U53)</f>
        <v>S</v>
      </c>
      <c r="V53" s="31" t="str">
        <f>IF(I53=Surrender!I53,"R",HSD!V53)</f>
        <v>S</v>
      </c>
      <c r="W53" s="31" t="str">
        <f>IF(J53=Surrender!J53,"R",HSD!W53)</f>
        <v>S</v>
      </c>
      <c r="X53" s="31" t="str">
        <f>IF(K53=Surrender!K53,"R",HSD!X53)</f>
        <v>S</v>
      </c>
    </row>
    <row r="54" spans="1:24" x14ac:dyDescent="0.2">
      <c r="A54">
        <v>31</v>
      </c>
      <c r="B54">
        <f>IF(AND(Rules!$B$8=Rules!$E$8,Rules!$B$7=Rules!$E$7),MAX(Hit!B54,Stand!B54,Double!B54,Surrender!B54),MAX(Hit!B54,Stand!B54,Double!B54))</f>
        <v>0.92219381142033785</v>
      </c>
      <c r="C54">
        <f>IF(Rules!$B$7=Rules!$E$7,MAX(Hit!C54,Stand!C54,Double!C54,Surrender!C54),MAX(Hit!C54,Stand!C54,Double!C54))</f>
        <v>0.88200651549403997</v>
      </c>
      <c r="D54">
        <f>IF(Rules!$B$7=Rules!$E$7,MAX(Hit!D54,Stand!D54,Double!D54,Surrender!D54),MAX(Hit!D54,Stand!D54,Double!D54))</f>
        <v>0.88530035730174927</v>
      </c>
      <c r="E54">
        <f>IF(Rules!$B$7=Rules!$E$7,MAX(Hit!E54,Stand!E54,Double!E54,Surrender!E54),MAX(Hit!E54,Stand!E54,Double!E54))</f>
        <v>0.88876729296591961</v>
      </c>
      <c r="F54">
        <f>IF(Rules!$B$7=Rules!$E$7,MAX(Hit!F54,Stand!F54,Double!F54,Surrender!F54),MAX(Hit!F54,Stand!F54,Double!F54))</f>
        <v>0.89175382659528035</v>
      </c>
      <c r="G54">
        <f>IF(Rules!$B$7=Rules!$E$7,MAX(Hit!G54,Stand!G54,Double!G54,Surrender!G54),MAX(Hit!G54,Stand!G54,Double!G54))</f>
        <v>0.90283674384257995</v>
      </c>
      <c r="H54">
        <f>IF(Rules!$B$7=Rules!$E$7,MAX(Hit!H54,Stand!H54,Double!H54,Surrender!H54),MAX(Hit!H54,Stand!H54,Double!H54))</f>
        <v>0.92592629596452325</v>
      </c>
      <c r="I54">
        <f>IF(Rules!$B$7=Rules!$E$7,MAX(Hit!I54,Stand!I54,Double!I54,Surrender!I54),MAX(Hit!I54,Stand!I54,Double!I54))</f>
        <v>0.93060505318396614</v>
      </c>
      <c r="J54">
        <f>IF(Rules!$B$7=Rules!$E$7,MAX(Hit!J54,Stand!J54,Double!J54,Surrender!J54),MAX(Hit!J54,Stand!J54,Double!J54))</f>
        <v>0.93917615614724415</v>
      </c>
      <c r="K54">
        <f>IF(Rules!$B$7=Rules!$E$7,MAX(Hit!K54,Stand!K54,Double!K54,Surrender!K54),MAX(Hit!K54,Stand!K54,Double!K54))</f>
        <v>0.96262363326716827</v>
      </c>
      <c r="N54" s="31">
        <v>31</v>
      </c>
      <c r="O54" s="31" t="str">
        <f>IF(B54=Surrender!B54,"R",HSD!O54)</f>
        <v>S</v>
      </c>
      <c r="P54" s="31" t="str">
        <f>IF(C54=Surrender!C54,"R",HSD!P54)</f>
        <v>S</v>
      </c>
      <c r="Q54" s="31" t="str">
        <f>IF(D54=Surrender!D54,"R",HSD!Q54)</f>
        <v>S</v>
      </c>
      <c r="R54" s="31" t="str">
        <f>IF(E54=Surrender!E54,"R",HSD!R54)</f>
        <v>S</v>
      </c>
      <c r="S54" s="31" t="str">
        <f>IF(F54=Surrender!F54,"R",HSD!S54)</f>
        <v>S</v>
      </c>
      <c r="T54" s="31" t="str">
        <f>IF(G54=Surrender!G54,"R",HSD!T54)</f>
        <v>S</v>
      </c>
      <c r="U54" s="31" t="str">
        <f>IF(H54=Surrender!H54,"R",HSD!U54)</f>
        <v>S</v>
      </c>
      <c r="V54" s="31" t="str">
        <f>IF(I54=Surrender!I54,"R",HSD!V54)</f>
        <v>S</v>
      </c>
      <c r="W54" s="31" t="str">
        <f>IF(J54=Surrender!J54,"R",HSD!W54)</f>
        <v>S</v>
      </c>
      <c r="X54" s="31" t="str">
        <f>IF(K54=Surrender!K54,"R",HSD!X54)</f>
        <v>S</v>
      </c>
    </row>
  </sheetData>
  <sheetProtection sheet="1" objects="1" scenarios="1"/>
  <phoneticPr fontId="16" type="noConversion"/>
  <conditionalFormatting sqref="O2:X31">
    <cfRule type="containsText" dxfId="812" priority="14" operator="containsText" text="S">
      <formula>NOT(ISERROR(SEARCH("S",O2)))</formula>
    </cfRule>
    <cfRule type="containsText" dxfId="811" priority="15" operator="containsText" text="H">
      <formula>NOT(ISERROR(SEARCH("H",O2)))</formula>
    </cfRule>
  </conditionalFormatting>
  <conditionalFormatting sqref="O2:X31">
    <cfRule type="containsText" dxfId="810" priority="13" operator="containsText" text="D">
      <formula>NOT(ISERROR(SEARCH("D",O2)))</formula>
    </cfRule>
  </conditionalFormatting>
  <conditionalFormatting sqref="O2:X31">
    <cfRule type="containsText" dxfId="809" priority="9" operator="containsText" text="R">
      <formula>NOT(ISERROR(SEARCH("R",O2)))</formula>
    </cfRule>
  </conditionalFormatting>
  <conditionalFormatting sqref="O34:X54">
    <cfRule type="containsText" dxfId="808" priority="3" operator="containsText" text="S">
      <formula>NOT(ISERROR(SEARCH("S",O34)))</formula>
    </cfRule>
    <cfRule type="containsText" dxfId="807" priority="4" operator="containsText" text="H">
      <formula>NOT(ISERROR(SEARCH("H",O34)))</formula>
    </cfRule>
  </conditionalFormatting>
  <conditionalFormatting sqref="O34:X54">
    <cfRule type="containsText" dxfId="806" priority="2" operator="containsText" text="D">
      <formula>NOT(ISERROR(SEARCH("D",O34)))</formula>
    </cfRule>
  </conditionalFormatting>
  <conditionalFormatting sqref="O34:X54">
    <cfRule type="containsText" dxfId="805" priority="1" operator="containsText" text="R">
      <formula>NOT(ISERROR(SEARCH("R",O34)))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46</vt:i4>
      </vt:variant>
      <vt:variant>
        <vt:lpstr>Named Ranges</vt:lpstr>
      </vt:variant>
      <vt:variant>
        <vt:i4>2</vt:i4>
      </vt:variant>
    </vt:vector>
  </HeadingPairs>
  <TitlesOfParts>
    <vt:vector size="48" baseType="lpstr">
      <vt:lpstr>Rules</vt:lpstr>
      <vt:lpstr>Dealer</vt:lpstr>
      <vt:lpstr>Stand</vt:lpstr>
      <vt:lpstr>Hit</vt:lpstr>
      <vt:lpstr>HS</vt:lpstr>
      <vt:lpstr>Double</vt:lpstr>
      <vt:lpstr>HSD</vt:lpstr>
      <vt:lpstr>Surrender</vt:lpstr>
      <vt:lpstr>HSDR</vt:lpstr>
      <vt:lpstr>Pair</vt:lpstr>
      <vt:lpstr>Blackjack</vt:lpstr>
      <vt:lpstr>Prob</vt:lpstr>
      <vt:lpstr>5 Cards</vt:lpstr>
      <vt:lpstr>Three 7 Cards</vt:lpstr>
      <vt:lpstr>ER</vt:lpstr>
      <vt:lpstr>Summary</vt:lpstr>
      <vt:lpstr>EV</vt:lpstr>
      <vt:lpstr>WL Prob</vt:lpstr>
      <vt:lpstr>Analysis</vt:lpstr>
      <vt:lpstr>1x2</vt:lpstr>
      <vt:lpstr>1x3</vt:lpstr>
      <vt:lpstr>1x4</vt:lpstr>
      <vt:lpstr>1x5</vt:lpstr>
      <vt:lpstr>1x6</vt:lpstr>
      <vt:lpstr>1x7</vt:lpstr>
      <vt:lpstr>1x8</vt:lpstr>
      <vt:lpstr>1x9</vt:lpstr>
      <vt:lpstr>1x10</vt:lpstr>
      <vt:lpstr>2x3</vt:lpstr>
      <vt:lpstr>2x4</vt:lpstr>
      <vt:lpstr>2x5</vt:lpstr>
      <vt:lpstr>2x6</vt:lpstr>
      <vt:lpstr>2x7</vt:lpstr>
      <vt:lpstr>2x8</vt:lpstr>
      <vt:lpstr>2x9</vt:lpstr>
      <vt:lpstr>2x10</vt:lpstr>
      <vt:lpstr>3x4</vt:lpstr>
      <vt:lpstr>3x5</vt:lpstr>
      <vt:lpstr>3x6</vt:lpstr>
      <vt:lpstr>3x7</vt:lpstr>
      <vt:lpstr>3x8</vt:lpstr>
      <vt:lpstr>3x9</vt:lpstr>
      <vt:lpstr>3x10</vt:lpstr>
      <vt:lpstr>Strategy Summary</vt:lpstr>
      <vt:lpstr>Strategy Summary (2)</vt:lpstr>
      <vt:lpstr>Final</vt:lpstr>
      <vt:lpstr>Final!Print_Area</vt:lpstr>
      <vt:lpstr>Rules!Print_Area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Atipat Lorwong-ngam</dc:creator>
  <cp:lastModifiedBy>宗保 罗</cp:lastModifiedBy>
  <cp:lastPrinted>2019-09-17T17:17:29Z</cp:lastPrinted>
  <dcterms:created xsi:type="dcterms:W3CDTF">2015-03-11T15:17:04Z</dcterms:created>
  <dcterms:modified xsi:type="dcterms:W3CDTF">2019-10-11T18:05:35Z</dcterms:modified>
</cp:coreProperties>
</file>