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Volumes/Documents/Users/Atipat Lorwongam/Desktop/Gambling/"/>
    </mc:Choice>
  </mc:AlternateContent>
  <xr:revisionPtr revIDLastSave="0" documentId="13_ncr:1_{B102D0D4-082C-174C-AD40-403A32458FF7}" xr6:coauthVersionLast="36" xr6:coauthVersionMax="45" xr10:uidLastSave="{00000000-0000-0000-0000-000000000000}"/>
  <bookViews>
    <workbookView xWindow="0" yWindow="460" windowWidth="25600" windowHeight="14780" tabRatio="867" xr2:uid="{00000000-000D-0000-FFFF-FFFF00000000}"/>
  </bookViews>
  <sheets>
    <sheet name="Rules" sheetId="32" r:id="rId1"/>
    <sheet name="Dealer" sheetId="12" state="hidden" r:id="rId2"/>
    <sheet name="Stand" sheetId="13" state="hidden" r:id="rId3"/>
    <sheet name="Hit" sheetId="14" state="hidden" r:id="rId4"/>
    <sheet name="HS" sheetId="15" state="hidden" r:id="rId5"/>
    <sheet name="Double" sheetId="17" state="hidden" r:id="rId6"/>
    <sheet name="HSD" sheetId="18" state="hidden" r:id="rId7"/>
    <sheet name="Surrender" sheetId="19" state="hidden" r:id="rId8"/>
    <sheet name="HSDR" sheetId="20" state="hidden" r:id="rId9"/>
    <sheet name="Pair" sheetId="22" state="hidden" r:id="rId10"/>
    <sheet name="Blackjack" sheetId="28" state="hidden" r:id="rId11"/>
    <sheet name="Prob" sheetId="24" r:id="rId12"/>
    <sheet name="5 Cards" sheetId="33" state="hidden" r:id="rId13"/>
    <sheet name="Three 7 Cards" sheetId="34" state="hidden" r:id="rId14"/>
    <sheet name="ER" sheetId="25" r:id="rId15"/>
    <sheet name="Summary" sheetId="27" r:id="rId16"/>
    <sheet name="EV" sheetId="26" r:id="rId17"/>
    <sheet name="WL Prob" sheetId="29" r:id="rId18"/>
    <sheet name="Analysis" sheetId="35" r:id="rId19"/>
    <sheet name="1x2" sheetId="80" r:id="rId20"/>
    <sheet name="1x3" sheetId="87" r:id="rId21"/>
    <sheet name="1x4" sheetId="88" r:id="rId22"/>
    <sheet name="1x5" sheetId="90" r:id="rId23"/>
    <sheet name="1x6" sheetId="91" r:id="rId24"/>
    <sheet name="1x7" sheetId="92" r:id="rId25"/>
    <sheet name="1x8" sheetId="93" r:id="rId26"/>
    <sheet name="1x9" sheetId="94" r:id="rId27"/>
    <sheet name="1x10" sheetId="96" r:id="rId28"/>
    <sheet name="2x3" sheetId="89" r:id="rId29"/>
    <sheet name="2x4" sheetId="100" r:id="rId30"/>
    <sheet name="2x5" sheetId="101" r:id="rId31"/>
    <sheet name="2x6" sheetId="102" r:id="rId32"/>
    <sheet name="2x7" sheetId="103" r:id="rId33"/>
    <sheet name="2x8" sheetId="104" r:id="rId34"/>
    <sheet name="2x9" sheetId="105" r:id="rId35"/>
    <sheet name="2x10" sheetId="106" r:id="rId36"/>
    <sheet name="3x4" sheetId="99" r:id="rId37"/>
    <sheet name="3x5" sheetId="107" r:id="rId38"/>
    <sheet name="3x6" sheetId="108" r:id="rId39"/>
    <sheet name="3x7" sheetId="109" r:id="rId40"/>
    <sheet name="3x8" sheetId="110" r:id="rId41"/>
    <sheet name="3x9" sheetId="111" r:id="rId42"/>
    <sheet name="3x10" sheetId="112" r:id="rId43"/>
    <sheet name="4x4" sheetId="115" r:id="rId44"/>
    <sheet name="4x5" sheetId="116" r:id="rId45"/>
    <sheet name="4x6" sheetId="117" r:id="rId46"/>
    <sheet name="4x7" sheetId="118" r:id="rId47"/>
    <sheet name="4x8" sheetId="119" r:id="rId48"/>
    <sheet name="4x9" sheetId="120" r:id="rId49"/>
    <sheet name="4x10" sheetId="121" r:id="rId50"/>
    <sheet name="Strategy Summary" sheetId="95" r:id="rId51"/>
    <sheet name="Strategy Summary (2)" sheetId="113" r:id="rId52"/>
    <sheet name="Final" sheetId="97" r:id="rId53"/>
  </sheets>
  <definedNames>
    <definedName name="_xlnm.Print_Area" localSheetId="27">'1x10'!#REF!</definedName>
    <definedName name="_xlnm.Print_Area" localSheetId="19">'1x2'!#REF!</definedName>
    <definedName name="_xlnm.Print_Area" localSheetId="20">'1x3'!#REF!</definedName>
    <definedName name="_xlnm.Print_Area" localSheetId="21">'1x4'!#REF!</definedName>
    <definedName name="_xlnm.Print_Area" localSheetId="22">'1x5'!#REF!</definedName>
    <definedName name="_xlnm.Print_Area" localSheetId="23">'1x6'!#REF!</definedName>
    <definedName name="_xlnm.Print_Area" localSheetId="24">'1x7'!#REF!</definedName>
    <definedName name="_xlnm.Print_Area" localSheetId="25">'1x8'!#REF!</definedName>
    <definedName name="_xlnm.Print_Area" localSheetId="26">'1x9'!#REF!</definedName>
    <definedName name="_xlnm.Print_Area" localSheetId="35">'2x10'!#REF!</definedName>
    <definedName name="_xlnm.Print_Area" localSheetId="28">'2x3'!#REF!</definedName>
    <definedName name="_xlnm.Print_Area" localSheetId="29">'2x4'!#REF!</definedName>
    <definedName name="_xlnm.Print_Area" localSheetId="30">'2x5'!#REF!</definedName>
    <definedName name="_xlnm.Print_Area" localSheetId="31">'2x6'!#REF!</definedName>
    <definedName name="_xlnm.Print_Area" localSheetId="32">'2x7'!#REF!</definedName>
    <definedName name="_xlnm.Print_Area" localSheetId="33">'2x8'!#REF!</definedName>
    <definedName name="_xlnm.Print_Area" localSheetId="34">'2x9'!#REF!</definedName>
    <definedName name="_xlnm.Print_Area" localSheetId="42">'3x10'!#REF!</definedName>
    <definedName name="_xlnm.Print_Area" localSheetId="36">'3x4'!#REF!</definedName>
    <definedName name="_xlnm.Print_Area" localSheetId="37">'3x5'!#REF!</definedName>
    <definedName name="_xlnm.Print_Area" localSheetId="38">'3x6'!#REF!</definedName>
    <definedName name="_xlnm.Print_Area" localSheetId="39">'3x7'!#REF!</definedName>
    <definedName name="_xlnm.Print_Area" localSheetId="40">'3x8'!#REF!</definedName>
    <definedName name="_xlnm.Print_Area" localSheetId="41">'3x9'!#REF!</definedName>
    <definedName name="_xlnm.Print_Area" localSheetId="49">'4x10'!#REF!</definedName>
    <definedName name="_xlnm.Print_Area" localSheetId="43">'4x4'!#REF!</definedName>
    <definedName name="_xlnm.Print_Area" localSheetId="44">'4x5'!#REF!</definedName>
    <definedName name="_xlnm.Print_Area" localSheetId="45">'4x6'!#REF!</definedName>
    <definedName name="_xlnm.Print_Area" localSheetId="46">'4x7'!#REF!</definedName>
    <definedName name="_xlnm.Print_Area" localSheetId="47">'4x8'!#REF!</definedName>
    <definedName name="_xlnm.Print_Area" localSheetId="48">'4x9'!#REF!</definedName>
    <definedName name="_xlnm.Print_Area" localSheetId="52">Final!$A$1:$AH$46</definedName>
    <definedName name="_xlnm.Print_Area" localSheetId="0">Rules!$A$1:$S$43</definedName>
  </definedNames>
  <calcPr calcId="181029"/>
</workbook>
</file>

<file path=xl/calcChain.xml><?xml version="1.0" encoding="utf-8"?>
<calcChain xmlns="http://schemas.openxmlformats.org/spreadsheetml/2006/main">
  <c r="R53" i="121" l="1"/>
  <c r="R49" i="121"/>
  <c r="P46" i="121"/>
  <c r="Q46" i="121" s="1"/>
  <c r="P47" i="121" s="1"/>
  <c r="Q47" i="121" s="1"/>
  <c r="P48" i="121" s="1"/>
  <c r="Q48" i="121" s="1"/>
  <c r="P49" i="121" s="1"/>
  <c r="Q49" i="121" s="1"/>
  <c r="P50" i="121" s="1"/>
  <c r="Q50" i="121" s="1"/>
  <c r="P51" i="121" s="1"/>
  <c r="Q51" i="121" s="1"/>
  <c r="P52" i="121" s="1"/>
  <c r="Q52" i="121" s="1"/>
  <c r="P53" i="121" s="1"/>
  <c r="Q53" i="121" s="1"/>
  <c r="P54" i="121" s="1"/>
  <c r="Q54" i="121" s="1"/>
  <c r="B46" i="121"/>
  <c r="C46" i="121" s="1"/>
  <c r="Q45" i="121"/>
  <c r="C45" i="121"/>
  <c r="D45" i="121" s="1"/>
  <c r="P34" i="121"/>
  <c r="Q34" i="121" s="1"/>
  <c r="P35" i="121" s="1"/>
  <c r="Q35" i="121" s="1"/>
  <c r="P36" i="121" s="1"/>
  <c r="Q36" i="121" s="1"/>
  <c r="P37" i="121" s="1"/>
  <c r="Q37" i="121" s="1"/>
  <c r="P38" i="121" s="1"/>
  <c r="Q38" i="121" s="1"/>
  <c r="P39" i="121" s="1"/>
  <c r="Q39" i="121" s="1"/>
  <c r="P40" i="121" s="1"/>
  <c r="Q40" i="121" s="1"/>
  <c r="P41" i="121" s="1"/>
  <c r="Q41" i="121" s="1"/>
  <c r="P42" i="121" s="1"/>
  <c r="Q42" i="121" s="1"/>
  <c r="B34" i="121"/>
  <c r="C34" i="121" s="1"/>
  <c r="Q33" i="121"/>
  <c r="C33" i="121"/>
  <c r="D33" i="121" s="1"/>
  <c r="P23" i="121"/>
  <c r="Q23" i="121" s="1"/>
  <c r="R22" i="121"/>
  <c r="P22" i="121"/>
  <c r="Q22" i="121" s="1"/>
  <c r="R21" i="121"/>
  <c r="Q21" i="121"/>
  <c r="R33" i="121" s="1"/>
  <c r="C21" i="121"/>
  <c r="P46" i="120"/>
  <c r="Q46" i="120" s="1"/>
  <c r="B46" i="120"/>
  <c r="C46" i="120" s="1"/>
  <c r="Q45" i="120"/>
  <c r="C45" i="120"/>
  <c r="D45" i="120" s="1"/>
  <c r="P34" i="120"/>
  <c r="Q34" i="120" s="1"/>
  <c r="B34" i="120"/>
  <c r="C34" i="120" s="1"/>
  <c r="Q33" i="120"/>
  <c r="C33" i="120"/>
  <c r="D33" i="120" s="1"/>
  <c r="Q21" i="120"/>
  <c r="C21" i="120"/>
  <c r="P46" i="119"/>
  <c r="Q46" i="119" s="1"/>
  <c r="B46" i="119"/>
  <c r="C46" i="119" s="1"/>
  <c r="Q45" i="119"/>
  <c r="C45" i="119"/>
  <c r="D45" i="119" s="1"/>
  <c r="P34" i="119"/>
  <c r="Q34" i="119" s="1"/>
  <c r="P35" i="119" s="1"/>
  <c r="Q35" i="119" s="1"/>
  <c r="P36" i="119" s="1"/>
  <c r="Q36" i="119" s="1"/>
  <c r="P37" i="119" s="1"/>
  <c r="Q37" i="119" s="1"/>
  <c r="P38" i="119" s="1"/>
  <c r="Q38" i="119" s="1"/>
  <c r="P39" i="119" s="1"/>
  <c r="Q39" i="119" s="1"/>
  <c r="P40" i="119" s="1"/>
  <c r="Q40" i="119" s="1"/>
  <c r="P41" i="119" s="1"/>
  <c r="Q41" i="119" s="1"/>
  <c r="P42" i="119" s="1"/>
  <c r="Q42" i="119" s="1"/>
  <c r="D34" i="119"/>
  <c r="B34" i="119"/>
  <c r="C34" i="119" s="1"/>
  <c r="Q33" i="119"/>
  <c r="C33" i="119"/>
  <c r="D33" i="119" s="1"/>
  <c r="B22" i="119"/>
  <c r="C22" i="119" s="1"/>
  <c r="B23" i="119" s="1"/>
  <c r="C23" i="119" s="1"/>
  <c r="B24" i="119" s="1"/>
  <c r="C24" i="119" s="1"/>
  <c r="B25" i="119" s="1"/>
  <c r="C25" i="119" s="1"/>
  <c r="B26" i="119" s="1"/>
  <c r="C26" i="119" s="1"/>
  <c r="B27" i="119" s="1"/>
  <c r="C27" i="119" s="1"/>
  <c r="B28" i="119" s="1"/>
  <c r="C28" i="119" s="1"/>
  <c r="B29" i="119" s="1"/>
  <c r="C29" i="119" s="1"/>
  <c r="B30" i="119" s="1"/>
  <c r="C30" i="119" s="1"/>
  <c r="R21" i="119"/>
  <c r="Q21" i="119"/>
  <c r="R33" i="119" s="1"/>
  <c r="D21" i="119"/>
  <c r="C21" i="119"/>
  <c r="D22" i="119" s="1"/>
  <c r="R46" i="118"/>
  <c r="P46" i="118"/>
  <c r="Q46" i="118" s="1"/>
  <c r="B46" i="118"/>
  <c r="C46" i="118" s="1"/>
  <c r="Q45" i="118"/>
  <c r="C45" i="118"/>
  <c r="D45" i="118" s="1"/>
  <c r="P36" i="118"/>
  <c r="Q36" i="118" s="1"/>
  <c r="P37" i="118" s="1"/>
  <c r="Q37" i="118" s="1"/>
  <c r="P38" i="118" s="1"/>
  <c r="Q38" i="118" s="1"/>
  <c r="P39" i="118" s="1"/>
  <c r="Q39" i="118" s="1"/>
  <c r="P40" i="118" s="1"/>
  <c r="Q40" i="118" s="1"/>
  <c r="P41" i="118" s="1"/>
  <c r="Q41" i="118" s="1"/>
  <c r="P42" i="118" s="1"/>
  <c r="Q42" i="118" s="1"/>
  <c r="P35" i="118"/>
  <c r="Q35" i="118" s="1"/>
  <c r="P34" i="118"/>
  <c r="Q34" i="118" s="1"/>
  <c r="R34" i="118" s="1"/>
  <c r="B34" i="118"/>
  <c r="C34" i="118" s="1"/>
  <c r="Q33" i="118"/>
  <c r="C33" i="118"/>
  <c r="D33" i="118" s="1"/>
  <c r="P23" i="118"/>
  <c r="Q23" i="118" s="1"/>
  <c r="P24" i="118" s="1"/>
  <c r="Q24" i="118" s="1"/>
  <c r="P25" i="118" s="1"/>
  <c r="Q25" i="118" s="1"/>
  <c r="P26" i="118" s="1"/>
  <c r="Q26" i="118" s="1"/>
  <c r="P27" i="118" s="1"/>
  <c r="Q27" i="118" s="1"/>
  <c r="P28" i="118" s="1"/>
  <c r="Q28" i="118" s="1"/>
  <c r="P29" i="118" s="1"/>
  <c r="Q29" i="118" s="1"/>
  <c r="P30" i="118" s="1"/>
  <c r="Q30" i="118" s="1"/>
  <c r="R22" i="118"/>
  <c r="P22" i="118"/>
  <c r="Q22" i="118" s="1"/>
  <c r="R26" i="118" s="1"/>
  <c r="Q21" i="118"/>
  <c r="R33" i="118" s="1"/>
  <c r="C21" i="118"/>
  <c r="R54" i="117"/>
  <c r="R53" i="117"/>
  <c r="R50" i="117"/>
  <c r="R49" i="117"/>
  <c r="R46" i="117"/>
  <c r="P46" i="117"/>
  <c r="Q46" i="117" s="1"/>
  <c r="P47" i="117" s="1"/>
  <c r="Q47" i="117" s="1"/>
  <c r="P48" i="117" s="1"/>
  <c r="Q48" i="117" s="1"/>
  <c r="P49" i="117" s="1"/>
  <c r="Q49" i="117" s="1"/>
  <c r="P50" i="117" s="1"/>
  <c r="Q50" i="117" s="1"/>
  <c r="P51" i="117" s="1"/>
  <c r="Q51" i="117" s="1"/>
  <c r="P52" i="117" s="1"/>
  <c r="Q52" i="117" s="1"/>
  <c r="P53" i="117" s="1"/>
  <c r="Q53" i="117" s="1"/>
  <c r="P54" i="117" s="1"/>
  <c r="Q54" i="117" s="1"/>
  <c r="B46" i="117"/>
  <c r="C46" i="117" s="1"/>
  <c r="Q45" i="117"/>
  <c r="C45" i="117"/>
  <c r="D45" i="117" s="1"/>
  <c r="P34" i="117"/>
  <c r="Q34" i="117" s="1"/>
  <c r="P35" i="117" s="1"/>
  <c r="Q35" i="117" s="1"/>
  <c r="P36" i="117" s="1"/>
  <c r="Q36" i="117" s="1"/>
  <c r="P37" i="117" s="1"/>
  <c r="Q37" i="117" s="1"/>
  <c r="P38" i="117" s="1"/>
  <c r="Q38" i="117" s="1"/>
  <c r="P39" i="117" s="1"/>
  <c r="Q39" i="117" s="1"/>
  <c r="P40" i="117" s="1"/>
  <c r="Q40" i="117" s="1"/>
  <c r="P41" i="117" s="1"/>
  <c r="Q41" i="117" s="1"/>
  <c r="P42" i="117" s="1"/>
  <c r="Q42" i="117" s="1"/>
  <c r="B34" i="117"/>
  <c r="C34" i="117" s="1"/>
  <c r="Q33" i="117"/>
  <c r="C33" i="117"/>
  <c r="Q21" i="117"/>
  <c r="R33" i="117" s="1"/>
  <c r="D21" i="117"/>
  <c r="C21" i="117"/>
  <c r="B46" i="116"/>
  <c r="C46" i="116" s="1"/>
  <c r="Q45" i="116"/>
  <c r="D45" i="116"/>
  <c r="C45" i="116"/>
  <c r="C35" i="116"/>
  <c r="P34" i="116"/>
  <c r="Q34" i="116" s="1"/>
  <c r="P35" i="116" s="1"/>
  <c r="Q35" i="116" s="1"/>
  <c r="P36" i="116" s="1"/>
  <c r="Q36" i="116" s="1"/>
  <c r="P37" i="116" s="1"/>
  <c r="Q37" i="116" s="1"/>
  <c r="P38" i="116" s="1"/>
  <c r="Q38" i="116" s="1"/>
  <c r="P39" i="116" s="1"/>
  <c r="Q39" i="116" s="1"/>
  <c r="P40" i="116" s="1"/>
  <c r="Q40" i="116" s="1"/>
  <c r="P41" i="116" s="1"/>
  <c r="Q41" i="116" s="1"/>
  <c r="P42" i="116" s="1"/>
  <c r="Q42" i="116" s="1"/>
  <c r="C34" i="116"/>
  <c r="B34" i="116"/>
  <c r="B35" i="116" s="1"/>
  <c r="B36" i="116" s="1"/>
  <c r="B37" i="116" s="1"/>
  <c r="B38" i="116" s="1"/>
  <c r="B39" i="116" s="1"/>
  <c r="B40" i="116" s="1"/>
  <c r="B41" i="116" s="1"/>
  <c r="B42" i="116" s="1"/>
  <c r="C42" i="116" s="1"/>
  <c r="Q33" i="116"/>
  <c r="R42" i="116" s="1"/>
  <c r="C33" i="116"/>
  <c r="D33" i="116" s="1"/>
  <c r="Q21" i="116"/>
  <c r="C21" i="116"/>
  <c r="C46" i="115"/>
  <c r="B46" i="115"/>
  <c r="B47" i="115" s="1"/>
  <c r="B48" i="115" s="1"/>
  <c r="Q45" i="115"/>
  <c r="P46" i="115" s="1"/>
  <c r="Q46" i="115" s="1"/>
  <c r="D45" i="115"/>
  <c r="C45" i="115"/>
  <c r="C34" i="115"/>
  <c r="B34" i="115"/>
  <c r="B35" i="115" s="1"/>
  <c r="Q33" i="115"/>
  <c r="P34" i="115" s="1"/>
  <c r="Q34" i="115" s="1"/>
  <c r="P35" i="115" s="1"/>
  <c r="Q35" i="115" s="1"/>
  <c r="P36" i="115" s="1"/>
  <c r="Q36" i="115" s="1"/>
  <c r="P37" i="115" s="1"/>
  <c r="Q37" i="115" s="1"/>
  <c r="P38" i="115" s="1"/>
  <c r="Q38" i="115" s="1"/>
  <c r="P39" i="115" s="1"/>
  <c r="Q39" i="115" s="1"/>
  <c r="P40" i="115" s="1"/>
  <c r="Q40" i="115" s="1"/>
  <c r="P41" i="115" s="1"/>
  <c r="Q41" i="115" s="1"/>
  <c r="P42" i="115" s="1"/>
  <c r="Q42" i="115" s="1"/>
  <c r="C33" i="115"/>
  <c r="R21" i="115"/>
  <c r="Q21" i="115"/>
  <c r="C21" i="115"/>
  <c r="R24" i="121" l="1"/>
  <c r="P24" i="121"/>
  <c r="Q24" i="121" s="1"/>
  <c r="B22" i="121"/>
  <c r="C22" i="121" s="1"/>
  <c r="D21" i="121"/>
  <c r="B47" i="121"/>
  <c r="R23" i="121"/>
  <c r="D34" i="121"/>
  <c r="R48" i="121"/>
  <c r="R52" i="121"/>
  <c r="R42" i="121"/>
  <c r="R47" i="121"/>
  <c r="R51" i="121"/>
  <c r="R45" i="121"/>
  <c r="R46" i="121"/>
  <c r="R50" i="121"/>
  <c r="R54" i="121"/>
  <c r="R34" i="121"/>
  <c r="B35" i="121"/>
  <c r="R35" i="121"/>
  <c r="R36" i="121"/>
  <c r="R37" i="121"/>
  <c r="R38" i="121"/>
  <c r="R39" i="121"/>
  <c r="R40" i="121"/>
  <c r="R41" i="121"/>
  <c r="D46" i="121"/>
  <c r="R33" i="120"/>
  <c r="R34" i="120"/>
  <c r="P47" i="120"/>
  <c r="Q47" i="120" s="1"/>
  <c r="P48" i="120" s="1"/>
  <c r="Q48" i="120" s="1"/>
  <c r="P49" i="120" s="1"/>
  <c r="Q49" i="120" s="1"/>
  <c r="P50" i="120" s="1"/>
  <c r="Q50" i="120" s="1"/>
  <c r="P51" i="120" s="1"/>
  <c r="Q51" i="120" s="1"/>
  <c r="P52" i="120" s="1"/>
  <c r="Q52" i="120" s="1"/>
  <c r="P53" i="120" s="1"/>
  <c r="Q53" i="120" s="1"/>
  <c r="P54" i="120" s="1"/>
  <c r="Q54" i="120" s="1"/>
  <c r="R51" i="120"/>
  <c r="R48" i="120"/>
  <c r="R47" i="120"/>
  <c r="D21" i="120"/>
  <c r="P22" i="120"/>
  <c r="Q22" i="120" s="1"/>
  <c r="P23" i="120" s="1"/>
  <c r="Q23" i="120" s="1"/>
  <c r="P24" i="120" s="1"/>
  <c r="Q24" i="120" s="1"/>
  <c r="P25" i="120" s="1"/>
  <c r="Q25" i="120" s="1"/>
  <c r="P26" i="120" s="1"/>
  <c r="Q26" i="120" s="1"/>
  <c r="P27" i="120" s="1"/>
  <c r="Q27" i="120" s="1"/>
  <c r="P28" i="120" s="1"/>
  <c r="Q28" i="120" s="1"/>
  <c r="P29" i="120" s="1"/>
  <c r="Q29" i="120" s="1"/>
  <c r="P30" i="120" s="1"/>
  <c r="Q30" i="120" s="1"/>
  <c r="D29" i="120"/>
  <c r="R45" i="120"/>
  <c r="R46" i="120"/>
  <c r="R21" i="120"/>
  <c r="B22" i="120"/>
  <c r="C22" i="120" s="1"/>
  <c r="B23" i="120" s="1"/>
  <c r="C23" i="120" s="1"/>
  <c r="B24" i="120" s="1"/>
  <c r="C24" i="120" s="1"/>
  <c r="B25" i="120" s="1"/>
  <c r="C25" i="120" s="1"/>
  <c r="B26" i="120" s="1"/>
  <c r="C26" i="120" s="1"/>
  <c r="B27" i="120" s="1"/>
  <c r="C27" i="120" s="1"/>
  <c r="B28" i="120" s="1"/>
  <c r="C28" i="120" s="1"/>
  <c r="B29" i="120" s="1"/>
  <c r="C29" i="120" s="1"/>
  <c r="B30" i="120" s="1"/>
  <c r="C30" i="120" s="1"/>
  <c r="R22" i="120"/>
  <c r="B47" i="120"/>
  <c r="D22" i="120"/>
  <c r="D24" i="120"/>
  <c r="D26" i="120"/>
  <c r="D28" i="120"/>
  <c r="D34" i="120"/>
  <c r="P35" i="120"/>
  <c r="Q35" i="120" s="1"/>
  <c r="P36" i="120" s="1"/>
  <c r="Q36" i="120" s="1"/>
  <c r="P37" i="120" s="1"/>
  <c r="Q37" i="120" s="1"/>
  <c r="P38" i="120" s="1"/>
  <c r="Q38" i="120" s="1"/>
  <c r="P39" i="120" s="1"/>
  <c r="Q39" i="120" s="1"/>
  <c r="P40" i="120" s="1"/>
  <c r="Q40" i="120" s="1"/>
  <c r="P41" i="120" s="1"/>
  <c r="Q41" i="120" s="1"/>
  <c r="P42" i="120" s="1"/>
  <c r="Q42" i="120" s="1"/>
  <c r="B35" i="120"/>
  <c r="D46" i="120"/>
  <c r="R42" i="119"/>
  <c r="P47" i="119"/>
  <c r="Q47" i="119" s="1"/>
  <c r="P48" i="119" s="1"/>
  <c r="Q48" i="119" s="1"/>
  <c r="P49" i="119" s="1"/>
  <c r="Q49" i="119" s="1"/>
  <c r="P50" i="119" s="1"/>
  <c r="Q50" i="119" s="1"/>
  <c r="P51" i="119" s="1"/>
  <c r="Q51" i="119" s="1"/>
  <c r="P52" i="119" s="1"/>
  <c r="Q52" i="119" s="1"/>
  <c r="P53" i="119" s="1"/>
  <c r="Q53" i="119" s="1"/>
  <c r="P54" i="119" s="1"/>
  <c r="Q54" i="119" s="1"/>
  <c r="R51" i="119"/>
  <c r="R45" i="119"/>
  <c r="R46" i="119"/>
  <c r="R50" i="119"/>
  <c r="D30" i="119"/>
  <c r="D29" i="119"/>
  <c r="D28" i="119"/>
  <c r="D27" i="119"/>
  <c r="D26" i="119"/>
  <c r="D25" i="119"/>
  <c r="D24" i="119"/>
  <c r="D23" i="119"/>
  <c r="B47" i="119"/>
  <c r="P22" i="119"/>
  <c r="Q22" i="119" s="1"/>
  <c r="P23" i="119" s="1"/>
  <c r="Q23" i="119" s="1"/>
  <c r="P24" i="119" s="1"/>
  <c r="Q24" i="119" s="1"/>
  <c r="P25" i="119" s="1"/>
  <c r="Q25" i="119" s="1"/>
  <c r="P26" i="119" s="1"/>
  <c r="Q26" i="119" s="1"/>
  <c r="P27" i="119" s="1"/>
  <c r="Q27" i="119" s="1"/>
  <c r="P28" i="119" s="1"/>
  <c r="Q28" i="119" s="1"/>
  <c r="P29" i="119" s="1"/>
  <c r="Q29" i="119" s="1"/>
  <c r="P30" i="119" s="1"/>
  <c r="Q30" i="119" s="1"/>
  <c r="R48" i="119"/>
  <c r="R52" i="119"/>
  <c r="R34" i="119"/>
  <c r="B35" i="119"/>
  <c r="R35" i="119"/>
  <c r="R36" i="119"/>
  <c r="R37" i="119"/>
  <c r="R38" i="119"/>
  <c r="R39" i="119"/>
  <c r="R40" i="119"/>
  <c r="R41" i="119"/>
  <c r="D46" i="119"/>
  <c r="R24" i="118"/>
  <c r="R30" i="118"/>
  <c r="R45" i="118"/>
  <c r="R29" i="118"/>
  <c r="B47" i="118"/>
  <c r="D21" i="118"/>
  <c r="R23" i="118"/>
  <c r="R25" i="118"/>
  <c r="R28" i="118"/>
  <c r="D34" i="118"/>
  <c r="R21" i="118"/>
  <c r="B22" i="118"/>
  <c r="C22" i="118" s="1"/>
  <c r="B23" i="118" s="1"/>
  <c r="C23" i="118" s="1"/>
  <c r="B24" i="118" s="1"/>
  <c r="C24" i="118" s="1"/>
  <c r="B25" i="118" s="1"/>
  <c r="C25" i="118" s="1"/>
  <c r="B26" i="118" s="1"/>
  <c r="C26" i="118" s="1"/>
  <c r="B27" i="118" s="1"/>
  <c r="C27" i="118" s="1"/>
  <c r="B28" i="118" s="1"/>
  <c r="C28" i="118" s="1"/>
  <c r="B29" i="118" s="1"/>
  <c r="C29" i="118" s="1"/>
  <c r="B30" i="118" s="1"/>
  <c r="C30" i="118" s="1"/>
  <c r="R27" i="118"/>
  <c r="R42" i="118"/>
  <c r="P47" i="118"/>
  <c r="Q47" i="118" s="1"/>
  <c r="B35" i="118"/>
  <c r="R35" i="118"/>
  <c r="R36" i="118"/>
  <c r="R37" i="118"/>
  <c r="R38" i="118"/>
  <c r="R39" i="118"/>
  <c r="R40" i="118"/>
  <c r="R41" i="118"/>
  <c r="D46" i="118"/>
  <c r="D33" i="117"/>
  <c r="B47" i="117"/>
  <c r="R21" i="117"/>
  <c r="B22" i="117"/>
  <c r="C22" i="117" s="1"/>
  <c r="B23" i="117" s="1"/>
  <c r="C23" i="117" s="1"/>
  <c r="B24" i="117" s="1"/>
  <c r="C24" i="117" s="1"/>
  <c r="B25" i="117" s="1"/>
  <c r="C25" i="117" s="1"/>
  <c r="B26" i="117" s="1"/>
  <c r="C26" i="117" s="1"/>
  <c r="B27" i="117" s="1"/>
  <c r="C27" i="117" s="1"/>
  <c r="B28" i="117" s="1"/>
  <c r="C28" i="117" s="1"/>
  <c r="B29" i="117" s="1"/>
  <c r="C29" i="117" s="1"/>
  <c r="B30" i="117" s="1"/>
  <c r="C30" i="117" s="1"/>
  <c r="D24" i="117"/>
  <c r="R24" i="117"/>
  <c r="D34" i="117"/>
  <c r="R48" i="117"/>
  <c r="R52" i="117"/>
  <c r="P22" i="117"/>
  <c r="Q22" i="117" s="1"/>
  <c r="P23" i="117" s="1"/>
  <c r="Q23" i="117" s="1"/>
  <c r="P24" i="117" s="1"/>
  <c r="Q24" i="117" s="1"/>
  <c r="P25" i="117" s="1"/>
  <c r="Q25" i="117" s="1"/>
  <c r="P26" i="117" s="1"/>
  <c r="Q26" i="117" s="1"/>
  <c r="P27" i="117" s="1"/>
  <c r="Q27" i="117" s="1"/>
  <c r="P28" i="117" s="1"/>
  <c r="Q28" i="117" s="1"/>
  <c r="P29" i="117" s="1"/>
  <c r="Q29" i="117" s="1"/>
  <c r="P30" i="117" s="1"/>
  <c r="Q30" i="117" s="1"/>
  <c r="R25" i="117"/>
  <c r="R42" i="117"/>
  <c r="R47" i="117"/>
  <c r="R51" i="117"/>
  <c r="D30" i="117"/>
  <c r="D29" i="117"/>
  <c r="D28" i="117"/>
  <c r="D27" i="117"/>
  <c r="D26" i="117"/>
  <c r="D22" i="117"/>
  <c r="R22" i="117"/>
  <c r="R27" i="117"/>
  <c r="R29" i="117"/>
  <c r="R45" i="117"/>
  <c r="R34" i="117"/>
  <c r="B35" i="117"/>
  <c r="R35" i="117"/>
  <c r="R36" i="117"/>
  <c r="R37" i="117"/>
  <c r="R38" i="117"/>
  <c r="R39" i="117"/>
  <c r="R40" i="117"/>
  <c r="R41" i="117"/>
  <c r="D46" i="117"/>
  <c r="C36" i="116"/>
  <c r="D38" i="116" s="1"/>
  <c r="C40" i="116"/>
  <c r="R33" i="116"/>
  <c r="P22" i="116"/>
  <c r="Q22" i="116" s="1"/>
  <c r="R45" i="116"/>
  <c r="C39" i="116"/>
  <c r="R21" i="116"/>
  <c r="B22" i="116"/>
  <c r="C22" i="116" s="1"/>
  <c r="B23" i="116" s="1"/>
  <c r="C23" i="116" s="1"/>
  <c r="B24" i="116" s="1"/>
  <c r="C24" i="116" s="1"/>
  <c r="B25" i="116" s="1"/>
  <c r="C25" i="116" s="1"/>
  <c r="B26" i="116" s="1"/>
  <c r="C26" i="116" s="1"/>
  <c r="B27" i="116" s="1"/>
  <c r="C27" i="116" s="1"/>
  <c r="B28" i="116" s="1"/>
  <c r="C28" i="116" s="1"/>
  <c r="B29" i="116" s="1"/>
  <c r="C29" i="116" s="1"/>
  <c r="B30" i="116" s="1"/>
  <c r="C30" i="116" s="1"/>
  <c r="R22" i="116"/>
  <c r="C38" i="116"/>
  <c r="D21" i="116"/>
  <c r="C37" i="116"/>
  <c r="C41" i="116"/>
  <c r="P46" i="116"/>
  <c r="Q46" i="116" s="1"/>
  <c r="P47" i="116" s="1"/>
  <c r="Q47" i="116" s="1"/>
  <c r="P48" i="116" s="1"/>
  <c r="Q48" i="116" s="1"/>
  <c r="P49" i="116" s="1"/>
  <c r="Q49" i="116" s="1"/>
  <c r="P50" i="116" s="1"/>
  <c r="Q50" i="116" s="1"/>
  <c r="P51" i="116" s="1"/>
  <c r="Q51" i="116" s="1"/>
  <c r="P52" i="116" s="1"/>
  <c r="Q52" i="116" s="1"/>
  <c r="P53" i="116" s="1"/>
  <c r="Q53" i="116" s="1"/>
  <c r="P54" i="116" s="1"/>
  <c r="Q54" i="116" s="1"/>
  <c r="R46" i="116"/>
  <c r="D34" i="116"/>
  <c r="D35" i="116"/>
  <c r="D36" i="116"/>
  <c r="D37" i="116"/>
  <c r="D40" i="116"/>
  <c r="D41" i="116"/>
  <c r="B47" i="116"/>
  <c r="R34" i="116"/>
  <c r="R35" i="116"/>
  <c r="R36" i="116"/>
  <c r="R37" i="116"/>
  <c r="R38" i="116"/>
  <c r="R39" i="116"/>
  <c r="R40" i="116"/>
  <c r="R41" i="116"/>
  <c r="D46" i="116"/>
  <c r="D33" i="115"/>
  <c r="P47" i="115"/>
  <c r="Q47" i="115" s="1"/>
  <c r="P48" i="115" s="1"/>
  <c r="Q48" i="115" s="1"/>
  <c r="P49" i="115" s="1"/>
  <c r="Q49" i="115" s="1"/>
  <c r="P50" i="115" s="1"/>
  <c r="Q50" i="115" s="1"/>
  <c r="P51" i="115" s="1"/>
  <c r="Q51" i="115" s="1"/>
  <c r="P52" i="115" s="1"/>
  <c r="Q52" i="115" s="1"/>
  <c r="P53" i="115" s="1"/>
  <c r="Q53" i="115" s="1"/>
  <c r="P54" i="115" s="1"/>
  <c r="Q54" i="115" s="1"/>
  <c r="R50" i="115"/>
  <c r="R47" i="115"/>
  <c r="R46" i="115"/>
  <c r="C35" i="115"/>
  <c r="B36" i="115"/>
  <c r="D35" i="115"/>
  <c r="D21" i="115"/>
  <c r="R33" i="115"/>
  <c r="P22" i="115"/>
  <c r="Q22" i="115" s="1"/>
  <c r="R45" i="115"/>
  <c r="B22" i="115"/>
  <c r="C22" i="115" s="1"/>
  <c r="B23" i="115" s="1"/>
  <c r="C23" i="115" s="1"/>
  <c r="B24" i="115" s="1"/>
  <c r="C24" i="115" s="1"/>
  <c r="B25" i="115" s="1"/>
  <c r="C25" i="115" s="1"/>
  <c r="B26" i="115" s="1"/>
  <c r="C26" i="115" s="1"/>
  <c r="B27" i="115" s="1"/>
  <c r="C27" i="115" s="1"/>
  <c r="B28" i="115" s="1"/>
  <c r="C28" i="115" s="1"/>
  <c r="B29" i="115" s="1"/>
  <c r="C29" i="115" s="1"/>
  <c r="B30" i="115" s="1"/>
  <c r="C30" i="115" s="1"/>
  <c r="R42" i="115"/>
  <c r="R41" i="115"/>
  <c r="R40" i="115"/>
  <c r="R39" i="115"/>
  <c r="R38" i="115"/>
  <c r="R37" i="115"/>
  <c r="R36" i="115"/>
  <c r="R35" i="115"/>
  <c r="R34" i="115"/>
  <c r="C48" i="115"/>
  <c r="B49" i="115"/>
  <c r="C47" i="115"/>
  <c r="D34" i="115"/>
  <c r="R54" i="115"/>
  <c r="D46" i="115"/>
  <c r="Z46" i="97"/>
  <c r="AA46" i="97"/>
  <c r="AB46" i="97"/>
  <c r="AC46" i="97"/>
  <c r="AD46" i="97"/>
  <c r="AE46" i="97"/>
  <c r="AF46" i="97"/>
  <c r="AG46" i="97"/>
  <c r="AH45" i="97"/>
  <c r="Y46" i="97"/>
  <c r="AD45" i="97"/>
  <c r="AE45" i="97"/>
  <c r="AF45" i="97"/>
  <c r="AG45" i="97"/>
  <c r="Z45" i="97"/>
  <c r="AA45" i="97"/>
  <c r="AB45" i="97"/>
  <c r="AC45" i="97"/>
  <c r="Y45" i="97"/>
  <c r="D29" i="121" l="1"/>
  <c r="B23" i="121"/>
  <c r="C23" i="121" s="1"/>
  <c r="B24" i="121" s="1"/>
  <c r="C24" i="121" s="1"/>
  <c r="B25" i="121" s="1"/>
  <c r="C25" i="121" s="1"/>
  <c r="B26" i="121" s="1"/>
  <c r="C26" i="121" s="1"/>
  <c r="B27" i="121" s="1"/>
  <c r="C27" i="121" s="1"/>
  <c r="B28" i="121" s="1"/>
  <c r="C28" i="121" s="1"/>
  <c r="B29" i="121" s="1"/>
  <c r="C29" i="121" s="1"/>
  <c r="B30" i="121" s="1"/>
  <c r="C30" i="121" s="1"/>
  <c r="D26" i="121"/>
  <c r="D22" i="121"/>
  <c r="C35" i="121"/>
  <c r="B36" i="121"/>
  <c r="C47" i="121"/>
  <c r="B48" i="121"/>
  <c r="D27" i="121"/>
  <c r="P25" i="121"/>
  <c r="Q25" i="121" s="1"/>
  <c r="R42" i="120"/>
  <c r="C47" i="120"/>
  <c r="B48" i="120"/>
  <c r="R26" i="120"/>
  <c r="D25" i="120"/>
  <c r="R49" i="120"/>
  <c r="R53" i="120"/>
  <c r="R37" i="120"/>
  <c r="R41" i="120"/>
  <c r="R25" i="120"/>
  <c r="R24" i="120"/>
  <c r="D23" i="120"/>
  <c r="R50" i="120"/>
  <c r="R54" i="120"/>
  <c r="R38" i="120"/>
  <c r="R23" i="120"/>
  <c r="D30" i="120"/>
  <c r="R35" i="120"/>
  <c r="R39" i="120"/>
  <c r="R29" i="120"/>
  <c r="C35" i="120"/>
  <c r="B36" i="120"/>
  <c r="R28" i="120"/>
  <c r="D27" i="120"/>
  <c r="R52" i="120"/>
  <c r="R36" i="120"/>
  <c r="R40" i="120"/>
  <c r="R27" i="120"/>
  <c r="R30" i="120"/>
  <c r="R25" i="119"/>
  <c r="R54" i="119"/>
  <c r="R23" i="119"/>
  <c r="C35" i="119"/>
  <c r="B36" i="119"/>
  <c r="R22" i="119"/>
  <c r="R28" i="119"/>
  <c r="R49" i="119"/>
  <c r="R30" i="119"/>
  <c r="R47" i="119"/>
  <c r="R24" i="119"/>
  <c r="C47" i="119"/>
  <c r="B48" i="119"/>
  <c r="R29" i="119"/>
  <c r="R26" i="119"/>
  <c r="R53" i="119"/>
  <c r="R27" i="119"/>
  <c r="C47" i="118"/>
  <c r="B48" i="118"/>
  <c r="D27" i="118"/>
  <c r="C35" i="118"/>
  <c r="B36" i="118"/>
  <c r="P48" i="118"/>
  <c r="Q48" i="118" s="1"/>
  <c r="R48" i="118"/>
  <c r="D26" i="118"/>
  <c r="D28" i="118"/>
  <c r="D24" i="118"/>
  <c r="D29" i="118"/>
  <c r="R47" i="118"/>
  <c r="D25" i="118"/>
  <c r="D23" i="118"/>
  <c r="D22" i="118"/>
  <c r="D30" i="118"/>
  <c r="C35" i="117"/>
  <c r="B36" i="117"/>
  <c r="R26" i="117"/>
  <c r="C47" i="117"/>
  <c r="B48" i="117"/>
  <c r="R23" i="117"/>
  <c r="R30" i="117"/>
  <c r="D23" i="117"/>
  <c r="D25" i="117"/>
  <c r="R28" i="117"/>
  <c r="C47" i="116"/>
  <c r="B48" i="116"/>
  <c r="D39" i="116"/>
  <c r="R48" i="116"/>
  <c r="R52" i="116"/>
  <c r="D22" i="116"/>
  <c r="D26" i="116"/>
  <c r="D30" i="116"/>
  <c r="R51" i="116"/>
  <c r="D42" i="116"/>
  <c r="R49" i="116"/>
  <c r="R53" i="116"/>
  <c r="D23" i="116"/>
  <c r="D27" i="116"/>
  <c r="R50" i="116"/>
  <c r="R54" i="116"/>
  <c r="D24" i="116"/>
  <c r="D28" i="116"/>
  <c r="R47" i="116"/>
  <c r="P23" i="116"/>
  <c r="Q23" i="116" s="1"/>
  <c r="D25" i="116"/>
  <c r="D29" i="116"/>
  <c r="C36" i="115"/>
  <c r="B37" i="115"/>
  <c r="D24" i="115"/>
  <c r="D28" i="115"/>
  <c r="R51" i="115"/>
  <c r="D48" i="115"/>
  <c r="C49" i="115"/>
  <c r="B50" i="115"/>
  <c r="D25" i="115"/>
  <c r="D29" i="115"/>
  <c r="R48" i="115"/>
  <c r="R52" i="115"/>
  <c r="D47" i="115"/>
  <c r="P23" i="115"/>
  <c r="Q23" i="115" s="1"/>
  <c r="R23" i="115" s="1"/>
  <c r="R22" i="115"/>
  <c r="D22" i="115"/>
  <c r="D26" i="115"/>
  <c r="D30" i="115"/>
  <c r="R49" i="115"/>
  <c r="R53" i="115"/>
  <c r="D23" i="115"/>
  <c r="D27" i="115"/>
  <c r="H51" i="35"/>
  <c r="H36" i="35"/>
  <c r="R27" i="121" l="1"/>
  <c r="D47" i="121"/>
  <c r="C36" i="121"/>
  <c r="B37" i="121"/>
  <c r="D23" i="121"/>
  <c r="D30" i="121"/>
  <c r="C48" i="121"/>
  <c r="B49" i="121"/>
  <c r="D28" i="121"/>
  <c r="D36" i="121"/>
  <c r="D35" i="121"/>
  <c r="D24" i="121"/>
  <c r="P26" i="121"/>
  <c r="Q26" i="121" s="1"/>
  <c r="P27" i="121" s="1"/>
  <c r="Q27" i="121" s="1"/>
  <c r="P28" i="121" s="1"/>
  <c r="Q28" i="121" s="1"/>
  <c r="P29" i="121" s="1"/>
  <c r="Q29" i="121" s="1"/>
  <c r="P30" i="121" s="1"/>
  <c r="Q30" i="121" s="1"/>
  <c r="R25" i="121"/>
  <c r="R26" i="121"/>
  <c r="R28" i="121"/>
  <c r="D25" i="121"/>
  <c r="C48" i="120"/>
  <c r="B49" i="120"/>
  <c r="D47" i="120"/>
  <c r="D48" i="120"/>
  <c r="C36" i="120"/>
  <c r="D36" i="120" s="1"/>
  <c r="B37" i="120"/>
  <c r="D35" i="120"/>
  <c r="C48" i="119"/>
  <c r="B49" i="119"/>
  <c r="D35" i="119"/>
  <c r="D48" i="119"/>
  <c r="D47" i="119"/>
  <c r="C36" i="119"/>
  <c r="B37" i="119"/>
  <c r="C36" i="118"/>
  <c r="B37" i="118"/>
  <c r="C48" i="118"/>
  <c r="B49" i="118"/>
  <c r="D35" i="118"/>
  <c r="D36" i="118"/>
  <c r="D48" i="118"/>
  <c r="D47" i="118"/>
  <c r="P49" i="118"/>
  <c r="Q49" i="118" s="1"/>
  <c r="C48" i="117"/>
  <c r="B49" i="117"/>
  <c r="C36" i="117"/>
  <c r="B37" i="117"/>
  <c r="D47" i="117"/>
  <c r="D48" i="117"/>
  <c r="D35" i="117"/>
  <c r="P24" i="116"/>
  <c r="Q24" i="116" s="1"/>
  <c r="P25" i="116" s="1"/>
  <c r="Q25" i="116" s="1"/>
  <c r="P26" i="116" s="1"/>
  <c r="Q26" i="116" s="1"/>
  <c r="P27" i="116" s="1"/>
  <c r="Q27" i="116" s="1"/>
  <c r="P28" i="116" s="1"/>
  <c r="Q28" i="116" s="1"/>
  <c r="P29" i="116" s="1"/>
  <c r="Q29" i="116" s="1"/>
  <c r="P30" i="116" s="1"/>
  <c r="Q30" i="116" s="1"/>
  <c r="R28" i="116"/>
  <c r="R27" i="116"/>
  <c r="C48" i="116"/>
  <c r="B49" i="116"/>
  <c r="R26" i="116"/>
  <c r="R29" i="116"/>
  <c r="D47" i="116"/>
  <c r="D48" i="116"/>
  <c r="R23" i="116"/>
  <c r="R24" i="116"/>
  <c r="R25" i="116"/>
  <c r="R30" i="116"/>
  <c r="D49" i="115"/>
  <c r="C37" i="115"/>
  <c r="B38" i="115"/>
  <c r="P24" i="115"/>
  <c r="Q24" i="115" s="1"/>
  <c r="D36" i="115"/>
  <c r="D37" i="115"/>
  <c r="C50" i="115"/>
  <c r="B51" i="115"/>
  <c r="A29" i="32"/>
  <c r="B28" i="32"/>
  <c r="C28" i="32"/>
  <c r="D28" i="32"/>
  <c r="E28" i="32"/>
  <c r="F28" i="32"/>
  <c r="G28" i="32"/>
  <c r="A28" i="32"/>
  <c r="A34" i="32"/>
  <c r="A33" i="32"/>
  <c r="A38" i="32"/>
  <c r="A22" i="32"/>
  <c r="A24" i="32"/>
  <c r="A23" i="32"/>
  <c r="A39" i="32"/>
  <c r="R30" i="121" l="1"/>
  <c r="C37" i="121"/>
  <c r="B38" i="121"/>
  <c r="D48" i="121"/>
  <c r="R29" i="121"/>
  <c r="C49" i="121"/>
  <c r="B50" i="121"/>
  <c r="C49" i="120"/>
  <c r="B50" i="120"/>
  <c r="C37" i="120"/>
  <c r="B38" i="120"/>
  <c r="C37" i="119"/>
  <c r="D37" i="119" s="1"/>
  <c r="B38" i="119"/>
  <c r="D36" i="119"/>
  <c r="C49" i="119"/>
  <c r="B50" i="119"/>
  <c r="C37" i="118"/>
  <c r="B38" i="118"/>
  <c r="P50" i="118"/>
  <c r="Q50" i="118" s="1"/>
  <c r="P51" i="118" s="1"/>
  <c r="Q51" i="118" s="1"/>
  <c r="P52" i="118" s="1"/>
  <c r="Q52" i="118" s="1"/>
  <c r="P53" i="118" s="1"/>
  <c r="Q53" i="118" s="1"/>
  <c r="P54" i="118" s="1"/>
  <c r="Q54" i="118" s="1"/>
  <c r="R49" i="118"/>
  <c r="R52" i="118"/>
  <c r="R50" i="118"/>
  <c r="R53" i="118"/>
  <c r="C49" i="118"/>
  <c r="B50" i="118"/>
  <c r="D36" i="117"/>
  <c r="C37" i="117"/>
  <c r="B38" i="117"/>
  <c r="C49" i="117"/>
  <c r="B50" i="117"/>
  <c r="C49" i="116"/>
  <c r="B50" i="116"/>
  <c r="P25" i="115"/>
  <c r="Q25" i="115" s="1"/>
  <c r="P26" i="115" s="1"/>
  <c r="Q26" i="115" s="1"/>
  <c r="P27" i="115" s="1"/>
  <c r="Q27" i="115" s="1"/>
  <c r="P28" i="115" s="1"/>
  <c r="Q28" i="115" s="1"/>
  <c r="P29" i="115" s="1"/>
  <c r="Q29" i="115" s="1"/>
  <c r="P30" i="115" s="1"/>
  <c r="Q30" i="115" s="1"/>
  <c r="R27" i="115"/>
  <c r="R25" i="115"/>
  <c r="R29" i="115"/>
  <c r="R28" i="115"/>
  <c r="D50" i="115"/>
  <c r="R24" i="115"/>
  <c r="C38" i="115"/>
  <c r="B39" i="115"/>
  <c r="C51" i="115"/>
  <c r="B52" i="115"/>
  <c r="R26" i="115"/>
  <c r="T1" i="97"/>
  <c r="A1" i="97"/>
  <c r="D49" i="121" l="1"/>
  <c r="D37" i="121"/>
  <c r="C50" i="121"/>
  <c r="B51" i="121"/>
  <c r="C38" i="121"/>
  <c r="B39" i="121"/>
  <c r="D50" i="121"/>
  <c r="C50" i="120"/>
  <c r="B51" i="120"/>
  <c r="C38" i="120"/>
  <c r="D38" i="120" s="1"/>
  <c r="B39" i="120"/>
  <c r="D50" i="120"/>
  <c r="D49" i="120"/>
  <c r="D37" i="120"/>
  <c r="D49" i="119"/>
  <c r="D38" i="119"/>
  <c r="C38" i="119"/>
  <c r="B39" i="119"/>
  <c r="C50" i="119"/>
  <c r="B51" i="119"/>
  <c r="D37" i="118"/>
  <c r="C50" i="118"/>
  <c r="B51" i="118"/>
  <c r="R54" i="118"/>
  <c r="D50" i="118"/>
  <c r="D49" i="118"/>
  <c r="C38" i="118"/>
  <c r="B39" i="118"/>
  <c r="R51" i="118"/>
  <c r="C50" i="117"/>
  <c r="B51" i="117"/>
  <c r="C38" i="117"/>
  <c r="B39" i="117"/>
  <c r="D37" i="117"/>
  <c r="D38" i="117"/>
  <c r="D50" i="117"/>
  <c r="D49" i="117"/>
  <c r="C50" i="116"/>
  <c r="B51" i="116"/>
  <c r="D50" i="116"/>
  <c r="D49" i="116"/>
  <c r="D51" i="115"/>
  <c r="C39" i="115"/>
  <c r="B40" i="115"/>
  <c r="R30" i="115"/>
  <c r="C52" i="115"/>
  <c r="D52" i="115" s="1"/>
  <c r="B53" i="115"/>
  <c r="D38" i="115"/>
  <c r="Q45" i="112"/>
  <c r="Q33" i="112"/>
  <c r="Q21" i="112"/>
  <c r="Q45" i="111"/>
  <c r="Q33" i="111"/>
  <c r="Q21" i="111"/>
  <c r="R33" i="111" s="1"/>
  <c r="Q45" i="110"/>
  <c r="Q33" i="110"/>
  <c r="Q21" i="110"/>
  <c r="R45" i="110" s="1"/>
  <c r="Q45" i="109"/>
  <c r="Q33" i="109"/>
  <c r="Q21" i="109"/>
  <c r="R33" i="109" s="1"/>
  <c r="Q45" i="108"/>
  <c r="Q33" i="108"/>
  <c r="Q21" i="108"/>
  <c r="R45" i="108" s="1"/>
  <c r="Q45" i="107"/>
  <c r="Q33" i="107"/>
  <c r="Q21" i="107"/>
  <c r="R33" i="107" s="1"/>
  <c r="Q45" i="99"/>
  <c r="Q33" i="99"/>
  <c r="Q21" i="99"/>
  <c r="R45" i="99" s="1"/>
  <c r="Q45" i="106"/>
  <c r="Q33" i="106"/>
  <c r="Q21" i="106"/>
  <c r="R33" i="106" s="1"/>
  <c r="Q45" i="105"/>
  <c r="Q33" i="105"/>
  <c r="Q21" i="105"/>
  <c r="Q45" i="104"/>
  <c r="Q33" i="104"/>
  <c r="Q21" i="104"/>
  <c r="R33" i="104" s="1"/>
  <c r="Q45" i="103"/>
  <c r="Q33" i="103"/>
  <c r="Q21" i="103"/>
  <c r="R45" i="103" s="1"/>
  <c r="Q45" i="102"/>
  <c r="Q33" i="102"/>
  <c r="Q21" i="102"/>
  <c r="R33" i="102" s="1"/>
  <c r="Q45" i="101"/>
  <c r="Q33" i="101"/>
  <c r="Q21" i="101"/>
  <c r="R45" i="101" s="1"/>
  <c r="Q45" i="100"/>
  <c r="Q33" i="100"/>
  <c r="Q21" i="100"/>
  <c r="R33" i="100" s="1"/>
  <c r="Q45" i="89"/>
  <c r="Q33" i="89"/>
  <c r="Q21" i="89"/>
  <c r="R45" i="89" s="1"/>
  <c r="Q45" i="96"/>
  <c r="Q33" i="96"/>
  <c r="Q21" i="96"/>
  <c r="R33" i="96" s="1"/>
  <c r="Q45" i="94"/>
  <c r="Q33" i="94"/>
  <c r="Q21" i="94"/>
  <c r="Q45" i="93"/>
  <c r="Q33" i="93"/>
  <c r="Q21" i="93"/>
  <c r="R33" i="93" s="1"/>
  <c r="Q45" i="92"/>
  <c r="Q33" i="92"/>
  <c r="Q21" i="92"/>
  <c r="R45" i="92" s="1"/>
  <c r="Q45" i="91"/>
  <c r="Q33" i="91"/>
  <c r="Q21" i="91"/>
  <c r="R33" i="91" s="1"/>
  <c r="Q45" i="90"/>
  <c r="Q33" i="90"/>
  <c r="Q21" i="90"/>
  <c r="R45" i="90" s="1"/>
  <c r="Q45" i="88"/>
  <c r="Q33" i="88"/>
  <c r="Q21" i="88"/>
  <c r="R33" i="88" s="1"/>
  <c r="Q45" i="87"/>
  <c r="Q33" i="87"/>
  <c r="Q21" i="87"/>
  <c r="R45" i="87" s="1"/>
  <c r="Q45" i="80"/>
  <c r="Q33" i="80"/>
  <c r="R21" i="90"/>
  <c r="R21" i="112"/>
  <c r="R21" i="111"/>
  <c r="R21" i="110"/>
  <c r="R21" i="109"/>
  <c r="R21" i="108"/>
  <c r="R21" i="107"/>
  <c r="R21" i="106"/>
  <c r="R21" i="105"/>
  <c r="R21" i="104"/>
  <c r="R21" i="103"/>
  <c r="R21" i="102"/>
  <c r="R21" i="101"/>
  <c r="R21" i="100"/>
  <c r="R21" i="94"/>
  <c r="R21" i="93"/>
  <c r="R21" i="92"/>
  <c r="R21" i="91"/>
  <c r="R21" i="88"/>
  <c r="Q21" i="80"/>
  <c r="C21" i="87"/>
  <c r="C39" i="121" l="1"/>
  <c r="B40" i="121"/>
  <c r="D38" i="121"/>
  <c r="C51" i="121"/>
  <c r="B52" i="121"/>
  <c r="C51" i="120"/>
  <c r="B52" i="120"/>
  <c r="C39" i="120"/>
  <c r="B40" i="120"/>
  <c r="D50" i="119"/>
  <c r="C39" i="119"/>
  <c r="B40" i="119"/>
  <c r="C51" i="119"/>
  <c r="D51" i="119" s="1"/>
  <c r="B52" i="119"/>
  <c r="D39" i="119"/>
  <c r="C39" i="118"/>
  <c r="B40" i="118"/>
  <c r="D38" i="118"/>
  <c r="C51" i="118"/>
  <c r="B52" i="118"/>
  <c r="C39" i="117"/>
  <c r="B40" i="117"/>
  <c r="C51" i="117"/>
  <c r="B52" i="117"/>
  <c r="C51" i="116"/>
  <c r="B52" i="116"/>
  <c r="C53" i="115"/>
  <c r="B54" i="115"/>
  <c r="C54" i="115" s="1"/>
  <c r="C40" i="115"/>
  <c r="B41" i="115"/>
  <c r="D53" i="115"/>
  <c r="D39" i="115"/>
  <c r="R45" i="91"/>
  <c r="R21" i="87"/>
  <c r="R21" i="89"/>
  <c r="R21" i="99"/>
  <c r="R45" i="93"/>
  <c r="R33" i="80"/>
  <c r="R45" i="80"/>
  <c r="R45" i="94"/>
  <c r="R33" i="94"/>
  <c r="R45" i="105"/>
  <c r="R33" i="105"/>
  <c r="R45" i="112"/>
  <c r="R33" i="112"/>
  <c r="P46" i="80"/>
  <c r="R45" i="88"/>
  <c r="R33" i="108"/>
  <c r="R33" i="110"/>
  <c r="R33" i="99"/>
  <c r="P34" i="80"/>
  <c r="R33" i="101"/>
  <c r="R33" i="103"/>
  <c r="R45" i="109"/>
  <c r="R45" i="111"/>
  <c r="R33" i="89"/>
  <c r="R45" i="106"/>
  <c r="R45" i="107"/>
  <c r="R33" i="90"/>
  <c r="R33" i="92"/>
  <c r="R45" i="102"/>
  <c r="R45" i="104"/>
  <c r="R33" i="87"/>
  <c r="R45" i="96"/>
  <c r="R45" i="100"/>
  <c r="P46" i="112"/>
  <c r="Q46" i="112" s="1"/>
  <c r="P46" i="111"/>
  <c r="Q46" i="111" s="1"/>
  <c r="P46" i="110"/>
  <c r="Q46" i="110" s="1"/>
  <c r="P46" i="109"/>
  <c r="Q46" i="109" s="1"/>
  <c r="P46" i="108"/>
  <c r="Q46" i="108" s="1"/>
  <c r="P46" i="107"/>
  <c r="Q46" i="107" s="1"/>
  <c r="P46" i="99"/>
  <c r="Q46" i="99" s="1"/>
  <c r="P46" i="106"/>
  <c r="Q46" i="106" s="1"/>
  <c r="P46" i="105"/>
  <c r="Q46" i="105" s="1"/>
  <c r="P46" i="104"/>
  <c r="Q46" i="104" s="1"/>
  <c r="P46" i="103"/>
  <c r="Q46" i="103" s="1"/>
  <c r="P46" i="102"/>
  <c r="Q46" i="102" s="1"/>
  <c r="P46" i="101"/>
  <c r="Q46" i="101" s="1"/>
  <c r="P46" i="100"/>
  <c r="Q46" i="100" s="1"/>
  <c r="P46" i="89"/>
  <c r="Q46" i="89" s="1"/>
  <c r="P46" i="96"/>
  <c r="Q46" i="96" s="1"/>
  <c r="R46" i="96" s="1"/>
  <c r="P46" i="94"/>
  <c r="Q46" i="94" s="1"/>
  <c r="P46" i="93"/>
  <c r="Q46" i="93" s="1"/>
  <c r="P46" i="92"/>
  <c r="Q46" i="92" s="1"/>
  <c r="P46" i="91"/>
  <c r="Q46" i="91" s="1"/>
  <c r="P46" i="90"/>
  <c r="Q46" i="90" s="1"/>
  <c r="R46" i="90" s="1"/>
  <c r="P46" i="88"/>
  <c r="Q46" i="88" s="1"/>
  <c r="P46" i="87"/>
  <c r="Q46" i="87" s="1"/>
  <c r="P34" i="112"/>
  <c r="Q34" i="112" s="1"/>
  <c r="P34" i="111"/>
  <c r="Q34" i="111" s="1"/>
  <c r="P34" i="110"/>
  <c r="Q34" i="110" s="1"/>
  <c r="P34" i="109"/>
  <c r="Q34" i="109" s="1"/>
  <c r="P34" i="108"/>
  <c r="Q34" i="108" s="1"/>
  <c r="P34" i="107"/>
  <c r="Q34" i="107" s="1"/>
  <c r="P34" i="99"/>
  <c r="Q34" i="99" s="1"/>
  <c r="P34" i="106"/>
  <c r="Q34" i="106" s="1"/>
  <c r="P34" i="105"/>
  <c r="Q34" i="105" s="1"/>
  <c r="P34" i="104"/>
  <c r="Q34" i="104" s="1"/>
  <c r="P34" i="103"/>
  <c r="Q34" i="103" s="1"/>
  <c r="P34" i="102"/>
  <c r="Q34" i="102" s="1"/>
  <c r="P34" i="101"/>
  <c r="Q34" i="101" s="1"/>
  <c r="P34" i="100"/>
  <c r="Q34" i="100" s="1"/>
  <c r="P34" i="89"/>
  <c r="Q34" i="89" s="1"/>
  <c r="R34" i="89" s="1"/>
  <c r="P34" i="96"/>
  <c r="Q34" i="96" s="1"/>
  <c r="P34" i="94"/>
  <c r="Q34" i="94" s="1"/>
  <c r="P34" i="93"/>
  <c r="Q34" i="93" s="1"/>
  <c r="P34" i="92"/>
  <c r="Q34" i="92" s="1"/>
  <c r="P34" i="91"/>
  <c r="Q34" i="91" s="1"/>
  <c r="P34" i="90"/>
  <c r="Q34" i="90" s="1"/>
  <c r="P34" i="88"/>
  <c r="Q34" i="88" s="1"/>
  <c r="P34" i="87"/>
  <c r="Q34" i="87" s="1"/>
  <c r="Q46" i="80"/>
  <c r="P47" i="80" s="1"/>
  <c r="Q34" i="80"/>
  <c r="P35" i="80" s="1"/>
  <c r="P22" i="112"/>
  <c r="Q22" i="112" s="1"/>
  <c r="P22" i="111"/>
  <c r="Q22" i="111" s="1"/>
  <c r="P22" i="110"/>
  <c r="Q22" i="110" s="1"/>
  <c r="P22" i="109"/>
  <c r="Q22" i="109" s="1"/>
  <c r="P22" i="108"/>
  <c r="Q22" i="108" s="1"/>
  <c r="P22" i="107"/>
  <c r="Q22" i="107" s="1"/>
  <c r="P22" i="99"/>
  <c r="Q22" i="99" s="1"/>
  <c r="P22" i="106"/>
  <c r="Q22" i="106" s="1"/>
  <c r="P22" i="105"/>
  <c r="Q22" i="105" s="1"/>
  <c r="P22" i="104"/>
  <c r="Q22" i="104" s="1"/>
  <c r="P22" i="103"/>
  <c r="Q22" i="103" s="1"/>
  <c r="P22" i="102"/>
  <c r="Q22" i="102" s="1"/>
  <c r="P22" i="101"/>
  <c r="Q22" i="101" s="1"/>
  <c r="P22" i="100"/>
  <c r="Q22" i="100" s="1"/>
  <c r="P22" i="89"/>
  <c r="Q22" i="89" s="1"/>
  <c r="P22" i="96"/>
  <c r="R21" i="96"/>
  <c r="P22" i="94"/>
  <c r="Q22" i="94" s="1"/>
  <c r="P22" i="93"/>
  <c r="Q22" i="93" s="1"/>
  <c r="P22" i="92"/>
  <c r="Q22" i="92" s="1"/>
  <c r="P22" i="91"/>
  <c r="Q22" i="91" s="1"/>
  <c r="P22" i="90"/>
  <c r="Q22" i="90" s="1"/>
  <c r="P22" i="88"/>
  <c r="Q22" i="88" s="1"/>
  <c r="P22" i="87"/>
  <c r="Q22" i="87" s="1"/>
  <c r="R21" i="80"/>
  <c r="P22" i="80"/>
  <c r="Q22" i="80" s="1"/>
  <c r="R22" i="80" s="1"/>
  <c r="D39" i="121" l="1"/>
  <c r="D51" i="121"/>
  <c r="C52" i="121"/>
  <c r="D52" i="121" s="1"/>
  <c r="B53" i="121"/>
  <c r="C40" i="121"/>
  <c r="D40" i="121" s="1"/>
  <c r="B41" i="121"/>
  <c r="D39" i="120"/>
  <c r="D51" i="120"/>
  <c r="C40" i="120"/>
  <c r="D40" i="120" s="1"/>
  <c r="B41" i="120"/>
  <c r="C52" i="120"/>
  <c r="D52" i="120" s="1"/>
  <c r="B53" i="120"/>
  <c r="C40" i="119"/>
  <c r="B41" i="119"/>
  <c r="C52" i="119"/>
  <c r="B53" i="119"/>
  <c r="D51" i="118"/>
  <c r="D39" i="118"/>
  <c r="C40" i="118"/>
  <c r="D40" i="118" s="1"/>
  <c r="B41" i="118"/>
  <c r="C52" i="118"/>
  <c r="B53" i="118"/>
  <c r="C52" i="117"/>
  <c r="D52" i="117" s="1"/>
  <c r="B53" i="117"/>
  <c r="C40" i="117"/>
  <c r="B41" i="117"/>
  <c r="D51" i="117"/>
  <c r="D40" i="117"/>
  <c r="D39" i="117"/>
  <c r="C52" i="116"/>
  <c r="B53" i="116"/>
  <c r="D52" i="116"/>
  <c r="D51" i="116"/>
  <c r="C41" i="115"/>
  <c r="D42" i="115" s="1"/>
  <c r="B42" i="115"/>
  <c r="C42" i="115" s="1"/>
  <c r="D41" i="115"/>
  <c r="D54" i="115"/>
  <c r="D40" i="115"/>
  <c r="R34" i="101"/>
  <c r="R34" i="105"/>
  <c r="R34" i="108"/>
  <c r="R34" i="109"/>
  <c r="R46" i="94"/>
  <c r="R34" i="91"/>
  <c r="R46" i="91"/>
  <c r="R46" i="92"/>
  <c r="R46" i="104"/>
  <c r="R34" i="104"/>
  <c r="R46" i="89"/>
  <c r="R22" i="90"/>
  <c r="R46" i="102"/>
  <c r="R34" i="92"/>
  <c r="R46" i="100"/>
  <c r="R34" i="100"/>
  <c r="R46" i="103"/>
  <c r="R46" i="101"/>
  <c r="R34" i="96"/>
  <c r="R34" i="107"/>
  <c r="R46" i="80"/>
  <c r="R34" i="88"/>
  <c r="R34" i="110"/>
  <c r="R34" i="94"/>
  <c r="R46" i="93"/>
  <c r="R34" i="87"/>
  <c r="R46" i="105"/>
  <c r="R34" i="102"/>
  <c r="R34" i="111"/>
  <c r="R46" i="99"/>
  <c r="R34" i="93"/>
  <c r="R46" i="87"/>
  <c r="R46" i="112"/>
  <c r="R34" i="80"/>
  <c r="R46" i="88"/>
  <c r="Q22" i="96"/>
  <c r="P23" i="96" s="1"/>
  <c r="Q23" i="96" s="1"/>
  <c r="R46" i="109"/>
  <c r="R46" i="111"/>
  <c r="R34" i="99"/>
  <c r="R34" i="112"/>
  <c r="R46" i="110"/>
  <c r="R34" i="90"/>
  <c r="R34" i="103"/>
  <c r="R46" i="108"/>
  <c r="R34" i="106"/>
  <c r="R46" i="107"/>
  <c r="R46" i="106"/>
  <c r="P47" i="112"/>
  <c r="P47" i="111"/>
  <c r="Q47" i="111" s="1"/>
  <c r="P47" i="110"/>
  <c r="Q47" i="110" s="1"/>
  <c r="P47" i="109"/>
  <c r="Q47" i="109" s="1"/>
  <c r="P47" i="108"/>
  <c r="P47" i="107"/>
  <c r="P47" i="99"/>
  <c r="Q47" i="99" s="1"/>
  <c r="P47" i="106"/>
  <c r="P47" i="105"/>
  <c r="P47" i="104"/>
  <c r="P47" i="103"/>
  <c r="Q47" i="103" s="1"/>
  <c r="P47" i="102"/>
  <c r="P47" i="101"/>
  <c r="P47" i="100"/>
  <c r="Q47" i="100" s="1"/>
  <c r="R47" i="100" s="1"/>
  <c r="P47" i="89"/>
  <c r="P47" i="96"/>
  <c r="P47" i="94"/>
  <c r="P47" i="93"/>
  <c r="P47" i="92"/>
  <c r="P47" i="91"/>
  <c r="P47" i="90"/>
  <c r="P47" i="88"/>
  <c r="Q47" i="88" s="1"/>
  <c r="P47" i="87"/>
  <c r="P35" i="112"/>
  <c r="Q35" i="112" s="1"/>
  <c r="P35" i="111"/>
  <c r="Q35" i="111" s="1"/>
  <c r="P35" i="110"/>
  <c r="Q35" i="110" s="1"/>
  <c r="R35" i="110" s="1"/>
  <c r="P35" i="109"/>
  <c r="Q35" i="109" s="1"/>
  <c r="P35" i="108"/>
  <c r="P35" i="107"/>
  <c r="P35" i="99"/>
  <c r="P35" i="106"/>
  <c r="Q35" i="106" s="1"/>
  <c r="P35" i="105"/>
  <c r="P35" i="104"/>
  <c r="Q35" i="104" s="1"/>
  <c r="R35" i="104" s="1"/>
  <c r="P35" i="103"/>
  <c r="Q35" i="103" s="1"/>
  <c r="P35" i="102"/>
  <c r="P35" i="101"/>
  <c r="P35" i="100"/>
  <c r="P35" i="89"/>
  <c r="Q35" i="89" s="1"/>
  <c r="P35" i="96"/>
  <c r="Q35" i="96" s="1"/>
  <c r="P35" i="94"/>
  <c r="P35" i="93"/>
  <c r="Q35" i="93" s="1"/>
  <c r="P35" i="92"/>
  <c r="P35" i="91"/>
  <c r="Q35" i="91" s="1"/>
  <c r="P35" i="90"/>
  <c r="P35" i="88"/>
  <c r="Q35" i="88" s="1"/>
  <c r="R35" i="88" s="1"/>
  <c r="P35" i="87"/>
  <c r="Q47" i="80"/>
  <c r="Q35" i="80"/>
  <c r="P36" i="80" s="1"/>
  <c r="R22" i="112"/>
  <c r="P23" i="112"/>
  <c r="Q23" i="112" s="1"/>
  <c r="R22" i="111"/>
  <c r="P23" i="111"/>
  <c r="R22" i="110"/>
  <c r="P23" i="110"/>
  <c r="P23" i="109"/>
  <c r="Q23" i="109" s="1"/>
  <c r="R23" i="109" s="1"/>
  <c r="R22" i="109"/>
  <c r="R22" i="108"/>
  <c r="P23" i="108"/>
  <c r="P23" i="107"/>
  <c r="Q23" i="107" s="1"/>
  <c r="R23" i="107" s="1"/>
  <c r="R22" i="107"/>
  <c r="R22" i="99"/>
  <c r="P23" i="99"/>
  <c r="Q23" i="99" s="1"/>
  <c r="R22" i="106"/>
  <c r="P23" i="106"/>
  <c r="R22" i="105"/>
  <c r="P23" i="105"/>
  <c r="Q23" i="105" s="1"/>
  <c r="R23" i="105" s="1"/>
  <c r="R22" i="104"/>
  <c r="P23" i="104"/>
  <c r="Q23" i="104" s="1"/>
  <c r="P23" i="103"/>
  <c r="Q23" i="103" s="1"/>
  <c r="R22" i="103"/>
  <c r="P23" i="102"/>
  <c r="Q23" i="102" s="1"/>
  <c r="R22" i="102"/>
  <c r="R22" i="101"/>
  <c r="P23" i="101"/>
  <c r="R22" i="100"/>
  <c r="P23" i="100"/>
  <c r="Q23" i="100" s="1"/>
  <c r="R22" i="89"/>
  <c r="P23" i="89"/>
  <c r="Q23" i="89" s="1"/>
  <c r="R22" i="96"/>
  <c r="R22" i="94"/>
  <c r="P23" i="94"/>
  <c r="Q23" i="94" s="1"/>
  <c r="R22" i="93"/>
  <c r="P23" i="93"/>
  <c r="R22" i="92"/>
  <c r="P23" i="92"/>
  <c r="R22" i="91"/>
  <c r="P23" i="91"/>
  <c r="P23" i="90"/>
  <c r="Q23" i="90" s="1"/>
  <c r="R22" i="88"/>
  <c r="P23" i="88"/>
  <c r="Q23" i="88" s="1"/>
  <c r="R22" i="87"/>
  <c r="P23" i="87"/>
  <c r="C53" i="121" l="1"/>
  <c r="D53" i="121" s="1"/>
  <c r="B54" i="121"/>
  <c r="C54" i="121" s="1"/>
  <c r="D54" i="121" s="1"/>
  <c r="C41" i="121"/>
  <c r="D41" i="121" s="1"/>
  <c r="B42" i="121"/>
  <c r="C42" i="121" s="1"/>
  <c r="D42" i="121" s="1"/>
  <c r="D54" i="120"/>
  <c r="C41" i="120"/>
  <c r="D41" i="120" s="1"/>
  <c r="B42" i="120"/>
  <c r="C42" i="120" s="1"/>
  <c r="D42" i="120" s="1"/>
  <c r="C53" i="120"/>
  <c r="D53" i="120" s="1"/>
  <c r="B54" i="120"/>
  <c r="C54" i="120" s="1"/>
  <c r="C53" i="119"/>
  <c r="D53" i="119" s="1"/>
  <c r="B54" i="119"/>
  <c r="C54" i="119" s="1"/>
  <c r="D54" i="119" s="1"/>
  <c r="D52" i="119"/>
  <c r="C41" i="119"/>
  <c r="D41" i="119" s="1"/>
  <c r="B42" i="119"/>
  <c r="C42" i="119" s="1"/>
  <c r="D40" i="119"/>
  <c r="C53" i="118"/>
  <c r="B54" i="118"/>
  <c r="C54" i="118" s="1"/>
  <c r="D54" i="118" s="1"/>
  <c r="D52" i="118"/>
  <c r="C41" i="118"/>
  <c r="D41" i="118" s="1"/>
  <c r="B42" i="118"/>
  <c r="C42" i="118" s="1"/>
  <c r="D42" i="118" s="1"/>
  <c r="D53" i="118"/>
  <c r="C53" i="117"/>
  <c r="B54" i="117"/>
  <c r="C54" i="117" s="1"/>
  <c r="C41" i="117"/>
  <c r="D41" i="117" s="1"/>
  <c r="B42" i="117"/>
  <c r="C42" i="117" s="1"/>
  <c r="D42" i="117" s="1"/>
  <c r="C53" i="116"/>
  <c r="D53" i="116" s="1"/>
  <c r="B54" i="116"/>
  <c r="C54" i="116" s="1"/>
  <c r="D54" i="116" s="1"/>
  <c r="P24" i="96"/>
  <c r="R23" i="96"/>
  <c r="R23" i="90"/>
  <c r="R47" i="80"/>
  <c r="R36" i="89"/>
  <c r="R35" i="93"/>
  <c r="R36" i="110"/>
  <c r="R47" i="111"/>
  <c r="R47" i="109"/>
  <c r="R35" i="111"/>
  <c r="R47" i="103"/>
  <c r="R35" i="112"/>
  <c r="R36" i="96"/>
  <c r="R35" i="89"/>
  <c r="R35" i="96"/>
  <c r="R35" i="106"/>
  <c r="R47" i="99"/>
  <c r="R47" i="110"/>
  <c r="R47" i="88"/>
  <c r="R35" i="109"/>
  <c r="R35" i="80"/>
  <c r="R35" i="91"/>
  <c r="R35" i="103"/>
  <c r="Q47" i="112"/>
  <c r="P48" i="112" s="1"/>
  <c r="P48" i="108"/>
  <c r="Q47" i="108"/>
  <c r="Q35" i="108"/>
  <c r="Q47" i="107"/>
  <c r="Q35" i="107"/>
  <c r="Q35" i="99"/>
  <c r="Q47" i="106"/>
  <c r="Q47" i="105"/>
  <c r="Q35" i="105"/>
  <c r="Q47" i="104"/>
  <c r="Q47" i="102"/>
  <c r="Q35" i="102"/>
  <c r="Q47" i="101"/>
  <c r="Q35" i="101"/>
  <c r="Q35" i="100"/>
  <c r="Q47" i="89"/>
  <c r="Q47" i="96"/>
  <c r="Q47" i="94"/>
  <c r="Q35" i="94"/>
  <c r="Q47" i="93"/>
  <c r="P48" i="93" s="1"/>
  <c r="Q47" i="92"/>
  <c r="Q35" i="92"/>
  <c r="Q47" i="91"/>
  <c r="Q47" i="90"/>
  <c r="Q35" i="90"/>
  <c r="Q47" i="87"/>
  <c r="Q35" i="87"/>
  <c r="P48" i="111"/>
  <c r="P48" i="110"/>
  <c r="Q48" i="110" s="1"/>
  <c r="R48" i="110" s="1"/>
  <c r="P48" i="109"/>
  <c r="P48" i="99"/>
  <c r="P48" i="103"/>
  <c r="Q48" i="103" s="1"/>
  <c r="R48" i="103" s="1"/>
  <c r="P48" i="100"/>
  <c r="Q48" i="100" s="1"/>
  <c r="R48" i="100" s="1"/>
  <c r="P48" i="88"/>
  <c r="Q48" i="88" s="1"/>
  <c r="P36" i="112"/>
  <c r="Q36" i="112" s="1"/>
  <c r="R36" i="112" s="1"/>
  <c r="P36" i="111"/>
  <c r="P36" i="110"/>
  <c r="Q36" i="110" s="1"/>
  <c r="P36" i="109"/>
  <c r="Q36" i="109" s="1"/>
  <c r="R36" i="109" s="1"/>
  <c r="P36" i="106"/>
  <c r="P36" i="104"/>
  <c r="Q36" i="104" s="1"/>
  <c r="R36" i="104" s="1"/>
  <c r="P36" i="103"/>
  <c r="Q36" i="103" s="1"/>
  <c r="P36" i="89"/>
  <c r="Q36" i="89" s="1"/>
  <c r="P36" i="96"/>
  <c r="Q36" i="96" s="1"/>
  <c r="P36" i="93"/>
  <c r="Q36" i="93" s="1"/>
  <c r="P36" i="91"/>
  <c r="P36" i="88"/>
  <c r="Q36" i="88" s="1"/>
  <c r="R36" i="88" s="1"/>
  <c r="P48" i="80"/>
  <c r="Q48" i="80" s="1"/>
  <c r="Q36" i="80"/>
  <c r="R36" i="80" s="1"/>
  <c r="Q23" i="111"/>
  <c r="Q23" i="110"/>
  <c r="Q23" i="108"/>
  <c r="P24" i="108" s="1"/>
  <c r="Q23" i="106"/>
  <c r="R23" i="106" s="1"/>
  <c r="Q23" i="101"/>
  <c r="R23" i="101" s="1"/>
  <c r="Q24" i="96"/>
  <c r="Q23" i="93"/>
  <c r="R23" i="93" s="1"/>
  <c r="P24" i="92"/>
  <c r="Q23" i="92"/>
  <c r="R23" i="92" s="1"/>
  <c r="Q23" i="91"/>
  <c r="P24" i="109"/>
  <c r="P24" i="107"/>
  <c r="Q24" i="107" s="1"/>
  <c r="R24" i="107" s="1"/>
  <c r="P24" i="99"/>
  <c r="Q24" i="99" s="1"/>
  <c r="P25" i="99" s="1"/>
  <c r="Q25" i="99" s="1"/>
  <c r="P26" i="99" s="1"/>
  <c r="Q26" i="99" s="1"/>
  <c r="P27" i="99" s="1"/>
  <c r="Q27" i="99" s="1"/>
  <c r="P28" i="99" s="1"/>
  <c r="Q28" i="99" s="1"/>
  <c r="P29" i="99" s="1"/>
  <c r="Q29" i="99" s="1"/>
  <c r="P30" i="99" s="1"/>
  <c r="Q30" i="99" s="1"/>
  <c r="R23" i="99"/>
  <c r="P24" i="105"/>
  <c r="Q24" i="105" s="1"/>
  <c r="P24" i="104"/>
  <c r="R23" i="104"/>
  <c r="P24" i="103"/>
  <c r="Q24" i="103" s="1"/>
  <c r="R23" i="103"/>
  <c r="P24" i="102"/>
  <c r="Q24" i="102" s="1"/>
  <c r="R23" i="102"/>
  <c r="P24" i="100"/>
  <c r="Q24" i="100" s="1"/>
  <c r="R23" i="100"/>
  <c r="P24" i="89"/>
  <c r="Q24" i="89" s="1"/>
  <c r="R23" i="89"/>
  <c r="R23" i="94"/>
  <c r="P24" i="94"/>
  <c r="Q24" i="94" s="1"/>
  <c r="P24" i="90"/>
  <c r="P24" i="88"/>
  <c r="Q24" i="88" s="1"/>
  <c r="R23" i="88"/>
  <c r="P24" i="87"/>
  <c r="Q24" i="87" s="1"/>
  <c r="P25" i="87" s="1"/>
  <c r="Q23" i="87"/>
  <c r="R23" i="87" s="1"/>
  <c r="P23" i="80"/>
  <c r="Q23" i="80" s="1"/>
  <c r="C21" i="80"/>
  <c r="D21" i="80" s="1"/>
  <c r="O23" i="97"/>
  <c r="O33" i="97" s="1"/>
  <c r="O43" i="97" s="1"/>
  <c r="P23" i="97"/>
  <c r="P33" i="97" s="1"/>
  <c r="P43" i="97" s="1"/>
  <c r="Q23" i="97"/>
  <c r="Q33" i="97" s="1"/>
  <c r="Q43" i="97" s="1"/>
  <c r="R23" i="97"/>
  <c r="R33" i="97" s="1"/>
  <c r="R43" i="97" s="1"/>
  <c r="S23" i="97"/>
  <c r="S33" i="97" s="1"/>
  <c r="S43" i="97" s="1"/>
  <c r="T23" i="97"/>
  <c r="T33" i="97" s="1"/>
  <c r="T43" i="97" s="1"/>
  <c r="U23" i="97"/>
  <c r="U33" i="97" s="1"/>
  <c r="U43" i="97" s="1"/>
  <c r="V23" i="97"/>
  <c r="V33" i="97" s="1"/>
  <c r="V43" i="97" s="1"/>
  <c r="N23" i="97"/>
  <c r="N33" i="97" s="1"/>
  <c r="N43" i="97" s="1"/>
  <c r="H24" i="12"/>
  <c r="W14" i="12"/>
  <c r="Q14" i="12" s="1"/>
  <c r="M45" i="12" s="1"/>
  <c r="H25" i="12"/>
  <c r="Q15" i="12"/>
  <c r="P15" i="12" s="1"/>
  <c r="O15" i="12" s="1"/>
  <c r="O25" i="12" s="1"/>
  <c r="H26" i="12"/>
  <c r="Q16" i="12"/>
  <c r="P16" i="12" s="1"/>
  <c r="H27" i="12"/>
  <c r="Q17" i="12"/>
  <c r="P17" i="12" s="1"/>
  <c r="P27" i="12" s="1"/>
  <c r="H28" i="12"/>
  <c r="Q18" i="12"/>
  <c r="B22" i="15"/>
  <c r="B23" i="15"/>
  <c r="B24" i="15"/>
  <c r="B25" i="15"/>
  <c r="B26" i="15"/>
  <c r="B27" i="15"/>
  <c r="B28" i="15"/>
  <c r="B29" i="15"/>
  <c r="B30" i="15"/>
  <c r="B31" i="15"/>
  <c r="H29" i="12"/>
  <c r="Q19" i="12"/>
  <c r="B30" i="24"/>
  <c r="C22" i="15"/>
  <c r="C23" i="15"/>
  <c r="C24" i="15"/>
  <c r="C25" i="15"/>
  <c r="C26" i="15"/>
  <c r="C27" i="15"/>
  <c r="C28" i="15"/>
  <c r="C29" i="15"/>
  <c r="C30" i="15"/>
  <c r="C31" i="15"/>
  <c r="C30" i="24"/>
  <c r="D22" i="15"/>
  <c r="D23" i="15"/>
  <c r="D24" i="15"/>
  <c r="D25" i="15"/>
  <c r="D26" i="15"/>
  <c r="D27" i="15"/>
  <c r="D28" i="15"/>
  <c r="D29" i="15"/>
  <c r="D30" i="15"/>
  <c r="D31" i="15"/>
  <c r="D30" i="24"/>
  <c r="E22" i="15"/>
  <c r="E23" i="15"/>
  <c r="E24" i="15"/>
  <c r="E25" i="15"/>
  <c r="E26" i="15"/>
  <c r="E27" i="15"/>
  <c r="E28" i="15"/>
  <c r="E29" i="15"/>
  <c r="E30" i="15"/>
  <c r="E31" i="15"/>
  <c r="E30" i="24"/>
  <c r="F22" i="15"/>
  <c r="F23" i="15"/>
  <c r="F24" i="15"/>
  <c r="F25" i="15"/>
  <c r="F26" i="15"/>
  <c r="F27" i="15"/>
  <c r="F28" i="15"/>
  <c r="F29" i="15"/>
  <c r="F30" i="15"/>
  <c r="F31" i="15"/>
  <c r="F30" i="24"/>
  <c r="G22" i="15"/>
  <c r="G23" i="15"/>
  <c r="G24" i="15"/>
  <c r="G25" i="15"/>
  <c r="G26" i="15"/>
  <c r="G27" i="15"/>
  <c r="G28" i="15"/>
  <c r="G29" i="15"/>
  <c r="G30" i="15"/>
  <c r="G31" i="15"/>
  <c r="G30" i="24"/>
  <c r="H22" i="15"/>
  <c r="H23" i="15"/>
  <c r="H24" i="15"/>
  <c r="H25" i="15"/>
  <c r="H26" i="15"/>
  <c r="H27" i="15"/>
  <c r="H28" i="15"/>
  <c r="H29" i="15"/>
  <c r="H30" i="15"/>
  <c r="H31" i="15"/>
  <c r="H21" i="14" s="1"/>
  <c r="H30" i="24"/>
  <c r="I22" i="15"/>
  <c r="I23" i="15"/>
  <c r="I24" i="15"/>
  <c r="I25" i="15"/>
  <c r="I26" i="15"/>
  <c r="I27" i="15"/>
  <c r="I28" i="15"/>
  <c r="I29" i="15"/>
  <c r="I30" i="15"/>
  <c r="I31" i="15"/>
  <c r="I30" i="24"/>
  <c r="J22" i="15"/>
  <c r="J23" i="15"/>
  <c r="J24" i="15"/>
  <c r="J25" i="15"/>
  <c r="J26" i="15"/>
  <c r="J27" i="15"/>
  <c r="J28" i="15"/>
  <c r="J29" i="15"/>
  <c r="J30" i="15"/>
  <c r="J31" i="15"/>
  <c r="J30" i="24"/>
  <c r="K22" i="15"/>
  <c r="K23" i="15"/>
  <c r="K24" i="15"/>
  <c r="K25" i="15"/>
  <c r="K26" i="15"/>
  <c r="K27" i="15"/>
  <c r="K28" i="15"/>
  <c r="K29" i="15"/>
  <c r="K30" i="15"/>
  <c r="K31" i="15"/>
  <c r="K30" i="24"/>
  <c r="B31" i="24"/>
  <c r="C31" i="24"/>
  <c r="D31" i="24"/>
  <c r="E31" i="24"/>
  <c r="F31" i="24"/>
  <c r="G31" i="24"/>
  <c r="H31" i="24"/>
  <c r="I31" i="24"/>
  <c r="J31" i="24"/>
  <c r="K31" i="24"/>
  <c r="B32" i="24"/>
  <c r="C32" i="24"/>
  <c r="D32" i="24"/>
  <c r="E32" i="24"/>
  <c r="F32" i="24"/>
  <c r="G32" i="24"/>
  <c r="H32" i="24"/>
  <c r="I32" i="24"/>
  <c r="J32" i="24"/>
  <c r="K32" i="24"/>
  <c r="B33" i="24"/>
  <c r="C33" i="24"/>
  <c r="D33" i="24"/>
  <c r="E33" i="24"/>
  <c r="F33" i="24"/>
  <c r="G33" i="24"/>
  <c r="H33" i="24"/>
  <c r="I33" i="24"/>
  <c r="J33" i="24"/>
  <c r="K33" i="24"/>
  <c r="B34" i="24"/>
  <c r="C34" i="24"/>
  <c r="D34" i="24"/>
  <c r="E34" i="24"/>
  <c r="F34" i="24"/>
  <c r="G34" i="24"/>
  <c r="H34" i="24"/>
  <c r="I34" i="24"/>
  <c r="J34" i="24"/>
  <c r="K34" i="24"/>
  <c r="B35" i="24"/>
  <c r="C35" i="24"/>
  <c r="D35" i="24"/>
  <c r="E35" i="24"/>
  <c r="F35" i="24"/>
  <c r="G35" i="24"/>
  <c r="H35" i="24"/>
  <c r="I35" i="24"/>
  <c r="J35" i="24"/>
  <c r="K35" i="24"/>
  <c r="B36" i="24"/>
  <c r="C36" i="24"/>
  <c r="D36" i="24"/>
  <c r="E36" i="24"/>
  <c r="F36" i="24"/>
  <c r="G36" i="24"/>
  <c r="H36" i="24"/>
  <c r="I36" i="24"/>
  <c r="J36" i="24"/>
  <c r="K36" i="24"/>
  <c r="B37" i="24"/>
  <c r="C37" i="24"/>
  <c r="D37" i="24"/>
  <c r="E37" i="24"/>
  <c r="F37" i="24"/>
  <c r="G37" i="24"/>
  <c r="H37" i="24"/>
  <c r="I37" i="24"/>
  <c r="J37" i="24"/>
  <c r="K37" i="24"/>
  <c r="B38" i="24"/>
  <c r="C38" i="24"/>
  <c r="D38" i="24"/>
  <c r="E38" i="24"/>
  <c r="F38" i="24"/>
  <c r="G38" i="24"/>
  <c r="H38" i="24"/>
  <c r="I38" i="24"/>
  <c r="J38" i="24"/>
  <c r="K38" i="24"/>
  <c r="D45" i="24"/>
  <c r="D58" i="24"/>
  <c r="E45" i="24"/>
  <c r="F45" i="24"/>
  <c r="G45" i="24"/>
  <c r="H45" i="24"/>
  <c r="I45" i="24"/>
  <c r="J45" i="24"/>
  <c r="K45" i="24"/>
  <c r="C46" i="24"/>
  <c r="E46" i="24"/>
  <c r="F46" i="24"/>
  <c r="G46" i="24"/>
  <c r="H46" i="24"/>
  <c r="I46" i="24"/>
  <c r="J46" i="24"/>
  <c r="K46" i="24"/>
  <c r="C47" i="24"/>
  <c r="D47" i="24"/>
  <c r="F47" i="24"/>
  <c r="G47" i="24"/>
  <c r="H47" i="24"/>
  <c r="I47" i="24"/>
  <c r="J47" i="24"/>
  <c r="K47" i="24"/>
  <c r="C48" i="24"/>
  <c r="D48" i="24"/>
  <c r="E48" i="24"/>
  <c r="G48" i="24"/>
  <c r="H48" i="24"/>
  <c r="I48" i="24"/>
  <c r="J48" i="24"/>
  <c r="K48" i="24"/>
  <c r="C49" i="24"/>
  <c r="D49" i="24"/>
  <c r="E49" i="24"/>
  <c r="F49" i="24"/>
  <c r="H49" i="24"/>
  <c r="I49" i="24"/>
  <c r="J49" i="24"/>
  <c r="K49" i="24"/>
  <c r="C50" i="24"/>
  <c r="D50" i="24"/>
  <c r="E50" i="24"/>
  <c r="F50" i="24"/>
  <c r="G50" i="24"/>
  <c r="I50" i="24"/>
  <c r="J50" i="24"/>
  <c r="K50" i="24"/>
  <c r="C51" i="24"/>
  <c r="D51" i="24"/>
  <c r="E51" i="24"/>
  <c r="F51" i="24"/>
  <c r="G51" i="24"/>
  <c r="H51" i="24"/>
  <c r="J51" i="24"/>
  <c r="K51" i="24"/>
  <c r="C52" i="24"/>
  <c r="D52" i="24"/>
  <c r="E52" i="24"/>
  <c r="F52" i="24"/>
  <c r="G52" i="24"/>
  <c r="H52" i="24"/>
  <c r="I52" i="24"/>
  <c r="K52" i="24"/>
  <c r="C53" i="24"/>
  <c r="D53" i="24"/>
  <c r="E53" i="24"/>
  <c r="F53" i="24"/>
  <c r="G53" i="24"/>
  <c r="H53" i="24"/>
  <c r="I53" i="24"/>
  <c r="J53" i="24"/>
  <c r="E58" i="24"/>
  <c r="F58" i="24"/>
  <c r="G58" i="24"/>
  <c r="H58" i="24"/>
  <c r="I58" i="24"/>
  <c r="J58" i="24"/>
  <c r="K58" i="24"/>
  <c r="C59" i="24"/>
  <c r="E59" i="24"/>
  <c r="F59" i="24"/>
  <c r="G59" i="24"/>
  <c r="H59" i="24"/>
  <c r="I59" i="24"/>
  <c r="J59" i="24"/>
  <c r="K59" i="24"/>
  <c r="C60" i="24"/>
  <c r="D60" i="24"/>
  <c r="F60" i="24"/>
  <c r="G60" i="24"/>
  <c r="H60" i="24"/>
  <c r="I60" i="24"/>
  <c r="J60" i="24"/>
  <c r="K60" i="24"/>
  <c r="C61" i="24"/>
  <c r="D61" i="24"/>
  <c r="E61" i="24"/>
  <c r="G61" i="24"/>
  <c r="H61" i="24"/>
  <c r="I61" i="24"/>
  <c r="J61" i="24"/>
  <c r="K61" i="24"/>
  <c r="C62" i="24"/>
  <c r="D62" i="24"/>
  <c r="E62" i="24"/>
  <c r="F62" i="24"/>
  <c r="H62" i="24"/>
  <c r="I62" i="24"/>
  <c r="J62" i="24"/>
  <c r="K62" i="24"/>
  <c r="C63" i="24"/>
  <c r="D63" i="24"/>
  <c r="E63" i="24"/>
  <c r="F63" i="24"/>
  <c r="G63" i="24"/>
  <c r="I63" i="24"/>
  <c r="J63" i="24"/>
  <c r="K63" i="24"/>
  <c r="C64" i="24"/>
  <c r="D64" i="24"/>
  <c r="E64" i="24"/>
  <c r="F64" i="24"/>
  <c r="G64" i="24"/>
  <c r="H64" i="24"/>
  <c r="J64" i="24"/>
  <c r="K64" i="24"/>
  <c r="C65" i="24"/>
  <c r="D65" i="24"/>
  <c r="E65" i="24"/>
  <c r="F65" i="24"/>
  <c r="G65" i="24"/>
  <c r="H65" i="24"/>
  <c r="I65" i="24"/>
  <c r="K65" i="24"/>
  <c r="C66" i="24"/>
  <c r="D66" i="24"/>
  <c r="E66" i="24"/>
  <c r="F66" i="24"/>
  <c r="G66" i="24"/>
  <c r="H66" i="24"/>
  <c r="I66" i="24"/>
  <c r="J66" i="24"/>
  <c r="B19" i="24"/>
  <c r="C19" i="24"/>
  <c r="D19" i="24"/>
  <c r="E19" i="24"/>
  <c r="F19" i="24"/>
  <c r="G19" i="24"/>
  <c r="H19" i="24"/>
  <c r="I19" i="24"/>
  <c r="J19" i="24"/>
  <c r="K19" i="24"/>
  <c r="B20" i="24"/>
  <c r="C20" i="24"/>
  <c r="D20" i="24"/>
  <c r="E20" i="24"/>
  <c r="F20" i="24"/>
  <c r="G20" i="24"/>
  <c r="H20" i="24"/>
  <c r="I20" i="24"/>
  <c r="J20" i="24"/>
  <c r="K20" i="24"/>
  <c r="B21" i="24"/>
  <c r="C21" i="24"/>
  <c r="D21" i="24"/>
  <c r="E21" i="24"/>
  <c r="F21" i="24"/>
  <c r="G21" i="24"/>
  <c r="H21" i="24"/>
  <c r="I21" i="24"/>
  <c r="J21" i="24"/>
  <c r="K21" i="24"/>
  <c r="B22" i="24"/>
  <c r="C22" i="24"/>
  <c r="D22" i="24"/>
  <c r="E22" i="24"/>
  <c r="F22" i="24"/>
  <c r="G22" i="24"/>
  <c r="H22" i="24"/>
  <c r="I22" i="24"/>
  <c r="J22" i="24"/>
  <c r="K22" i="24"/>
  <c r="B23" i="24"/>
  <c r="C23" i="24"/>
  <c r="D23" i="24"/>
  <c r="E23" i="24"/>
  <c r="F23" i="24"/>
  <c r="G23" i="24"/>
  <c r="H23" i="24"/>
  <c r="I23" i="24"/>
  <c r="J23" i="24"/>
  <c r="K23" i="24"/>
  <c r="B24" i="24"/>
  <c r="C24" i="24"/>
  <c r="D24" i="24"/>
  <c r="E24" i="24"/>
  <c r="F24" i="24"/>
  <c r="G24" i="24"/>
  <c r="H24" i="24"/>
  <c r="I24" i="24"/>
  <c r="J24" i="24"/>
  <c r="K24" i="24"/>
  <c r="B25" i="24"/>
  <c r="C25" i="24"/>
  <c r="D25" i="24"/>
  <c r="E25" i="24"/>
  <c r="F25" i="24"/>
  <c r="G25" i="24"/>
  <c r="H25" i="24"/>
  <c r="I25" i="24"/>
  <c r="J25" i="24"/>
  <c r="K25" i="24"/>
  <c r="B26" i="24"/>
  <c r="C26" i="24"/>
  <c r="D26" i="24"/>
  <c r="E26" i="24"/>
  <c r="F26" i="24"/>
  <c r="G26" i="24"/>
  <c r="H26" i="24"/>
  <c r="I26" i="24"/>
  <c r="J26" i="24"/>
  <c r="K26" i="24"/>
  <c r="B29" i="24"/>
  <c r="C29" i="24"/>
  <c r="D29" i="24"/>
  <c r="E29" i="24"/>
  <c r="F29" i="24"/>
  <c r="G29" i="24"/>
  <c r="H29" i="24"/>
  <c r="I29" i="24"/>
  <c r="J29" i="24"/>
  <c r="K29" i="24"/>
  <c r="B27" i="24"/>
  <c r="B27" i="25"/>
  <c r="Y32" i="97" s="1"/>
  <c r="C27" i="24"/>
  <c r="C27" i="25"/>
  <c r="D27" i="24"/>
  <c r="D27" i="25"/>
  <c r="AA32" i="97" s="1"/>
  <c r="E27" i="24"/>
  <c r="E27" i="25"/>
  <c r="AB32" i="97" s="1"/>
  <c r="F27" i="24"/>
  <c r="F27" i="25"/>
  <c r="AC32" i="97" s="1"/>
  <c r="G27" i="24"/>
  <c r="G27" i="25"/>
  <c r="AD32" i="97" s="1"/>
  <c r="H27" i="24"/>
  <c r="H27" i="25"/>
  <c r="I27" i="24"/>
  <c r="I27" i="25"/>
  <c r="J27" i="24"/>
  <c r="J27" i="25"/>
  <c r="AG32" i="97" s="1"/>
  <c r="K27" i="24"/>
  <c r="K27" i="25"/>
  <c r="AH32" i="97" s="1"/>
  <c r="J33" i="12"/>
  <c r="C1" i="28" s="1"/>
  <c r="C45" i="80"/>
  <c r="B46" i="80"/>
  <c r="B47" i="80" s="1"/>
  <c r="C47" i="80"/>
  <c r="C45" i="87"/>
  <c r="B46" i="87"/>
  <c r="C46" i="87" s="1"/>
  <c r="C45" i="88"/>
  <c r="B46" i="88"/>
  <c r="C46" i="88" s="1"/>
  <c r="B47" i="88"/>
  <c r="C47" i="88" s="1"/>
  <c r="C45" i="90"/>
  <c r="B46" i="90"/>
  <c r="C46" i="90" s="1"/>
  <c r="B47" i="90"/>
  <c r="C47" i="90" s="1"/>
  <c r="C45" i="91"/>
  <c r="B46" i="91"/>
  <c r="B47" i="91" s="1"/>
  <c r="C47" i="91" s="1"/>
  <c r="C46" i="91"/>
  <c r="D46" i="91" s="1"/>
  <c r="C45" i="92"/>
  <c r="B46" i="92"/>
  <c r="B47" i="92" s="1"/>
  <c r="B48" i="92" s="1"/>
  <c r="C46" i="92"/>
  <c r="C45" i="93"/>
  <c r="B46" i="93"/>
  <c r="B47" i="93" s="1"/>
  <c r="C46" i="93"/>
  <c r="C45" i="94"/>
  <c r="B46" i="94"/>
  <c r="B47" i="94" s="1"/>
  <c r="C46" i="94"/>
  <c r="C45" i="96"/>
  <c r="B46" i="96"/>
  <c r="B48" i="80"/>
  <c r="C48" i="80"/>
  <c r="B48" i="90"/>
  <c r="C48" i="90" s="1"/>
  <c r="D46" i="87"/>
  <c r="H44" i="26"/>
  <c r="H45" i="26"/>
  <c r="H5" i="35"/>
  <c r="B22" i="87"/>
  <c r="C22" i="87" s="1"/>
  <c r="B23" i="87" s="1"/>
  <c r="C23" i="87" s="1"/>
  <c r="C21" i="88"/>
  <c r="C21" i="90"/>
  <c r="C21" i="91"/>
  <c r="C21" i="92"/>
  <c r="C21" i="93"/>
  <c r="B22" i="93" s="1"/>
  <c r="C22" i="93" s="1"/>
  <c r="C21" i="94"/>
  <c r="C21" i="96"/>
  <c r="D22" i="87"/>
  <c r="AF4" i="97"/>
  <c r="H21" i="35"/>
  <c r="AB4" i="97"/>
  <c r="Z4" i="97"/>
  <c r="U4" i="97"/>
  <c r="P4" i="97"/>
  <c r="L4" i="97"/>
  <c r="E4" i="97"/>
  <c r="A42" i="97"/>
  <c r="A43" i="97"/>
  <c r="A39" i="97"/>
  <c r="A40" i="97"/>
  <c r="A41" i="97"/>
  <c r="C40" i="24"/>
  <c r="D45" i="88"/>
  <c r="D45" i="87"/>
  <c r="C33" i="88"/>
  <c r="B34" i="88"/>
  <c r="C34" i="88" s="1"/>
  <c r="C33" i="87"/>
  <c r="B34" i="87"/>
  <c r="C34" i="87" s="1"/>
  <c r="D34" i="87" s="1"/>
  <c r="D33" i="87"/>
  <c r="D21" i="87"/>
  <c r="M30" i="97"/>
  <c r="A41" i="32" s="1"/>
  <c r="M31" i="97"/>
  <c r="A42" i="32" s="1"/>
  <c r="M29" i="97"/>
  <c r="A40" i="32" s="1"/>
  <c r="O28" i="97"/>
  <c r="P28" i="97"/>
  <c r="Q28" i="97"/>
  <c r="R28" i="97"/>
  <c r="S28" i="97"/>
  <c r="T28" i="97"/>
  <c r="T38" i="97" s="1"/>
  <c r="U28" i="97"/>
  <c r="U38" i="97" s="1"/>
  <c r="V28" i="97"/>
  <c r="V38" i="97" s="1"/>
  <c r="N28" i="97"/>
  <c r="M20" i="97"/>
  <c r="A36" i="32" s="1"/>
  <c r="M21" i="97"/>
  <c r="A37" i="32" s="1"/>
  <c r="M19" i="97"/>
  <c r="A35" i="32" s="1"/>
  <c r="O18" i="97"/>
  <c r="C34" i="32" s="1"/>
  <c r="P18" i="97"/>
  <c r="D34" i="32" s="1"/>
  <c r="Q18" i="97"/>
  <c r="E34" i="32" s="1"/>
  <c r="R18" i="97"/>
  <c r="F34" i="32" s="1"/>
  <c r="S18" i="97"/>
  <c r="G34" i="32" s="1"/>
  <c r="T18" i="97"/>
  <c r="U18" i="97"/>
  <c r="V18" i="97"/>
  <c r="N18" i="97"/>
  <c r="B34" i="32" s="1"/>
  <c r="M15" i="97"/>
  <c r="A31" i="32" s="1"/>
  <c r="M16" i="97"/>
  <c r="A32" i="32" s="1"/>
  <c r="M14" i="97"/>
  <c r="A30" i="32" s="1"/>
  <c r="O13" i="97"/>
  <c r="C29" i="32" s="1"/>
  <c r="P13" i="97"/>
  <c r="D29" i="32" s="1"/>
  <c r="Q13" i="97"/>
  <c r="E29" i="32" s="1"/>
  <c r="R13" i="97"/>
  <c r="F29" i="32" s="1"/>
  <c r="S13" i="97"/>
  <c r="G29" i="32" s="1"/>
  <c r="T13" i="97"/>
  <c r="U13" i="97"/>
  <c r="V13" i="97"/>
  <c r="N13" i="97"/>
  <c r="B29" i="32" s="1"/>
  <c r="M9" i="97"/>
  <c r="A25" i="32" s="1"/>
  <c r="M10" i="97"/>
  <c r="A26" i="32" s="1"/>
  <c r="M11" i="97"/>
  <c r="A27" i="32" s="1"/>
  <c r="N7" i="97"/>
  <c r="B23" i="32" s="1"/>
  <c r="O7" i="97"/>
  <c r="C23" i="32" s="1"/>
  <c r="P7" i="97"/>
  <c r="D23" i="32" s="1"/>
  <c r="Q7" i="97"/>
  <c r="E23" i="32" s="1"/>
  <c r="R7" i="97"/>
  <c r="F23" i="32" s="1"/>
  <c r="S7" i="97"/>
  <c r="G23" i="32" s="1"/>
  <c r="T7" i="97"/>
  <c r="U7" i="97"/>
  <c r="V7" i="97"/>
  <c r="B46" i="112"/>
  <c r="C45" i="112"/>
  <c r="C21" i="112"/>
  <c r="B22" i="112" s="1"/>
  <c r="C22" i="112" s="1"/>
  <c r="B34" i="112"/>
  <c r="C34" i="112"/>
  <c r="C33" i="112"/>
  <c r="B46" i="111"/>
  <c r="C46" i="111" s="1"/>
  <c r="C45" i="111"/>
  <c r="C21" i="111"/>
  <c r="B34" i="111"/>
  <c r="B35" i="111" s="1"/>
  <c r="C35" i="111" s="1"/>
  <c r="C33" i="111"/>
  <c r="B46" i="110"/>
  <c r="C45" i="110"/>
  <c r="C21" i="110"/>
  <c r="B34" i="110"/>
  <c r="B35" i="110" s="1"/>
  <c r="B36" i="110" s="1"/>
  <c r="C33" i="110"/>
  <c r="D33" i="110" s="1"/>
  <c r="B46" i="109"/>
  <c r="C45" i="109"/>
  <c r="D46" i="109" s="1"/>
  <c r="C21" i="109"/>
  <c r="B34" i="109"/>
  <c r="B35" i="109" s="1"/>
  <c r="C33" i="109"/>
  <c r="B46" i="108"/>
  <c r="C45" i="108"/>
  <c r="D45" i="108" s="1"/>
  <c r="C21" i="108"/>
  <c r="B22" i="108" s="1"/>
  <c r="C22" i="108" s="1"/>
  <c r="B34" i="108"/>
  <c r="C34" i="108" s="1"/>
  <c r="D34" i="108" s="1"/>
  <c r="B35" i="108"/>
  <c r="C33" i="108"/>
  <c r="B46" i="107"/>
  <c r="B47" i="107" s="1"/>
  <c r="C45" i="107"/>
  <c r="D45" i="107" s="1"/>
  <c r="C21" i="107"/>
  <c r="D21" i="107" s="1"/>
  <c r="B34" i="107"/>
  <c r="C34" i="107" s="1"/>
  <c r="C33" i="107"/>
  <c r="D33" i="107" s="1"/>
  <c r="B35" i="112"/>
  <c r="C35" i="112" s="1"/>
  <c r="D33" i="112"/>
  <c r="D33" i="111"/>
  <c r="B36" i="111"/>
  <c r="C34" i="111"/>
  <c r="D34" i="111" s="1"/>
  <c r="B22" i="110"/>
  <c r="C22" i="110" s="1"/>
  <c r="D21" i="110"/>
  <c r="C34" i="110"/>
  <c r="B47" i="109"/>
  <c r="B48" i="109" s="1"/>
  <c r="D33" i="109"/>
  <c r="C46" i="109"/>
  <c r="D45" i="109"/>
  <c r="D33" i="108"/>
  <c r="B22" i="107"/>
  <c r="C22" i="107" s="1"/>
  <c r="B46" i="106"/>
  <c r="C45" i="106"/>
  <c r="C21" i="106"/>
  <c r="B34" i="106"/>
  <c r="C34" i="106" s="1"/>
  <c r="C33" i="106"/>
  <c r="D33" i="106" s="1"/>
  <c r="B46" i="105"/>
  <c r="C46" i="105" s="1"/>
  <c r="C45" i="105"/>
  <c r="D45" i="105" s="1"/>
  <c r="C21" i="105"/>
  <c r="B34" i="105"/>
  <c r="B35" i="105" s="1"/>
  <c r="C33" i="105"/>
  <c r="B46" i="104"/>
  <c r="C45" i="104"/>
  <c r="C21" i="104"/>
  <c r="B22" i="104" s="1"/>
  <c r="C22" i="104" s="1"/>
  <c r="B34" i="104"/>
  <c r="B35" i="104" s="1"/>
  <c r="C33" i="104"/>
  <c r="D33" i="104" s="1"/>
  <c r="B46" i="103"/>
  <c r="C45" i="103"/>
  <c r="C21" i="103"/>
  <c r="D21" i="103" s="1"/>
  <c r="B34" i="103"/>
  <c r="C33" i="103"/>
  <c r="B46" i="102"/>
  <c r="C45" i="102"/>
  <c r="C21" i="102"/>
  <c r="D21" i="102" s="1"/>
  <c r="B34" i="102"/>
  <c r="C33" i="102"/>
  <c r="B46" i="101"/>
  <c r="B47" i="101"/>
  <c r="B48" i="101" s="1"/>
  <c r="B49" i="101" s="1"/>
  <c r="C45" i="101"/>
  <c r="D45" i="101" s="1"/>
  <c r="C21" i="101"/>
  <c r="D21" i="101" s="1"/>
  <c r="B34" i="101"/>
  <c r="C33" i="101"/>
  <c r="D33" i="101" s="1"/>
  <c r="B46" i="100"/>
  <c r="C45" i="100"/>
  <c r="D45" i="100" s="1"/>
  <c r="C21" i="100"/>
  <c r="B34" i="100"/>
  <c r="C34" i="100" s="1"/>
  <c r="C33" i="100"/>
  <c r="D21" i="104"/>
  <c r="C46" i="101"/>
  <c r="D46" i="101"/>
  <c r="B22" i="106"/>
  <c r="C22" i="106" s="1"/>
  <c r="D21" i="106"/>
  <c r="B47" i="105"/>
  <c r="B48" i="105" s="1"/>
  <c r="D45" i="104"/>
  <c r="D33" i="103"/>
  <c r="B22" i="103"/>
  <c r="C22" i="103" s="1"/>
  <c r="D45" i="103"/>
  <c r="B47" i="102"/>
  <c r="B48" i="102" s="1"/>
  <c r="C46" i="102"/>
  <c r="D33" i="102"/>
  <c r="B22" i="100"/>
  <c r="C22" i="100" s="1"/>
  <c r="D33" i="100"/>
  <c r="L27" i="95" s="1"/>
  <c r="D21" i="100"/>
  <c r="B46" i="99"/>
  <c r="C46" i="99" s="1"/>
  <c r="C45" i="99"/>
  <c r="D45" i="99" s="1"/>
  <c r="B46" i="89"/>
  <c r="C46" i="89" s="1"/>
  <c r="C45" i="89"/>
  <c r="D45" i="96"/>
  <c r="D45" i="94"/>
  <c r="D45" i="93"/>
  <c r="D45" i="92"/>
  <c r="D45" i="90"/>
  <c r="C21" i="99"/>
  <c r="C21" i="89"/>
  <c r="B22" i="89" s="1"/>
  <c r="C22" i="89" s="1"/>
  <c r="D21" i="93"/>
  <c r="D21" i="91"/>
  <c r="D21" i="90"/>
  <c r="B34" i="99"/>
  <c r="C34" i="99" s="1"/>
  <c r="C33" i="99"/>
  <c r="D33" i="99" s="1"/>
  <c r="B34" i="89"/>
  <c r="C34" i="89" s="1"/>
  <c r="D34" i="89" s="1"/>
  <c r="C33" i="89"/>
  <c r="D33" i="89" s="1"/>
  <c r="B34" i="96"/>
  <c r="C34" i="96" s="1"/>
  <c r="C33" i="96"/>
  <c r="D33" i="96" s="1"/>
  <c r="B34" i="94"/>
  <c r="C33" i="94"/>
  <c r="D33" i="94" s="1"/>
  <c r="B34" i="93"/>
  <c r="C33" i="93"/>
  <c r="D33" i="93" s="1"/>
  <c r="B34" i="92"/>
  <c r="C34" i="92" s="1"/>
  <c r="D34" i="92" s="1"/>
  <c r="C33" i="92"/>
  <c r="D33" i="92" s="1"/>
  <c r="B34" i="91"/>
  <c r="C34" i="91" s="1"/>
  <c r="C33" i="91"/>
  <c r="D33" i="91" s="1"/>
  <c r="B34" i="90"/>
  <c r="C33" i="90"/>
  <c r="D33" i="90" s="1"/>
  <c r="D45" i="80"/>
  <c r="B34" i="80"/>
  <c r="C33" i="80"/>
  <c r="D33" i="80" s="1"/>
  <c r="B35" i="99"/>
  <c r="C35" i="99" s="1"/>
  <c r="B47" i="89"/>
  <c r="D45" i="91"/>
  <c r="D34" i="91"/>
  <c r="B49" i="80"/>
  <c r="C49" i="80" s="1"/>
  <c r="B50" i="80"/>
  <c r="C50" i="80" s="1"/>
  <c r="X43" i="97"/>
  <c r="X40" i="97"/>
  <c r="X41" i="97"/>
  <c r="X42" i="97"/>
  <c r="X34" i="97"/>
  <c r="X35" i="97"/>
  <c r="X36" i="97"/>
  <c r="X37" i="97"/>
  <c r="X38" i="97"/>
  <c r="X39" i="97"/>
  <c r="X8" i="97"/>
  <c r="X9" i="97"/>
  <c r="X10" i="97"/>
  <c r="X11" i="97"/>
  <c r="X12" i="97"/>
  <c r="X13" i="97"/>
  <c r="X14" i="97"/>
  <c r="X15" i="97"/>
  <c r="X16" i="97"/>
  <c r="X17" i="97"/>
  <c r="X18" i="97"/>
  <c r="X19" i="97"/>
  <c r="X20" i="97"/>
  <c r="X21" i="97"/>
  <c r="X22" i="97"/>
  <c r="X23" i="97"/>
  <c r="Y23" i="97"/>
  <c r="Z23" i="97"/>
  <c r="AA23" i="97"/>
  <c r="AB23" i="97"/>
  <c r="AC23" i="97"/>
  <c r="AD23" i="97"/>
  <c r="AE23" i="97"/>
  <c r="AF23" i="97"/>
  <c r="AG23" i="97"/>
  <c r="AH23" i="97"/>
  <c r="X24" i="97"/>
  <c r="X25" i="97"/>
  <c r="X26" i="97"/>
  <c r="X27" i="97"/>
  <c r="X28" i="97"/>
  <c r="X29" i="97"/>
  <c r="X30" i="97"/>
  <c r="X31" i="97"/>
  <c r="X32" i="97"/>
  <c r="X33" i="97"/>
  <c r="Y33" i="97"/>
  <c r="Z33" i="97"/>
  <c r="AA33" i="97"/>
  <c r="AB33" i="97"/>
  <c r="AC33" i="97"/>
  <c r="AD33" i="97"/>
  <c r="AE33" i="97"/>
  <c r="AF33" i="97"/>
  <c r="AG33" i="97"/>
  <c r="AH33" i="97"/>
  <c r="AH7" i="97"/>
  <c r="AD7" i="97"/>
  <c r="AE7" i="97"/>
  <c r="AF7" i="97"/>
  <c r="AG7" i="97"/>
  <c r="Y7" i="97"/>
  <c r="Z7" i="97"/>
  <c r="AA7" i="97"/>
  <c r="AB7" i="97"/>
  <c r="AC7" i="97"/>
  <c r="X7" i="97"/>
  <c r="C7" i="97"/>
  <c r="D7" i="97"/>
  <c r="E7" i="97"/>
  <c r="F7" i="97"/>
  <c r="G7" i="97"/>
  <c r="H7" i="97"/>
  <c r="I7" i="97"/>
  <c r="J7" i="97"/>
  <c r="K7" i="97"/>
  <c r="A36" i="97"/>
  <c r="A35" i="97"/>
  <c r="A22" i="97"/>
  <c r="A23" i="97"/>
  <c r="A24" i="97"/>
  <c r="A25" i="97"/>
  <c r="A26" i="97"/>
  <c r="B26" i="97"/>
  <c r="C26" i="97"/>
  <c r="D26" i="97"/>
  <c r="E26" i="97"/>
  <c r="F26" i="97"/>
  <c r="G26" i="97"/>
  <c r="H26" i="97"/>
  <c r="I26" i="97"/>
  <c r="J26" i="97"/>
  <c r="K26" i="97"/>
  <c r="A27" i="97"/>
  <c r="A28" i="97"/>
  <c r="A29" i="97"/>
  <c r="A30" i="97"/>
  <c r="A31" i="97"/>
  <c r="A32" i="97"/>
  <c r="A33" i="97"/>
  <c r="A34" i="97"/>
  <c r="H18" i="97"/>
  <c r="I18" i="97"/>
  <c r="J18" i="97"/>
  <c r="K18" i="97"/>
  <c r="A7" i="97"/>
  <c r="B7" i="97"/>
  <c r="A8" i="97"/>
  <c r="A9" i="97"/>
  <c r="A10" i="97"/>
  <c r="A11" i="97"/>
  <c r="A12" i="97"/>
  <c r="A13" i="97"/>
  <c r="A14" i="97"/>
  <c r="A15" i="97"/>
  <c r="A16" i="97"/>
  <c r="A17" i="97"/>
  <c r="A18" i="97"/>
  <c r="B18" i="97"/>
  <c r="C18" i="97"/>
  <c r="D18" i="97"/>
  <c r="E18" i="97"/>
  <c r="F18" i="97"/>
  <c r="G18" i="97"/>
  <c r="A19" i="97"/>
  <c r="A20" i="97"/>
  <c r="A21" i="97"/>
  <c r="A6" i="97"/>
  <c r="O23" i="15"/>
  <c r="O24" i="15"/>
  <c r="O25" i="15"/>
  <c r="O29" i="15"/>
  <c r="O30" i="15"/>
  <c r="O31" i="15"/>
  <c r="P22" i="15"/>
  <c r="P23" i="15"/>
  <c r="P26" i="15"/>
  <c r="P27" i="15"/>
  <c r="P30" i="15"/>
  <c r="P31" i="15"/>
  <c r="Q23" i="15"/>
  <c r="Q24" i="15"/>
  <c r="Q25" i="15"/>
  <c r="Q29" i="15"/>
  <c r="Q30" i="15"/>
  <c r="Q31" i="15"/>
  <c r="R22" i="15"/>
  <c r="R23" i="15"/>
  <c r="R26" i="15"/>
  <c r="R27" i="15"/>
  <c r="R30" i="15"/>
  <c r="R31" i="15"/>
  <c r="S23" i="15"/>
  <c r="S24" i="15"/>
  <c r="S25" i="15"/>
  <c r="F25" i="18"/>
  <c r="S29" i="15"/>
  <c r="S30" i="15"/>
  <c r="T22" i="15"/>
  <c r="T23" i="15"/>
  <c r="T26" i="15"/>
  <c r="T27" i="15"/>
  <c r="T30" i="15"/>
  <c r="U23" i="15"/>
  <c r="U24" i="15"/>
  <c r="U25" i="15"/>
  <c r="U29" i="15"/>
  <c r="U30" i="15"/>
  <c r="V23" i="15"/>
  <c r="V27" i="15"/>
  <c r="V28" i="15"/>
  <c r="V29" i="15"/>
  <c r="V30" i="15"/>
  <c r="V31" i="15"/>
  <c r="W22" i="15"/>
  <c r="W23" i="15"/>
  <c r="W24" i="15"/>
  <c r="W25" i="15"/>
  <c r="W29" i="15"/>
  <c r="W30" i="15"/>
  <c r="W31" i="15"/>
  <c r="X23" i="15"/>
  <c r="X27" i="15"/>
  <c r="X28" i="15"/>
  <c r="X29" i="15"/>
  <c r="X31" i="15"/>
  <c r="Z32" i="97"/>
  <c r="AF32" i="97"/>
  <c r="K17" i="33"/>
  <c r="J18" i="33"/>
  <c r="I19" i="33"/>
  <c r="H20" i="33"/>
  <c r="C17" i="33"/>
  <c r="D17" i="33"/>
  <c r="E17" i="33"/>
  <c r="F17" i="33"/>
  <c r="G17" i="33"/>
  <c r="H17" i="33"/>
  <c r="I17" i="33"/>
  <c r="J17" i="33"/>
  <c r="C18" i="33"/>
  <c r="D18" i="33"/>
  <c r="E18" i="33"/>
  <c r="F18" i="33"/>
  <c r="G18" i="33"/>
  <c r="H18" i="33"/>
  <c r="I18" i="33"/>
  <c r="K18" i="33"/>
  <c r="C19" i="33"/>
  <c r="D19" i="33"/>
  <c r="E19" i="33"/>
  <c r="F19" i="33"/>
  <c r="G19" i="33"/>
  <c r="H19" i="33"/>
  <c r="J19" i="33"/>
  <c r="K19" i="33"/>
  <c r="C20" i="33"/>
  <c r="D20" i="33"/>
  <c r="E20" i="33"/>
  <c r="F20" i="33"/>
  <c r="G20" i="33"/>
  <c r="I20" i="33"/>
  <c r="J20" i="33"/>
  <c r="K20" i="33"/>
  <c r="C21" i="33"/>
  <c r="D21" i="33"/>
  <c r="E21" i="33"/>
  <c r="F21" i="33"/>
  <c r="G21" i="33"/>
  <c r="H21" i="33"/>
  <c r="I21" i="33"/>
  <c r="J21" i="33"/>
  <c r="K21" i="33"/>
  <c r="C22" i="33"/>
  <c r="D22" i="33"/>
  <c r="E22" i="33"/>
  <c r="F22" i="33"/>
  <c r="G22" i="33"/>
  <c r="H22" i="33"/>
  <c r="I22" i="33"/>
  <c r="J22" i="33"/>
  <c r="K22" i="33"/>
  <c r="C23" i="33"/>
  <c r="D23" i="33"/>
  <c r="E23" i="33"/>
  <c r="F23" i="33"/>
  <c r="G23" i="33"/>
  <c r="H23" i="33"/>
  <c r="I23" i="33"/>
  <c r="J23" i="33"/>
  <c r="K23" i="33"/>
  <c r="C24" i="33"/>
  <c r="D24" i="33"/>
  <c r="E24" i="33"/>
  <c r="F24" i="33"/>
  <c r="G24" i="33"/>
  <c r="H24" i="33"/>
  <c r="I24" i="33"/>
  <c r="J24" i="33"/>
  <c r="K24" i="33"/>
  <c r="C25" i="33"/>
  <c r="D25" i="33"/>
  <c r="E25" i="33"/>
  <c r="F25" i="33"/>
  <c r="G25" i="33"/>
  <c r="H25" i="33"/>
  <c r="I25" i="33"/>
  <c r="J25" i="33"/>
  <c r="K25" i="33"/>
  <c r="C4" i="33"/>
  <c r="D4" i="33"/>
  <c r="E4" i="33"/>
  <c r="F4" i="33"/>
  <c r="G4" i="33"/>
  <c r="H4" i="33"/>
  <c r="I4" i="33"/>
  <c r="J4" i="33"/>
  <c r="K4" i="33"/>
  <c r="C5" i="33"/>
  <c r="D5" i="33"/>
  <c r="E5" i="33"/>
  <c r="F5" i="33"/>
  <c r="G5" i="33"/>
  <c r="H5" i="33"/>
  <c r="I5" i="33"/>
  <c r="J5" i="33"/>
  <c r="K5" i="33"/>
  <c r="C6" i="33"/>
  <c r="D6" i="33"/>
  <c r="E6" i="33"/>
  <c r="F6" i="33"/>
  <c r="G6" i="33"/>
  <c r="H6" i="33"/>
  <c r="I6" i="33"/>
  <c r="J6" i="33"/>
  <c r="K6" i="33"/>
  <c r="C7" i="33"/>
  <c r="D7" i="33"/>
  <c r="E7" i="33"/>
  <c r="F7" i="33"/>
  <c r="G7" i="33"/>
  <c r="H7" i="33"/>
  <c r="I7" i="33"/>
  <c r="J7" i="33"/>
  <c r="K7" i="33"/>
  <c r="C8" i="33"/>
  <c r="D8" i="33"/>
  <c r="E8" i="33"/>
  <c r="F8" i="33"/>
  <c r="G8" i="33"/>
  <c r="H8" i="33"/>
  <c r="I8" i="33"/>
  <c r="J8" i="33"/>
  <c r="K8" i="33"/>
  <c r="C9" i="33"/>
  <c r="D9" i="33"/>
  <c r="E9" i="33"/>
  <c r="F9" i="33"/>
  <c r="G9" i="33"/>
  <c r="H9" i="33"/>
  <c r="I9" i="33"/>
  <c r="J9" i="33"/>
  <c r="K9" i="33"/>
  <c r="C10" i="33"/>
  <c r="D10" i="33"/>
  <c r="E10" i="33"/>
  <c r="F10" i="33"/>
  <c r="G10" i="33"/>
  <c r="H10" i="33"/>
  <c r="I10" i="33"/>
  <c r="J10" i="33"/>
  <c r="K10" i="33"/>
  <c r="C11" i="33"/>
  <c r="D11" i="33"/>
  <c r="E11" i="33"/>
  <c r="F11" i="33"/>
  <c r="G11" i="33"/>
  <c r="H11" i="33"/>
  <c r="I11" i="33"/>
  <c r="J11" i="33"/>
  <c r="K11" i="33"/>
  <c r="C12" i="33"/>
  <c r="D12" i="33"/>
  <c r="E12" i="33"/>
  <c r="F12" i="33"/>
  <c r="G12" i="33"/>
  <c r="H12" i="33"/>
  <c r="I12" i="33"/>
  <c r="J12" i="33"/>
  <c r="K12" i="33"/>
  <c r="Y43" i="33"/>
  <c r="Z43" i="33"/>
  <c r="AA43" i="33"/>
  <c r="AB43" i="33"/>
  <c r="L21" i="33"/>
  <c r="G26" i="33"/>
  <c r="L4" i="33"/>
  <c r="L5" i="33"/>
  <c r="L6" i="33"/>
  <c r="L7" i="33"/>
  <c r="L8" i="33"/>
  <c r="L9" i="33"/>
  <c r="L10" i="33"/>
  <c r="L11" i="33"/>
  <c r="L12" i="33"/>
  <c r="L13" i="33"/>
  <c r="L17" i="33"/>
  <c r="L18" i="33"/>
  <c r="L19" i="33"/>
  <c r="L20" i="33"/>
  <c r="L22" i="33"/>
  <c r="L23" i="33"/>
  <c r="L24" i="33"/>
  <c r="L25" i="33"/>
  <c r="L26" i="33"/>
  <c r="C13" i="33"/>
  <c r="D13" i="33"/>
  <c r="E13" i="33"/>
  <c r="F13" i="33"/>
  <c r="G13" i="33"/>
  <c r="H13" i="33"/>
  <c r="I13" i="33"/>
  <c r="J13" i="33"/>
  <c r="K13" i="33"/>
  <c r="C26" i="33"/>
  <c r="D26" i="33"/>
  <c r="E26" i="33"/>
  <c r="F26" i="33"/>
  <c r="H26" i="33"/>
  <c r="I26" i="33"/>
  <c r="J26" i="33"/>
  <c r="K26" i="33"/>
  <c r="S53" i="33"/>
  <c r="T53" i="33"/>
  <c r="U53" i="33"/>
  <c r="X73" i="33"/>
  <c r="Y73" i="33"/>
  <c r="Z73" i="33"/>
  <c r="AA73" i="33"/>
  <c r="AB73" i="33"/>
  <c r="R82" i="33"/>
  <c r="S82" i="33"/>
  <c r="T82" i="33"/>
  <c r="W102" i="33"/>
  <c r="X102" i="33"/>
  <c r="Y102" i="33"/>
  <c r="Z102" i="33"/>
  <c r="AA102" i="33"/>
  <c r="AB102" i="33"/>
  <c r="B2" i="34"/>
  <c r="C2" i="34" s="1"/>
  <c r="Q110" i="33"/>
  <c r="R110" i="33"/>
  <c r="S110" i="33"/>
  <c r="R114" i="33"/>
  <c r="C114" i="33"/>
  <c r="D114" i="33"/>
  <c r="E114" i="33"/>
  <c r="F114" i="33"/>
  <c r="G114" i="33"/>
  <c r="H114" i="33"/>
  <c r="I114" i="33"/>
  <c r="J114" i="33"/>
  <c r="C86" i="33"/>
  <c r="D86" i="33"/>
  <c r="E86" i="33"/>
  <c r="F86" i="33"/>
  <c r="G86" i="33"/>
  <c r="H86" i="33"/>
  <c r="I86" i="33"/>
  <c r="J86" i="33"/>
  <c r="S86" i="33"/>
  <c r="C57" i="33"/>
  <c r="D57" i="33"/>
  <c r="E57" i="33"/>
  <c r="F57" i="33"/>
  <c r="G57" i="33"/>
  <c r="H57" i="33"/>
  <c r="I57" i="33"/>
  <c r="J57" i="33"/>
  <c r="T110" i="33"/>
  <c r="W20" i="12"/>
  <c r="Q20" i="12" s="1"/>
  <c r="Q30" i="12" s="1"/>
  <c r="H30" i="12"/>
  <c r="R24" i="12"/>
  <c r="R25" i="12"/>
  <c r="R26" i="12"/>
  <c r="R27" i="12"/>
  <c r="R28" i="12"/>
  <c r="R31" i="12" s="1"/>
  <c r="R29" i="12"/>
  <c r="R30" i="12"/>
  <c r="S24" i="12"/>
  <c r="S25" i="12"/>
  <c r="S26" i="12"/>
  <c r="S27" i="12"/>
  <c r="S28" i="12"/>
  <c r="S29" i="12"/>
  <c r="S30" i="12"/>
  <c r="T24" i="12"/>
  <c r="T25" i="12"/>
  <c r="T26" i="12"/>
  <c r="T27" i="12"/>
  <c r="T28" i="12"/>
  <c r="T29" i="12"/>
  <c r="T30" i="12"/>
  <c r="U24" i="12"/>
  <c r="U25" i="12"/>
  <c r="U26" i="12"/>
  <c r="U27" i="12"/>
  <c r="U28" i="12"/>
  <c r="U29" i="12"/>
  <c r="U30" i="12"/>
  <c r="V24" i="12"/>
  <c r="V25" i="12"/>
  <c r="V26" i="12"/>
  <c r="V27" i="12"/>
  <c r="V28" i="12"/>
  <c r="V29" i="12"/>
  <c r="V30" i="12"/>
  <c r="W25" i="12"/>
  <c r="W26" i="12"/>
  <c r="W27" i="12"/>
  <c r="W28" i="12"/>
  <c r="W29" i="12"/>
  <c r="I31" i="12"/>
  <c r="J31" i="12"/>
  <c r="K31" i="12"/>
  <c r="L31" i="12"/>
  <c r="C5" i="32"/>
  <c r="B22" i="20"/>
  <c r="B23" i="20"/>
  <c r="B24" i="20"/>
  <c r="B25" i="20"/>
  <c r="B26" i="20"/>
  <c r="B27" i="20"/>
  <c r="B28" i="20"/>
  <c r="B29" i="20"/>
  <c r="B30" i="20"/>
  <c r="B31" i="20"/>
  <c r="C22" i="20"/>
  <c r="D22" i="20"/>
  <c r="E22" i="20"/>
  <c r="R22" i="20" s="1"/>
  <c r="F22" i="20"/>
  <c r="S22" i="20" s="1"/>
  <c r="G22" i="20"/>
  <c r="H22" i="20"/>
  <c r="I22" i="20"/>
  <c r="J22" i="20"/>
  <c r="K22" i="20"/>
  <c r="C23" i="20"/>
  <c r="D23" i="20"/>
  <c r="E23" i="20"/>
  <c r="F23" i="20"/>
  <c r="G23" i="20"/>
  <c r="T23" i="20" s="1"/>
  <c r="H23" i="20"/>
  <c r="I23" i="20"/>
  <c r="J23" i="20"/>
  <c r="K23" i="20"/>
  <c r="C24" i="20"/>
  <c r="D24" i="20"/>
  <c r="Q24" i="20" s="1"/>
  <c r="E24" i="20"/>
  <c r="F24" i="20"/>
  <c r="S24" i="20" s="1"/>
  <c r="G24" i="20"/>
  <c r="H24" i="20"/>
  <c r="I24" i="20"/>
  <c r="J24" i="20"/>
  <c r="K24" i="20"/>
  <c r="C25" i="20"/>
  <c r="D25" i="20"/>
  <c r="E25" i="20"/>
  <c r="R25" i="20" s="1"/>
  <c r="F25" i="20"/>
  <c r="G25" i="20"/>
  <c r="H25" i="20"/>
  <c r="I25" i="20"/>
  <c r="J25" i="20"/>
  <c r="K25" i="20"/>
  <c r="X25" i="20" s="1"/>
  <c r="C26" i="20"/>
  <c r="D26" i="20"/>
  <c r="E26" i="20"/>
  <c r="F26" i="20"/>
  <c r="G26" i="20"/>
  <c r="H26" i="20"/>
  <c r="I26" i="20"/>
  <c r="J26" i="20"/>
  <c r="K26" i="20"/>
  <c r="X26" i="20" s="1"/>
  <c r="C27" i="20"/>
  <c r="D27" i="20"/>
  <c r="E27" i="20"/>
  <c r="F27" i="20"/>
  <c r="G27" i="20"/>
  <c r="H27" i="20"/>
  <c r="I27" i="20"/>
  <c r="J27" i="20"/>
  <c r="K27" i="20"/>
  <c r="C28" i="20"/>
  <c r="D28" i="20"/>
  <c r="E28" i="20"/>
  <c r="F28" i="20"/>
  <c r="G28" i="20"/>
  <c r="H28" i="20"/>
  <c r="I28" i="20"/>
  <c r="V28" i="20" s="1"/>
  <c r="J28" i="20"/>
  <c r="W28" i="20" s="1"/>
  <c r="K28" i="20"/>
  <c r="C29" i="20"/>
  <c r="D29" i="20"/>
  <c r="E29" i="20"/>
  <c r="F29" i="20"/>
  <c r="G29" i="20"/>
  <c r="H29" i="20"/>
  <c r="I29" i="20"/>
  <c r="J29" i="20"/>
  <c r="K29" i="20"/>
  <c r="C30" i="20"/>
  <c r="D30" i="20"/>
  <c r="E30" i="20"/>
  <c r="F30" i="20"/>
  <c r="G30" i="20"/>
  <c r="H30" i="20"/>
  <c r="I30" i="20"/>
  <c r="V30" i="20" s="1"/>
  <c r="J30" i="20"/>
  <c r="K30" i="20"/>
  <c r="C31" i="20"/>
  <c r="D31" i="20"/>
  <c r="E31" i="20"/>
  <c r="F31" i="20"/>
  <c r="G31" i="20"/>
  <c r="T31" i="20" s="1"/>
  <c r="H31" i="20"/>
  <c r="I31" i="20"/>
  <c r="J31" i="20"/>
  <c r="K31" i="20"/>
  <c r="B22" i="18"/>
  <c r="O22" i="15"/>
  <c r="C22" i="18"/>
  <c r="D22" i="18"/>
  <c r="Q22" i="15"/>
  <c r="Q22" i="18" s="1"/>
  <c r="E22" i="18"/>
  <c r="R22" i="18" s="1"/>
  <c r="F22" i="18"/>
  <c r="S22" i="15"/>
  <c r="S22" i="18" s="1"/>
  <c r="G22" i="18"/>
  <c r="T22" i="18" s="1"/>
  <c r="H22" i="18"/>
  <c r="U22" i="15"/>
  <c r="U22" i="18" s="1"/>
  <c r="I22" i="18"/>
  <c r="V22" i="15"/>
  <c r="V22" i="18" s="1"/>
  <c r="V22" i="20" s="1"/>
  <c r="J22" i="18"/>
  <c r="W22" i="18" s="1"/>
  <c r="K22" i="18"/>
  <c r="X22" i="15"/>
  <c r="X22" i="18" s="1"/>
  <c r="B23" i="18"/>
  <c r="O23" i="18" s="1"/>
  <c r="C23" i="18"/>
  <c r="P23" i="18" s="1"/>
  <c r="D23" i="18"/>
  <c r="Q23" i="18" s="1"/>
  <c r="E23" i="18"/>
  <c r="R23" i="18" s="1"/>
  <c r="F23" i="18"/>
  <c r="S23" i="18" s="1"/>
  <c r="S23" i="20" s="1"/>
  <c r="G23" i="18"/>
  <c r="T23" i="18" s="1"/>
  <c r="H23" i="18"/>
  <c r="I23" i="18"/>
  <c r="J23" i="18"/>
  <c r="K23" i="18"/>
  <c r="B24" i="18"/>
  <c r="O24" i="18" s="1"/>
  <c r="C24" i="18"/>
  <c r="P24" i="15"/>
  <c r="P24" i="18" s="1"/>
  <c r="D24" i="18"/>
  <c r="E24" i="18"/>
  <c r="R24" i="15"/>
  <c r="F24" i="18"/>
  <c r="S24" i="18" s="1"/>
  <c r="G24" i="18"/>
  <c r="T24" i="15"/>
  <c r="T24" i="18" s="1"/>
  <c r="H24" i="18"/>
  <c r="I24" i="18"/>
  <c r="V24" i="18" s="1"/>
  <c r="V24" i="15"/>
  <c r="J24" i="18"/>
  <c r="K24" i="18"/>
  <c r="X24" i="15"/>
  <c r="B25" i="18"/>
  <c r="C25" i="18"/>
  <c r="P25" i="18" s="1"/>
  <c r="P25" i="15"/>
  <c r="D25" i="18"/>
  <c r="Q25" i="18" s="1"/>
  <c r="E25" i="18"/>
  <c r="R25" i="18" s="1"/>
  <c r="R25" i="15"/>
  <c r="G25" i="18"/>
  <c r="T25" i="15"/>
  <c r="H25" i="18"/>
  <c r="I25" i="18"/>
  <c r="V25" i="15"/>
  <c r="J25" i="18"/>
  <c r="W25" i="18" s="1"/>
  <c r="K25" i="18"/>
  <c r="X25" i="18" s="1"/>
  <c r="X25" i="15"/>
  <c r="B26" i="18"/>
  <c r="O26" i="15"/>
  <c r="C26" i="18"/>
  <c r="P26" i="18" s="1"/>
  <c r="D26" i="18"/>
  <c r="Q26" i="15"/>
  <c r="E26" i="18"/>
  <c r="R26" i="18" s="1"/>
  <c r="F26" i="18"/>
  <c r="S26" i="15"/>
  <c r="G26" i="18"/>
  <c r="T26" i="18" s="1"/>
  <c r="H26" i="18"/>
  <c r="U26" i="15"/>
  <c r="I26" i="18"/>
  <c r="V26" i="15"/>
  <c r="J26" i="18"/>
  <c r="W26" i="18" s="1"/>
  <c r="W26" i="15"/>
  <c r="K26" i="18"/>
  <c r="X26" i="15"/>
  <c r="B27" i="18"/>
  <c r="O27" i="15"/>
  <c r="O27" i="18" s="1"/>
  <c r="C27" i="18"/>
  <c r="D27" i="18"/>
  <c r="Q27" i="15"/>
  <c r="Q27" i="18" s="1"/>
  <c r="E27" i="18"/>
  <c r="R27" i="18" s="1"/>
  <c r="F27" i="18"/>
  <c r="S27" i="15"/>
  <c r="S27" i="18" s="1"/>
  <c r="G27" i="18"/>
  <c r="T27" i="18" s="1"/>
  <c r="H27" i="18"/>
  <c r="U27" i="18" s="1"/>
  <c r="U27" i="15"/>
  <c r="I27" i="18"/>
  <c r="V27" i="18" s="1"/>
  <c r="J27" i="18"/>
  <c r="W27" i="18" s="1"/>
  <c r="W27" i="15"/>
  <c r="K27" i="18"/>
  <c r="B28" i="18"/>
  <c r="O28" i="15"/>
  <c r="C28" i="18"/>
  <c r="P28" i="15"/>
  <c r="P28" i="18" s="1"/>
  <c r="D28" i="18"/>
  <c r="Q28" i="15"/>
  <c r="Q28" i="18" s="1"/>
  <c r="E28" i="18"/>
  <c r="R28" i="18" s="1"/>
  <c r="R28" i="15"/>
  <c r="F28" i="18"/>
  <c r="S28" i="15"/>
  <c r="S28" i="18" s="1"/>
  <c r="G28" i="18"/>
  <c r="T28" i="18" s="1"/>
  <c r="T28" i="15"/>
  <c r="H28" i="18"/>
  <c r="U28" i="15"/>
  <c r="U28" i="18" s="1"/>
  <c r="I28" i="18"/>
  <c r="J28" i="18"/>
  <c r="W28" i="15"/>
  <c r="W28" i="18" s="1"/>
  <c r="K28" i="18"/>
  <c r="B29" i="18"/>
  <c r="O29" i="18" s="1"/>
  <c r="C29" i="18"/>
  <c r="P29" i="18" s="1"/>
  <c r="P29" i="15"/>
  <c r="D29" i="18"/>
  <c r="Q29" i="18" s="1"/>
  <c r="E29" i="18"/>
  <c r="R29" i="18" s="1"/>
  <c r="R29" i="15"/>
  <c r="F29" i="18"/>
  <c r="G29" i="18"/>
  <c r="T29" i="15"/>
  <c r="H29" i="18"/>
  <c r="U29" i="18" s="1"/>
  <c r="I29" i="18"/>
  <c r="J29" i="18"/>
  <c r="W29" i="18" s="1"/>
  <c r="K29" i="18"/>
  <c r="X29" i="18" s="1"/>
  <c r="B30" i="18"/>
  <c r="C30" i="18"/>
  <c r="P30" i="18" s="1"/>
  <c r="D30" i="18"/>
  <c r="Q30" i="18" s="1"/>
  <c r="E30" i="18"/>
  <c r="F30" i="18"/>
  <c r="S30" i="18" s="1"/>
  <c r="G30" i="18"/>
  <c r="T30" i="18" s="1"/>
  <c r="H30" i="18"/>
  <c r="U30" i="18" s="1"/>
  <c r="I30" i="18"/>
  <c r="V30" i="18" s="1"/>
  <c r="J30" i="18"/>
  <c r="K30" i="18"/>
  <c r="X30" i="15"/>
  <c r="B31" i="18"/>
  <c r="O31" i="18" s="1"/>
  <c r="C31" i="18"/>
  <c r="P31" i="18" s="1"/>
  <c r="D31" i="18"/>
  <c r="Q31" i="18" s="1"/>
  <c r="E31" i="18"/>
  <c r="R31" i="18" s="1"/>
  <c r="F31" i="18"/>
  <c r="G31" i="18"/>
  <c r="T31" i="15"/>
  <c r="T31" i="18" s="1"/>
  <c r="H31" i="18"/>
  <c r="I31" i="18"/>
  <c r="V31" i="18" s="1"/>
  <c r="J31" i="18"/>
  <c r="W31" i="18" s="1"/>
  <c r="K31" i="18"/>
  <c r="F43" i="12"/>
  <c r="F42" i="12"/>
  <c r="F41" i="12"/>
  <c r="F40" i="12"/>
  <c r="F39" i="12"/>
  <c r="F38" i="12"/>
  <c r="F37" i="12"/>
  <c r="F36" i="12"/>
  <c r="F35" i="12"/>
  <c r="F34" i="12"/>
  <c r="R21" i="12"/>
  <c r="S21" i="12"/>
  <c r="T21" i="12"/>
  <c r="U21" i="12"/>
  <c r="V21" i="12"/>
  <c r="X21" i="12"/>
  <c r="Y21" i="12"/>
  <c r="Z21" i="12"/>
  <c r="AA21" i="12"/>
  <c r="AB21" i="12"/>
  <c r="AC21" i="12"/>
  <c r="AD21" i="12"/>
  <c r="AE21" i="12"/>
  <c r="AF21" i="12"/>
  <c r="O25" i="18"/>
  <c r="R24" i="18"/>
  <c r="W21" i="12"/>
  <c r="R24" i="20"/>
  <c r="X27" i="18"/>
  <c r="X26" i="18"/>
  <c r="D2" i="34"/>
  <c r="W23" i="18"/>
  <c r="P27" i="18"/>
  <c r="X31" i="18"/>
  <c r="X24" i="18"/>
  <c r="S31" i="15"/>
  <c r="S31" i="18"/>
  <c r="V29" i="18"/>
  <c r="X23" i="18"/>
  <c r="V23" i="18"/>
  <c r="V28" i="18"/>
  <c r="U25" i="18"/>
  <c r="X30" i="18"/>
  <c r="O30" i="18"/>
  <c r="U23" i="18"/>
  <c r="O22" i="18"/>
  <c r="S29" i="18"/>
  <c r="X28" i="18"/>
  <c r="S26" i="18"/>
  <c r="W24" i="18"/>
  <c r="U24" i="18"/>
  <c r="Q24" i="18"/>
  <c r="S31" i="12"/>
  <c r="O4" i="33"/>
  <c r="B31" i="33" s="1"/>
  <c r="F31" i="33" s="1"/>
  <c r="D42" i="119" l="1"/>
  <c r="D53" i="117"/>
  <c r="D54" i="117"/>
  <c r="Q29" i="20"/>
  <c r="O30" i="20"/>
  <c r="T24" i="20"/>
  <c r="O22" i="20"/>
  <c r="B23" i="112"/>
  <c r="C23" i="112" s="1"/>
  <c r="B24" i="112" s="1"/>
  <c r="C24" i="112" s="1"/>
  <c r="B25" i="112" s="1"/>
  <c r="C25" i="112" s="1"/>
  <c r="D23" i="112"/>
  <c r="C47" i="93"/>
  <c r="B48" i="93"/>
  <c r="D22" i="100"/>
  <c r="B23" i="100"/>
  <c r="C23" i="100" s="1"/>
  <c r="D46" i="111"/>
  <c r="C48" i="92"/>
  <c r="B49" i="92"/>
  <c r="B23" i="107"/>
  <c r="C23" i="107" s="1"/>
  <c r="D22" i="107"/>
  <c r="B48" i="94"/>
  <c r="C47" i="94"/>
  <c r="R3" i="33"/>
  <c r="B46" i="33" s="1"/>
  <c r="C46" i="33" s="1"/>
  <c r="C53" i="33" s="1"/>
  <c r="K57" i="33" s="1"/>
  <c r="B35" i="100"/>
  <c r="D21" i="112"/>
  <c r="E39" i="32"/>
  <c r="Q38" i="97"/>
  <c r="U31" i="15"/>
  <c r="U31" i="18" s="1"/>
  <c r="D24" i="112"/>
  <c r="B35" i="91"/>
  <c r="B36" i="112"/>
  <c r="D39" i="32"/>
  <c r="P38" i="97"/>
  <c r="B35" i="87"/>
  <c r="B36" i="87" s="1"/>
  <c r="O19" i="33"/>
  <c r="B35" i="96"/>
  <c r="C35" i="96" s="1"/>
  <c r="B36" i="99"/>
  <c r="B35" i="106"/>
  <c r="D21" i="108"/>
  <c r="D45" i="111"/>
  <c r="B39" i="32"/>
  <c r="N38" i="97"/>
  <c r="C39" i="32"/>
  <c r="O38" i="97"/>
  <c r="B48" i="91"/>
  <c r="C21" i="14"/>
  <c r="C54" i="14" s="1"/>
  <c r="U26" i="18"/>
  <c r="S29" i="20"/>
  <c r="R30" i="18"/>
  <c r="B35" i="89"/>
  <c r="B36" i="89" s="1"/>
  <c r="C47" i="102"/>
  <c r="P24" i="101"/>
  <c r="V29" i="20"/>
  <c r="P27" i="20"/>
  <c r="O29" i="20"/>
  <c r="Q26" i="18"/>
  <c r="V25" i="18"/>
  <c r="V25" i="20" s="1"/>
  <c r="T30" i="20"/>
  <c r="Q25" i="20"/>
  <c r="S30" i="20"/>
  <c r="R23" i="20"/>
  <c r="T29" i="18"/>
  <c r="Q31" i="20"/>
  <c r="U27" i="20"/>
  <c r="W25" i="20"/>
  <c r="O26" i="20"/>
  <c r="O26" i="18"/>
  <c r="T25" i="18"/>
  <c r="X31" i="20"/>
  <c r="P31" i="20"/>
  <c r="Q30" i="20"/>
  <c r="R29" i="20"/>
  <c r="S28" i="20"/>
  <c r="T27" i="20"/>
  <c r="U26" i="20"/>
  <c r="W24" i="20"/>
  <c r="X23" i="20"/>
  <c r="P23" i="20"/>
  <c r="Q22" i="20"/>
  <c r="R6" i="33"/>
  <c r="B49" i="33" s="1"/>
  <c r="O17" i="33"/>
  <c r="D21" i="89"/>
  <c r="B47" i="111"/>
  <c r="B48" i="88"/>
  <c r="B47" i="87"/>
  <c r="U30" i="20"/>
  <c r="X27" i="20"/>
  <c r="Q26" i="20"/>
  <c r="U22" i="20"/>
  <c r="T22" i="20"/>
  <c r="R31" i="20"/>
  <c r="U28" i="20"/>
  <c r="W26" i="20"/>
  <c r="O28" i="18"/>
  <c r="O28" i="20" s="1"/>
  <c r="W31" i="20"/>
  <c r="X30" i="20"/>
  <c r="P30" i="20"/>
  <c r="R28" i="20"/>
  <c r="S27" i="20"/>
  <c r="T26" i="20"/>
  <c r="U25" i="20"/>
  <c r="V24" i="20"/>
  <c r="W23" i="20"/>
  <c r="X22" i="20"/>
  <c r="P22" i="20"/>
  <c r="O24" i="20"/>
  <c r="W30" i="18"/>
  <c r="W30" i="20" s="1"/>
  <c r="B49" i="90"/>
  <c r="B35" i="88"/>
  <c r="C35" i="88" s="1"/>
  <c r="D35" i="88" s="1"/>
  <c r="V26" i="18"/>
  <c r="S31" i="20"/>
  <c r="U29" i="20"/>
  <c r="W27" i="20"/>
  <c r="P26" i="20"/>
  <c r="T29" i="20"/>
  <c r="V27" i="20"/>
  <c r="P25" i="20"/>
  <c r="R30" i="20"/>
  <c r="T28" i="20"/>
  <c r="V26" i="20"/>
  <c r="X24" i="20"/>
  <c r="P24" i="20"/>
  <c r="Q23" i="20"/>
  <c r="V31" i="20"/>
  <c r="X29" i="20"/>
  <c r="P29" i="20"/>
  <c r="Q28" i="20"/>
  <c r="R27" i="20"/>
  <c r="S26" i="20"/>
  <c r="T25" i="20"/>
  <c r="U24" i="20"/>
  <c r="V23" i="20"/>
  <c r="W22" i="20"/>
  <c r="O31" i="20"/>
  <c r="V31" i="12"/>
  <c r="U31" i="12"/>
  <c r="T31" i="12"/>
  <c r="O3" i="33"/>
  <c r="B30" i="33" s="1"/>
  <c r="E30" i="33" s="1"/>
  <c r="S25" i="18"/>
  <c r="G39" i="32"/>
  <c r="S38" i="97"/>
  <c r="D46" i="94"/>
  <c r="D46" i="90"/>
  <c r="U31" i="20"/>
  <c r="W29" i="20"/>
  <c r="X28" i="20"/>
  <c r="P28" i="20"/>
  <c r="Q27" i="20"/>
  <c r="R26" i="20"/>
  <c r="S25" i="20"/>
  <c r="U23" i="20"/>
  <c r="F39" i="32"/>
  <c r="R38" i="97"/>
  <c r="D47" i="93"/>
  <c r="D21" i="14"/>
  <c r="O15" i="33"/>
  <c r="B42" i="33" s="1"/>
  <c r="O42" i="33" s="1"/>
  <c r="W30" i="12"/>
  <c r="R11" i="33"/>
  <c r="R10" i="33"/>
  <c r="O13" i="33"/>
  <c r="B40" i="33" s="1"/>
  <c r="S40" i="33" s="1"/>
  <c r="R4" i="33"/>
  <c r="B47" i="33" s="1"/>
  <c r="I27" i="26"/>
  <c r="I26" i="29" s="1"/>
  <c r="O14" i="33"/>
  <c r="B41" i="33" s="1"/>
  <c r="P41" i="33" s="1"/>
  <c r="R8" i="33"/>
  <c r="B51" i="33" s="1"/>
  <c r="J51" i="33" s="1"/>
  <c r="W24" i="12"/>
  <c r="W31" i="12" s="1"/>
  <c r="O5" i="33"/>
  <c r="B32" i="33" s="1"/>
  <c r="G32" i="33" s="1"/>
  <c r="F27" i="26"/>
  <c r="F26" i="29" s="1"/>
  <c r="D27" i="26"/>
  <c r="D26" i="29" s="1"/>
  <c r="M38" i="24"/>
  <c r="O10" i="33"/>
  <c r="B37" i="33" s="1"/>
  <c r="R37" i="33" s="1"/>
  <c r="C71" i="24"/>
  <c r="E71" i="24" s="1"/>
  <c r="D31" i="33"/>
  <c r="K27" i="26"/>
  <c r="K26" i="29" s="1"/>
  <c r="L46" i="33"/>
  <c r="M31" i="33"/>
  <c r="R12" i="33"/>
  <c r="O9" i="33"/>
  <c r="B36" i="33" s="1"/>
  <c r="L36" i="33" s="1"/>
  <c r="O11" i="33"/>
  <c r="B38" i="33" s="1"/>
  <c r="P38" i="33" s="1"/>
  <c r="G27" i="26"/>
  <c r="G26" i="29" s="1"/>
  <c r="E27" i="26"/>
  <c r="E26" i="29" s="1"/>
  <c r="C27" i="26"/>
  <c r="C26" i="29" s="1"/>
  <c r="M27" i="24"/>
  <c r="Q25" i="12"/>
  <c r="F46" i="33"/>
  <c r="F44" i="12"/>
  <c r="C85" i="24"/>
  <c r="E85" i="24" s="1"/>
  <c r="C84" i="24"/>
  <c r="E84" i="24" s="1"/>
  <c r="Q26" i="12"/>
  <c r="M32" i="33"/>
  <c r="I51" i="33"/>
  <c r="O41" i="33"/>
  <c r="K46" i="33"/>
  <c r="I46" i="33"/>
  <c r="H31" i="33"/>
  <c r="K31" i="33"/>
  <c r="N45" i="12"/>
  <c r="O45" i="12" s="1"/>
  <c r="Q21" i="12"/>
  <c r="C2" i="28"/>
  <c r="C3" i="28" s="1"/>
  <c r="H41" i="26" s="1"/>
  <c r="G46" i="33"/>
  <c r="D46" i="33"/>
  <c r="L31" i="33"/>
  <c r="J31" i="33"/>
  <c r="I31" i="33"/>
  <c r="E46" i="33"/>
  <c r="G31" i="33"/>
  <c r="E31" i="33"/>
  <c r="H31" i="12"/>
  <c r="J27" i="26"/>
  <c r="J26" i="29" s="1"/>
  <c r="H27" i="26"/>
  <c r="H26" i="29" s="1"/>
  <c r="O25" i="20"/>
  <c r="O27" i="20"/>
  <c r="B76" i="33"/>
  <c r="I47" i="33"/>
  <c r="L47" i="33"/>
  <c r="K47" i="33"/>
  <c r="G47" i="33"/>
  <c r="M47" i="33"/>
  <c r="H47" i="33"/>
  <c r="J47" i="33"/>
  <c r="D47" i="33"/>
  <c r="F47" i="33"/>
  <c r="K37" i="33"/>
  <c r="N37" i="33"/>
  <c r="L37" i="33"/>
  <c r="E47" i="33"/>
  <c r="L51" i="33"/>
  <c r="F49" i="33"/>
  <c r="N49" i="33"/>
  <c r="M49" i="33"/>
  <c r="O49" i="33"/>
  <c r="I49" i="33"/>
  <c r="K49" i="33"/>
  <c r="K51" i="33"/>
  <c r="N36" i="33"/>
  <c r="H49" i="33"/>
  <c r="Q51" i="33"/>
  <c r="J49" i="33"/>
  <c r="G49" i="33"/>
  <c r="L49" i="33"/>
  <c r="J46" i="33"/>
  <c r="H46" i="33"/>
  <c r="K32" i="33"/>
  <c r="I32" i="33"/>
  <c r="J32" i="33"/>
  <c r="N32" i="33"/>
  <c r="E32" i="33"/>
  <c r="F32" i="33"/>
  <c r="O23" i="20"/>
  <c r="M38" i="33"/>
  <c r="C34" i="90"/>
  <c r="B35" i="90"/>
  <c r="C35" i="87"/>
  <c r="B22" i="88"/>
  <c r="C22" i="88" s="1"/>
  <c r="B23" i="88" s="1"/>
  <c r="C23" i="88" s="1"/>
  <c r="B24" i="88" s="1"/>
  <c r="C24" i="88" s="1"/>
  <c r="B25" i="88" s="1"/>
  <c r="C25" i="88" s="1"/>
  <c r="B26" i="88" s="1"/>
  <c r="C26" i="88" s="1"/>
  <c r="B27" i="88" s="1"/>
  <c r="C27" i="88" s="1"/>
  <c r="B28" i="88" s="1"/>
  <c r="C28" i="88" s="1"/>
  <c r="B29" i="88" s="1"/>
  <c r="C29" i="88" s="1"/>
  <c r="B30" i="88" s="1"/>
  <c r="C30" i="88" s="1"/>
  <c r="D21" i="88"/>
  <c r="D27" i="88"/>
  <c r="P20" i="12"/>
  <c r="P22" i="18"/>
  <c r="B26" i="112"/>
  <c r="C26" i="112" s="1"/>
  <c r="D25" i="112"/>
  <c r="B24" i="100"/>
  <c r="C24" i="100" s="1"/>
  <c r="D23" i="100"/>
  <c r="D35" i="96"/>
  <c r="D34" i="96"/>
  <c r="B23" i="106"/>
  <c r="C23" i="106" s="1"/>
  <c r="B24" i="106" s="1"/>
  <c r="C24" i="106" s="1"/>
  <c r="B25" i="106" s="1"/>
  <c r="C25" i="106" s="1"/>
  <c r="B26" i="106" s="1"/>
  <c r="C26" i="106" s="1"/>
  <c r="B27" i="106" s="1"/>
  <c r="C27" i="106" s="1"/>
  <c r="B28" i="106" s="1"/>
  <c r="C28" i="106" s="1"/>
  <c r="B29" i="106" s="1"/>
  <c r="C29" i="106" s="1"/>
  <c r="B30" i="106" s="1"/>
  <c r="C30" i="106" s="1"/>
  <c r="D24" i="106"/>
  <c r="D22" i="106"/>
  <c r="B22" i="94"/>
  <c r="C22" i="94" s="1"/>
  <c r="D21" i="94"/>
  <c r="L32" i="33"/>
  <c r="D21" i="109"/>
  <c r="B22" i="109"/>
  <c r="C22" i="109" s="1"/>
  <c r="D22" i="109" s="1"/>
  <c r="C46" i="110"/>
  <c r="B47" i="110"/>
  <c r="C47" i="110" s="1"/>
  <c r="D47" i="110" s="1"/>
  <c r="R9" i="33"/>
  <c r="B52" i="33" s="1"/>
  <c r="R5" i="33"/>
  <c r="R7" i="33"/>
  <c r="B50" i="33" s="1"/>
  <c r="O7" i="33"/>
  <c r="B34" i="33" s="1"/>
  <c r="D21" i="99"/>
  <c r="B22" i="99"/>
  <c r="C22" i="99" s="1"/>
  <c r="O18" i="33"/>
  <c r="O12" i="33"/>
  <c r="B39" i="33" s="1"/>
  <c r="O16" i="33"/>
  <c r="O8" i="33"/>
  <c r="B35" i="33" s="1"/>
  <c r="O6" i="33"/>
  <c r="B37" i="99"/>
  <c r="C36" i="99"/>
  <c r="B35" i="93"/>
  <c r="C34" i="93"/>
  <c r="C46" i="100"/>
  <c r="B47" i="100"/>
  <c r="B35" i="102"/>
  <c r="C34" i="102"/>
  <c r="D34" i="102" s="1"/>
  <c r="C46" i="103"/>
  <c r="B47" i="103"/>
  <c r="B22" i="105"/>
  <c r="C22" i="105" s="1"/>
  <c r="B23" i="105" s="1"/>
  <c r="C23" i="105" s="1"/>
  <c r="B24" i="105" s="1"/>
  <c r="C24" i="105" s="1"/>
  <c r="B25" i="105" s="1"/>
  <c r="C25" i="105" s="1"/>
  <c r="B26" i="105" s="1"/>
  <c r="C26" i="105" s="1"/>
  <c r="B27" i="105" s="1"/>
  <c r="C27" i="105" s="1"/>
  <c r="B28" i="105" s="1"/>
  <c r="C28" i="105" s="1"/>
  <c r="B29" i="105" s="1"/>
  <c r="C29" i="105" s="1"/>
  <c r="B30" i="105" s="1"/>
  <c r="C30" i="105" s="1"/>
  <c r="D21" i="105"/>
  <c r="B47" i="106"/>
  <c r="C47" i="106" s="1"/>
  <c r="C46" i="106"/>
  <c r="B49" i="109"/>
  <c r="C48" i="109"/>
  <c r="C35" i="108"/>
  <c r="B36" i="108"/>
  <c r="B23" i="93"/>
  <c r="C23" i="93" s="1"/>
  <c r="B24" i="93" s="1"/>
  <c r="C24" i="93" s="1"/>
  <c r="B25" i="93" s="1"/>
  <c r="C25" i="93" s="1"/>
  <c r="B26" i="93" s="1"/>
  <c r="C26" i="93" s="1"/>
  <c r="B27" i="93" s="1"/>
  <c r="C27" i="93" s="1"/>
  <c r="B28" i="93" s="1"/>
  <c r="C28" i="93" s="1"/>
  <c r="B29" i="93" s="1"/>
  <c r="C29" i="93" s="1"/>
  <c r="B30" i="93" s="1"/>
  <c r="C30" i="93" s="1"/>
  <c r="B35" i="92"/>
  <c r="C34" i="94"/>
  <c r="B35" i="94"/>
  <c r="D22" i="112"/>
  <c r="C47" i="101"/>
  <c r="C34" i="101"/>
  <c r="B35" i="101"/>
  <c r="D34" i="110"/>
  <c r="D45" i="112"/>
  <c r="B36" i="88"/>
  <c r="D22" i="93"/>
  <c r="B37" i="112"/>
  <c r="C37" i="112" s="1"/>
  <c r="C36" i="112"/>
  <c r="B37" i="111"/>
  <c r="C36" i="111"/>
  <c r="B23" i="108"/>
  <c r="C23" i="108" s="1"/>
  <c r="D22" i="108"/>
  <c r="B22" i="111"/>
  <c r="C22" i="111" s="1"/>
  <c r="D21" i="111"/>
  <c r="B47" i="112"/>
  <c r="C46" i="112"/>
  <c r="B22" i="92"/>
  <c r="C22" i="92" s="1"/>
  <c r="D22" i="92" s="1"/>
  <c r="D21" i="92"/>
  <c r="B47" i="96"/>
  <c r="C46" i="96"/>
  <c r="H3" i="24"/>
  <c r="C76" i="24"/>
  <c r="C73" i="24"/>
  <c r="C78" i="24"/>
  <c r="C80" i="24"/>
  <c r="C81" i="24"/>
  <c r="C77" i="24"/>
  <c r="C82" i="24"/>
  <c r="C83" i="24"/>
  <c r="C74" i="24"/>
  <c r="C75" i="24"/>
  <c r="C79" i="24"/>
  <c r="AE32" i="97"/>
  <c r="D29" i="93"/>
  <c r="C47" i="109"/>
  <c r="D34" i="103"/>
  <c r="D34" i="88"/>
  <c r="D33" i="88"/>
  <c r="D46" i="93"/>
  <c r="B48" i="89"/>
  <c r="C47" i="89"/>
  <c r="B35" i="80"/>
  <c r="C34" i="80"/>
  <c r="B23" i="89"/>
  <c r="C23" i="89" s="1"/>
  <c r="D23" i="89" s="1"/>
  <c r="D22" i="89"/>
  <c r="B35" i="103"/>
  <c r="C34" i="103"/>
  <c r="C46" i="104"/>
  <c r="B47" i="104"/>
  <c r="B48" i="104" s="1"/>
  <c r="B23" i="110"/>
  <c r="C23" i="110" s="1"/>
  <c r="D22" i="110"/>
  <c r="B47" i="108"/>
  <c r="C46" i="108"/>
  <c r="C48" i="91"/>
  <c r="B49" i="91"/>
  <c r="D46" i="88"/>
  <c r="D47" i="88"/>
  <c r="C17" i="24"/>
  <c r="E17" i="24"/>
  <c r="G17" i="24"/>
  <c r="I17" i="24"/>
  <c r="K17" i="24"/>
  <c r="B17" i="24"/>
  <c r="D17" i="24"/>
  <c r="F17" i="24"/>
  <c r="H17" i="24"/>
  <c r="J17" i="24"/>
  <c r="D24" i="100"/>
  <c r="B51" i="80"/>
  <c r="B36" i="96"/>
  <c r="D45" i="89"/>
  <c r="D46" i="89"/>
  <c r="D34" i="112"/>
  <c r="D48" i="91"/>
  <c r="D47" i="80"/>
  <c r="D46" i="80"/>
  <c r="D27" i="93"/>
  <c r="B23" i="103"/>
  <c r="C23" i="103" s="1"/>
  <c r="D22" i="103"/>
  <c r="D45" i="106"/>
  <c r="D46" i="106"/>
  <c r="B36" i="109"/>
  <c r="C35" i="109"/>
  <c r="D46" i="110"/>
  <c r="B22" i="96"/>
  <c r="C22" i="96" s="1"/>
  <c r="D21" i="96"/>
  <c r="B22" i="90"/>
  <c r="C22" i="90" s="1"/>
  <c r="C48" i="88"/>
  <c r="B49" i="88"/>
  <c r="D48" i="90"/>
  <c r="C46" i="80"/>
  <c r="D46" i="92"/>
  <c r="D23" i="93"/>
  <c r="B47" i="99"/>
  <c r="D46" i="102"/>
  <c r="B27" i="26"/>
  <c r="C34" i="109"/>
  <c r="B22" i="91"/>
  <c r="C22" i="91" s="1"/>
  <c r="C47" i="92"/>
  <c r="D47" i="91"/>
  <c r="D46" i="104"/>
  <c r="D47" i="90"/>
  <c r="H54" i="14"/>
  <c r="C72" i="24"/>
  <c r="I21" i="14"/>
  <c r="J21" i="14"/>
  <c r="K21" i="14"/>
  <c r="D54" i="14"/>
  <c r="E21" i="14"/>
  <c r="F21" i="14"/>
  <c r="G21" i="14"/>
  <c r="P26" i="12"/>
  <c r="O16" i="12"/>
  <c r="O17" i="12"/>
  <c r="P19" i="12"/>
  <c r="Q29" i="12"/>
  <c r="P18" i="12"/>
  <c r="Q28" i="12"/>
  <c r="B21" i="14"/>
  <c r="N15" i="12"/>
  <c r="P14" i="12"/>
  <c r="Q24" i="12"/>
  <c r="P48" i="91"/>
  <c r="R47" i="91"/>
  <c r="R35" i="105"/>
  <c r="P36" i="105"/>
  <c r="Q36" i="105" s="1"/>
  <c r="R36" i="105" s="1"/>
  <c r="P25" i="12"/>
  <c r="B22" i="80"/>
  <c r="C22" i="80" s="1"/>
  <c r="R36" i="103"/>
  <c r="R35" i="100"/>
  <c r="P36" i="100"/>
  <c r="Q36" i="100" s="1"/>
  <c r="P48" i="105"/>
  <c r="R47" i="105"/>
  <c r="R47" i="112"/>
  <c r="P24" i="91"/>
  <c r="Q24" i="91" s="1"/>
  <c r="R23" i="91"/>
  <c r="R36" i="93"/>
  <c r="P48" i="92"/>
  <c r="R47" i="92"/>
  <c r="R35" i="101"/>
  <c r="P48" i="106"/>
  <c r="Q48" i="106" s="1"/>
  <c r="P49" i="106" s="1"/>
  <c r="R47" i="106"/>
  <c r="P36" i="87"/>
  <c r="R35" i="87"/>
  <c r="P48" i="101"/>
  <c r="R47" i="101"/>
  <c r="R35" i="99"/>
  <c r="R49" i="103"/>
  <c r="Q27" i="12"/>
  <c r="R48" i="88"/>
  <c r="R36" i="102"/>
  <c r="R35" i="102"/>
  <c r="P36" i="102"/>
  <c r="Q36" i="102" s="1"/>
  <c r="R35" i="90"/>
  <c r="R35" i="94"/>
  <c r="P48" i="107"/>
  <c r="Q48" i="107" s="1"/>
  <c r="R47" i="107"/>
  <c r="R47" i="90"/>
  <c r="P48" i="94"/>
  <c r="Q48" i="94" s="1"/>
  <c r="P49" i="94" s="1"/>
  <c r="R47" i="94"/>
  <c r="R35" i="108"/>
  <c r="D22" i="80"/>
  <c r="P48" i="90"/>
  <c r="Q48" i="90" s="1"/>
  <c r="R48" i="90" s="1"/>
  <c r="P48" i="96"/>
  <c r="R47" i="96"/>
  <c r="P48" i="87"/>
  <c r="Q48" i="87" s="1"/>
  <c r="P49" i="87" s="1"/>
  <c r="R47" i="87"/>
  <c r="R47" i="93"/>
  <c r="R47" i="108"/>
  <c r="P48" i="102"/>
  <c r="Q48" i="102" s="1"/>
  <c r="R47" i="102"/>
  <c r="P36" i="107"/>
  <c r="R35" i="107"/>
  <c r="R37" i="112"/>
  <c r="R48" i="80"/>
  <c r="P36" i="92"/>
  <c r="R35" i="92"/>
  <c r="P48" i="89"/>
  <c r="Q48" i="89" s="1"/>
  <c r="R47" i="89"/>
  <c r="P48" i="104"/>
  <c r="R47" i="104"/>
  <c r="R49" i="80"/>
  <c r="Q48" i="112"/>
  <c r="P49" i="112" s="1"/>
  <c r="P37" i="112"/>
  <c r="Q37" i="112" s="1"/>
  <c r="Q48" i="111"/>
  <c r="Q36" i="111"/>
  <c r="Q48" i="109"/>
  <c r="Q48" i="108"/>
  <c r="P49" i="108" s="1"/>
  <c r="P36" i="108"/>
  <c r="Q36" i="107"/>
  <c r="Q48" i="99"/>
  <c r="P36" i="99"/>
  <c r="Q36" i="106"/>
  <c r="Q48" i="105"/>
  <c r="P49" i="105" s="1"/>
  <c r="Q48" i="104"/>
  <c r="P49" i="104" s="1"/>
  <c r="Q48" i="101"/>
  <c r="P49" i="101" s="1"/>
  <c r="P36" i="101"/>
  <c r="Q48" i="96"/>
  <c r="P49" i="96" s="1"/>
  <c r="P36" i="94"/>
  <c r="Q48" i="93"/>
  <c r="P49" i="93" s="1"/>
  <c r="Q48" i="92"/>
  <c r="P49" i="92" s="1"/>
  <c r="Q36" i="92"/>
  <c r="R36" i="92" s="1"/>
  <c r="Q48" i="91"/>
  <c r="P49" i="91" s="1"/>
  <c r="Q36" i="91"/>
  <c r="P36" i="90"/>
  <c r="Q36" i="87"/>
  <c r="P49" i="110"/>
  <c r="Q49" i="110" s="1"/>
  <c r="P49" i="103"/>
  <c r="Q49" i="103" s="1"/>
  <c r="P49" i="100"/>
  <c r="Q49" i="100" s="1"/>
  <c r="P49" i="88"/>
  <c r="P37" i="110"/>
  <c r="Q37" i="110" s="1"/>
  <c r="R37" i="110" s="1"/>
  <c r="P37" i="109"/>
  <c r="Q37" i="109" s="1"/>
  <c r="P37" i="104"/>
  <c r="Q37" i="104" s="1"/>
  <c r="R37" i="104" s="1"/>
  <c r="P37" i="103"/>
  <c r="Q37" i="103" s="1"/>
  <c r="R37" i="103" s="1"/>
  <c r="P37" i="102"/>
  <c r="Q37" i="102" s="1"/>
  <c r="P37" i="89"/>
  <c r="Q37" i="89" s="1"/>
  <c r="P37" i="96"/>
  <c r="Q37" i="96" s="1"/>
  <c r="R37" i="96" s="1"/>
  <c r="P37" i="93"/>
  <c r="Q37" i="93" s="1"/>
  <c r="P37" i="88"/>
  <c r="Q37" i="88" s="1"/>
  <c r="P49" i="80"/>
  <c r="Q49" i="80" s="1"/>
  <c r="P37" i="80"/>
  <c r="Q37" i="80" s="1"/>
  <c r="R23" i="112"/>
  <c r="P24" i="112"/>
  <c r="Q24" i="112" s="1"/>
  <c r="R23" i="111"/>
  <c r="P24" i="111"/>
  <c r="R23" i="110"/>
  <c r="P24" i="110"/>
  <c r="Q24" i="109"/>
  <c r="R24" i="109" s="1"/>
  <c r="P25" i="108"/>
  <c r="Q24" i="108"/>
  <c r="R24" i="108" s="1"/>
  <c r="R23" i="108"/>
  <c r="R27" i="99"/>
  <c r="R25" i="99"/>
  <c r="R29" i="99"/>
  <c r="R30" i="99"/>
  <c r="R28" i="99"/>
  <c r="R26" i="99"/>
  <c r="R24" i="99"/>
  <c r="B38" i="112"/>
  <c r="D36" i="112"/>
  <c r="D35" i="112"/>
  <c r="D36" i="111"/>
  <c r="D35" i="111"/>
  <c r="B37" i="110"/>
  <c r="C36" i="110"/>
  <c r="C35" i="110"/>
  <c r="D45" i="110"/>
  <c r="D34" i="100"/>
  <c r="L28" i="95" s="1"/>
  <c r="C49" i="101"/>
  <c r="B50" i="101"/>
  <c r="D34" i="101"/>
  <c r="C48" i="101"/>
  <c r="D49" i="101" s="1"/>
  <c r="B22" i="101"/>
  <c r="C22" i="101" s="1"/>
  <c r="D22" i="101" s="1"/>
  <c r="D47" i="101"/>
  <c r="C35" i="102"/>
  <c r="D35" i="102" s="1"/>
  <c r="B36" i="102"/>
  <c r="B49" i="102"/>
  <c r="C48" i="102"/>
  <c r="D48" i="102" s="1"/>
  <c r="D45" i="102"/>
  <c r="B22" i="102"/>
  <c r="C22" i="102" s="1"/>
  <c r="D22" i="102" s="1"/>
  <c r="D47" i="102"/>
  <c r="C35" i="103"/>
  <c r="B36" i="103"/>
  <c r="B49" i="104"/>
  <c r="C48" i="104"/>
  <c r="C35" i="104"/>
  <c r="B36" i="104"/>
  <c r="B23" i="104"/>
  <c r="C23" i="104" s="1"/>
  <c r="B24" i="104" s="1"/>
  <c r="C24" i="104" s="1"/>
  <c r="B25" i="104" s="1"/>
  <c r="C25" i="104" s="1"/>
  <c r="B26" i="104" s="1"/>
  <c r="C26" i="104" s="1"/>
  <c r="B27" i="104" s="1"/>
  <c r="C27" i="104" s="1"/>
  <c r="B28" i="104" s="1"/>
  <c r="C28" i="104" s="1"/>
  <c r="B29" i="104" s="1"/>
  <c r="C29" i="104" s="1"/>
  <c r="B30" i="104" s="1"/>
  <c r="C30" i="104" s="1"/>
  <c r="D22" i="104"/>
  <c r="C47" i="104"/>
  <c r="C34" i="104"/>
  <c r="B49" i="105"/>
  <c r="C48" i="105"/>
  <c r="D46" i="105"/>
  <c r="C35" i="105"/>
  <c r="B36" i="105"/>
  <c r="D28" i="105"/>
  <c r="D27" i="105"/>
  <c r="D26" i="105"/>
  <c r="C47" i="105"/>
  <c r="D47" i="105" s="1"/>
  <c r="D33" i="105"/>
  <c r="C34" i="105"/>
  <c r="D30" i="105"/>
  <c r="D29" i="105"/>
  <c r="D25" i="105"/>
  <c r="D24" i="105"/>
  <c r="D23" i="105"/>
  <c r="D22" i="105"/>
  <c r="D34" i="106"/>
  <c r="C36" i="109"/>
  <c r="B37" i="109"/>
  <c r="B24" i="107"/>
  <c r="C24" i="107" s="1"/>
  <c r="B25" i="107" s="1"/>
  <c r="C25" i="107" s="1"/>
  <c r="B26" i="107" s="1"/>
  <c r="C26" i="107" s="1"/>
  <c r="B27" i="107" s="1"/>
  <c r="C27" i="107" s="1"/>
  <c r="B28" i="107" s="1"/>
  <c r="C28" i="107" s="1"/>
  <c r="B29" i="107" s="1"/>
  <c r="C29" i="107" s="1"/>
  <c r="B30" i="107" s="1"/>
  <c r="C30" i="107" s="1"/>
  <c r="B48" i="107"/>
  <c r="C47" i="107"/>
  <c r="B35" i="107"/>
  <c r="C46" i="107"/>
  <c r="D34" i="107"/>
  <c r="D23" i="107"/>
  <c r="B23" i="99"/>
  <c r="C23" i="99" s="1"/>
  <c r="B24" i="99" s="1"/>
  <c r="C24" i="99" s="1"/>
  <c r="B25" i="99" s="1"/>
  <c r="C25" i="99" s="1"/>
  <c r="B26" i="99" s="1"/>
  <c r="C26" i="99" s="1"/>
  <c r="B27" i="99" s="1"/>
  <c r="C27" i="99" s="1"/>
  <c r="B28" i="99" s="1"/>
  <c r="C28" i="99" s="1"/>
  <c r="B29" i="99" s="1"/>
  <c r="C29" i="99" s="1"/>
  <c r="B30" i="99" s="1"/>
  <c r="C30" i="99" s="1"/>
  <c r="D22" i="99"/>
  <c r="D46" i="99"/>
  <c r="D35" i="99"/>
  <c r="D34" i="99"/>
  <c r="D36" i="99"/>
  <c r="P24" i="106"/>
  <c r="Q24" i="104"/>
  <c r="R24" i="104" s="1"/>
  <c r="R24" i="103"/>
  <c r="Q24" i="101"/>
  <c r="P25" i="101" s="1"/>
  <c r="R24" i="101"/>
  <c r="P25" i="100"/>
  <c r="Q25" i="100" s="1"/>
  <c r="R24" i="96"/>
  <c r="P25" i="96"/>
  <c r="P24" i="93"/>
  <c r="Q24" i="92"/>
  <c r="R24" i="92" s="1"/>
  <c r="Q24" i="90"/>
  <c r="P25" i="88"/>
  <c r="Q25" i="88" s="1"/>
  <c r="P25" i="107"/>
  <c r="Q25" i="107" s="1"/>
  <c r="P25" i="105"/>
  <c r="Q25" i="105" s="1"/>
  <c r="R24" i="105"/>
  <c r="P25" i="103"/>
  <c r="Q25" i="103" s="1"/>
  <c r="R24" i="100"/>
  <c r="R24" i="89"/>
  <c r="P25" i="89"/>
  <c r="Q25" i="89" s="1"/>
  <c r="R25" i="89" s="1"/>
  <c r="P25" i="94"/>
  <c r="R24" i="94"/>
  <c r="R24" i="87"/>
  <c r="Q25" i="87"/>
  <c r="D23" i="87"/>
  <c r="B24" i="87"/>
  <c r="C24" i="87" s="1"/>
  <c r="B25" i="87" s="1"/>
  <c r="C25" i="87" s="1"/>
  <c r="B26" i="87" s="1"/>
  <c r="C26" i="87" s="1"/>
  <c r="B27" i="87" s="1"/>
  <c r="C27" i="87" s="1"/>
  <c r="B28" i="87" s="1"/>
  <c r="C28" i="87" s="1"/>
  <c r="B29" i="87" s="1"/>
  <c r="C29" i="87" s="1"/>
  <c r="B30" i="87" s="1"/>
  <c r="C30" i="87" s="1"/>
  <c r="J3" i="24" l="1"/>
  <c r="C35" i="89"/>
  <c r="D35" i="89" s="1"/>
  <c r="U41" i="33"/>
  <c r="P25" i="109"/>
  <c r="B48" i="106"/>
  <c r="D29" i="99"/>
  <c r="K3" i="24"/>
  <c r="T41" i="33"/>
  <c r="C35" i="100"/>
  <c r="B36" i="100"/>
  <c r="F16" i="24"/>
  <c r="I3" i="24"/>
  <c r="D37" i="112"/>
  <c r="D48" i="92"/>
  <c r="Q41" i="33"/>
  <c r="L38" i="33"/>
  <c r="H30" i="33"/>
  <c r="D30" i="33"/>
  <c r="N41" i="33"/>
  <c r="C30" i="33"/>
  <c r="C43" i="33" s="1"/>
  <c r="C56" i="33" s="1"/>
  <c r="B61" i="33" s="1"/>
  <c r="C61" i="33" s="1"/>
  <c r="C73" i="33" s="1"/>
  <c r="C85" i="33" s="1"/>
  <c r="B91" i="33" s="1"/>
  <c r="G91" i="33" s="1"/>
  <c r="D47" i="94"/>
  <c r="G3" i="24"/>
  <c r="F30" i="33"/>
  <c r="J30" i="33"/>
  <c r="P25" i="104"/>
  <c r="Q25" i="104" s="1"/>
  <c r="R48" i="105"/>
  <c r="B3" i="24"/>
  <c r="E3" i="24"/>
  <c r="G30" i="33"/>
  <c r="L30" i="33"/>
  <c r="K30" i="33"/>
  <c r="C49" i="90"/>
  <c r="B50" i="90"/>
  <c r="C48" i="94"/>
  <c r="B49" i="94"/>
  <c r="C48" i="93"/>
  <c r="D48" i="93" s="1"/>
  <c r="B49" i="93"/>
  <c r="S41" i="33"/>
  <c r="I30" i="33"/>
  <c r="C35" i="106"/>
  <c r="B36" i="106"/>
  <c r="C35" i="91"/>
  <c r="B36" i="91"/>
  <c r="R48" i="92"/>
  <c r="D3" i="24"/>
  <c r="C3" i="24"/>
  <c r="Q38" i="33"/>
  <c r="W41" i="33"/>
  <c r="Q36" i="33"/>
  <c r="B48" i="111"/>
  <c r="C47" i="111"/>
  <c r="B48" i="87"/>
  <c r="C47" i="87"/>
  <c r="D47" i="87" s="1"/>
  <c r="D48" i="94"/>
  <c r="F3" i="24"/>
  <c r="D25" i="88"/>
  <c r="R41" i="33"/>
  <c r="B50" i="92"/>
  <c r="C49" i="92"/>
  <c r="D49" i="92" s="1"/>
  <c r="U42" i="33"/>
  <c r="P42" i="33"/>
  <c r="Q42" i="33"/>
  <c r="O51" i="33"/>
  <c r="R42" i="33"/>
  <c r="H51" i="33"/>
  <c r="W42" i="33"/>
  <c r="M51" i="33"/>
  <c r="N51" i="33"/>
  <c r="H16" i="24"/>
  <c r="T42" i="33"/>
  <c r="R38" i="33"/>
  <c r="P51" i="33"/>
  <c r="S37" i="33"/>
  <c r="V41" i="33"/>
  <c r="S42" i="33"/>
  <c r="O37" i="33"/>
  <c r="M37" i="33"/>
  <c r="Q37" i="33"/>
  <c r="P37" i="33"/>
  <c r="X42" i="33"/>
  <c r="X43" i="33" s="1"/>
  <c r="V42" i="33"/>
  <c r="M40" i="33"/>
  <c r="Q40" i="33"/>
  <c r="U40" i="33"/>
  <c r="O38" i="33"/>
  <c r="V40" i="33"/>
  <c r="T40" i="33"/>
  <c r="O40" i="33"/>
  <c r="N40" i="33"/>
  <c r="R40" i="33"/>
  <c r="P40" i="33"/>
  <c r="O36" i="33"/>
  <c r="J37" i="33"/>
  <c r="H32" i="33"/>
  <c r="J36" i="33"/>
  <c r="P36" i="33"/>
  <c r="W43" i="33"/>
  <c r="T38" i="33"/>
  <c r="K36" i="33"/>
  <c r="R36" i="33"/>
  <c r="D53" i="33"/>
  <c r="L57" i="33" s="1"/>
  <c r="B77" i="33" s="1"/>
  <c r="F77" i="33" s="1"/>
  <c r="K38" i="33"/>
  <c r="G16" i="24"/>
  <c r="E16" i="24"/>
  <c r="K16" i="24"/>
  <c r="D16" i="24"/>
  <c r="J16" i="24"/>
  <c r="C16" i="24"/>
  <c r="V43" i="33"/>
  <c r="I16" i="24"/>
  <c r="B16" i="24"/>
  <c r="M36" i="33"/>
  <c r="D43" i="33"/>
  <c r="D56" i="33" s="1"/>
  <c r="B62" i="33" s="1"/>
  <c r="E62" i="33" s="1"/>
  <c r="S38" i="33"/>
  <c r="N38" i="33"/>
  <c r="I36" i="33"/>
  <c r="C46" i="29"/>
  <c r="H43" i="26"/>
  <c r="T23" i="33"/>
  <c r="W56" i="33" s="1"/>
  <c r="V85" i="33" s="1"/>
  <c r="U113" i="33" s="1"/>
  <c r="E118" i="33" s="1"/>
  <c r="P49" i="107"/>
  <c r="Q49" i="107" s="1"/>
  <c r="R48" i="107"/>
  <c r="P49" i="102"/>
  <c r="R48" i="102"/>
  <c r="R36" i="100"/>
  <c r="P49" i="89"/>
  <c r="R48" i="89"/>
  <c r="R37" i="80"/>
  <c r="R48" i="109"/>
  <c r="R36" i="107"/>
  <c r="R48" i="96"/>
  <c r="B23" i="91"/>
  <c r="C23" i="91" s="1"/>
  <c r="B24" i="91" s="1"/>
  <c r="C24" i="91" s="1"/>
  <c r="B25" i="91" s="1"/>
  <c r="C25" i="91" s="1"/>
  <c r="B26" i="91" s="1"/>
  <c r="C26" i="91" s="1"/>
  <c r="B27" i="91" s="1"/>
  <c r="C27" i="91" s="1"/>
  <c r="B28" i="91" s="1"/>
  <c r="C28" i="91" s="1"/>
  <c r="B29" i="91" s="1"/>
  <c r="C29" i="91" s="1"/>
  <c r="B30" i="91" s="1"/>
  <c r="C30" i="91" s="1"/>
  <c r="D29" i="91"/>
  <c r="C49" i="91"/>
  <c r="B50" i="91"/>
  <c r="D34" i="80"/>
  <c r="D35" i="80"/>
  <c r="E43" i="33"/>
  <c r="E56" i="33" s="1"/>
  <c r="D30" i="99"/>
  <c r="D24" i="107"/>
  <c r="D28" i="104"/>
  <c r="D46" i="100"/>
  <c r="R49" i="100"/>
  <c r="P49" i="90"/>
  <c r="P49" i="109"/>
  <c r="Q49" i="109" s="1"/>
  <c r="P50" i="109" s="1"/>
  <c r="R37" i="102"/>
  <c r="B23" i="80"/>
  <c r="C23" i="80" s="1"/>
  <c r="B24" i="80" s="1"/>
  <c r="C24" i="80" s="1"/>
  <c r="B25" i="80" s="1"/>
  <c r="C25" i="80" s="1"/>
  <c r="B26" i="80" s="1"/>
  <c r="C26" i="80" s="1"/>
  <c r="B27" i="80" s="1"/>
  <c r="C27" i="80" s="1"/>
  <c r="B28" i="80" s="1"/>
  <c r="C28" i="80" s="1"/>
  <c r="B29" i="80" s="1"/>
  <c r="C29" i="80" s="1"/>
  <c r="B30" i="80" s="1"/>
  <c r="C30" i="80" s="1"/>
  <c r="D30" i="80"/>
  <c r="D28" i="80"/>
  <c r="D26" i="80"/>
  <c r="Q31" i="12"/>
  <c r="N17" i="12"/>
  <c r="O27" i="12"/>
  <c r="D24" i="93"/>
  <c r="D50" i="80"/>
  <c r="D48" i="80"/>
  <c r="D49" i="80"/>
  <c r="D22" i="96"/>
  <c r="C36" i="96"/>
  <c r="B37" i="96"/>
  <c r="D49" i="91"/>
  <c r="B36" i="80"/>
  <c r="C35" i="80"/>
  <c r="C12" i="24"/>
  <c r="K12" i="24"/>
  <c r="F12" i="24"/>
  <c r="B12" i="24"/>
  <c r="J12" i="24"/>
  <c r="E12" i="24"/>
  <c r="H12" i="24"/>
  <c r="I12" i="24"/>
  <c r="D12" i="24"/>
  <c r="G12" i="24"/>
  <c r="E80" i="24"/>
  <c r="B33" i="33"/>
  <c r="O23" i="33"/>
  <c r="D26" i="106"/>
  <c r="D29" i="88"/>
  <c r="B36" i="90"/>
  <c r="C35" i="90"/>
  <c r="P37" i="111"/>
  <c r="Q37" i="111" s="1"/>
  <c r="R36" i="111"/>
  <c r="R49" i="110"/>
  <c r="B50" i="88"/>
  <c r="C49" i="88"/>
  <c r="C13" i="24"/>
  <c r="E13" i="24"/>
  <c r="G13" i="24"/>
  <c r="I13" i="24"/>
  <c r="K13" i="24"/>
  <c r="B13" i="24"/>
  <c r="D13" i="24"/>
  <c r="F13" i="24"/>
  <c r="H13" i="24"/>
  <c r="J13" i="24"/>
  <c r="E81" i="24"/>
  <c r="C47" i="96"/>
  <c r="D47" i="96" s="1"/>
  <c r="B48" i="96"/>
  <c r="B48" i="112"/>
  <c r="C47" i="112"/>
  <c r="B36" i="92"/>
  <c r="C35" i="92"/>
  <c r="D35" i="87"/>
  <c r="P25" i="90"/>
  <c r="Q25" i="90" s="1"/>
  <c r="R24" i="90"/>
  <c r="D27" i="99"/>
  <c r="D27" i="107"/>
  <c r="D23" i="104"/>
  <c r="R36" i="91"/>
  <c r="P49" i="99"/>
  <c r="R48" i="99"/>
  <c r="R48" i="93"/>
  <c r="O14" i="12"/>
  <c r="P24" i="12"/>
  <c r="M44" i="12"/>
  <c r="P21" i="12"/>
  <c r="O18" i="12"/>
  <c r="P28" i="12"/>
  <c r="F54" i="14"/>
  <c r="D35" i="109"/>
  <c r="D34" i="109"/>
  <c r="B52" i="80"/>
  <c r="C51" i="80"/>
  <c r="D47" i="89"/>
  <c r="C11" i="24"/>
  <c r="E11" i="24"/>
  <c r="G11" i="24"/>
  <c r="I11" i="24"/>
  <c r="K11" i="24"/>
  <c r="B11" i="24"/>
  <c r="D11" i="24"/>
  <c r="F11" i="24"/>
  <c r="H11" i="24"/>
  <c r="J11" i="24"/>
  <c r="E79" i="24"/>
  <c r="C10" i="24"/>
  <c r="K10" i="24"/>
  <c r="F10" i="24"/>
  <c r="B10" i="24"/>
  <c r="J10" i="24"/>
  <c r="E10" i="24"/>
  <c r="D10" i="24"/>
  <c r="I10" i="24"/>
  <c r="G10" i="24"/>
  <c r="E78" i="24"/>
  <c r="H10" i="24"/>
  <c r="B36" i="101"/>
  <c r="C35" i="101"/>
  <c r="C36" i="108"/>
  <c r="B37" i="108"/>
  <c r="J35" i="33"/>
  <c r="N35" i="33"/>
  <c r="K35" i="33"/>
  <c r="H35" i="33"/>
  <c r="L35" i="33"/>
  <c r="I35" i="33"/>
  <c r="M35" i="33"/>
  <c r="Q35" i="33"/>
  <c r="P35" i="33"/>
  <c r="O35" i="33"/>
  <c r="B23" i="109"/>
  <c r="C23" i="109" s="1"/>
  <c r="D25" i="106"/>
  <c r="D30" i="88"/>
  <c r="D34" i="90"/>
  <c r="C7" i="24"/>
  <c r="E7" i="24"/>
  <c r="G7" i="24"/>
  <c r="I7" i="24"/>
  <c r="K7" i="24"/>
  <c r="B7" i="24"/>
  <c r="D7" i="24"/>
  <c r="F7" i="24"/>
  <c r="H7" i="24"/>
  <c r="J7" i="24"/>
  <c r="E75" i="24"/>
  <c r="D35" i="101"/>
  <c r="B48" i="103"/>
  <c r="C47" i="103"/>
  <c r="P49" i="111"/>
  <c r="Q49" i="111" s="1"/>
  <c r="R48" i="111"/>
  <c r="R37" i="93"/>
  <c r="R48" i="106"/>
  <c r="G54" i="14"/>
  <c r="B26" i="29"/>
  <c r="L27" i="26"/>
  <c r="D23" i="103"/>
  <c r="D30" i="103"/>
  <c r="D28" i="103"/>
  <c r="D29" i="103"/>
  <c r="D25" i="103"/>
  <c r="B24" i="103"/>
  <c r="C24" i="103" s="1"/>
  <c r="B25" i="103" s="1"/>
  <c r="C25" i="103" s="1"/>
  <c r="B26" i="103" s="1"/>
  <c r="C26" i="103" s="1"/>
  <c r="B27" i="103" s="1"/>
  <c r="C27" i="103" s="1"/>
  <c r="B28" i="103" s="1"/>
  <c r="C28" i="103" s="1"/>
  <c r="B29" i="103" s="1"/>
  <c r="C29" i="103" s="1"/>
  <c r="B30" i="103" s="1"/>
  <c r="C30" i="103" s="1"/>
  <c r="B48" i="108"/>
  <c r="C47" i="108"/>
  <c r="D26" i="93"/>
  <c r="C6" i="24"/>
  <c r="K6" i="24"/>
  <c r="F6" i="24"/>
  <c r="B6" i="24"/>
  <c r="J6" i="24"/>
  <c r="E6" i="24"/>
  <c r="D6" i="24"/>
  <c r="I6" i="24"/>
  <c r="H6" i="24"/>
  <c r="G6" i="24"/>
  <c r="E74" i="24"/>
  <c r="C8" i="24"/>
  <c r="K8" i="24"/>
  <c r="F8" i="24"/>
  <c r="B8" i="24"/>
  <c r="J8" i="24"/>
  <c r="E8" i="24"/>
  <c r="H8" i="24"/>
  <c r="I8" i="24"/>
  <c r="D8" i="24"/>
  <c r="G8" i="24"/>
  <c r="E76" i="24"/>
  <c r="C36" i="88"/>
  <c r="B37" i="88"/>
  <c r="D46" i="103"/>
  <c r="B36" i="93"/>
  <c r="C35" i="93"/>
  <c r="Q39" i="33"/>
  <c r="T39" i="33"/>
  <c r="P39" i="33"/>
  <c r="M39" i="33"/>
  <c r="R39" i="33"/>
  <c r="U39" i="33"/>
  <c r="S39" i="33"/>
  <c r="L39" i="33"/>
  <c r="O39" i="33"/>
  <c r="N39" i="33"/>
  <c r="O34" i="33"/>
  <c r="L34" i="33"/>
  <c r="H34" i="33"/>
  <c r="N34" i="33"/>
  <c r="P34" i="33"/>
  <c r="I34" i="33"/>
  <c r="G34" i="33"/>
  <c r="K34" i="33"/>
  <c r="M34" i="33"/>
  <c r="J34" i="33"/>
  <c r="B23" i="94"/>
  <c r="C23" i="94" s="1"/>
  <c r="R37" i="88"/>
  <c r="B23" i="96"/>
  <c r="C23" i="96" s="1"/>
  <c r="B24" i="96" s="1"/>
  <c r="C24" i="96" s="1"/>
  <c r="B25" i="96" s="1"/>
  <c r="C25" i="96" s="1"/>
  <c r="B26" i="96" s="1"/>
  <c r="C26" i="96" s="1"/>
  <c r="B27" i="96" s="1"/>
  <c r="C27" i="96" s="1"/>
  <c r="B28" i="96" s="1"/>
  <c r="C28" i="96" s="1"/>
  <c r="B29" i="96" s="1"/>
  <c r="C29" i="96" s="1"/>
  <c r="B30" i="96" s="1"/>
  <c r="C30" i="96" s="1"/>
  <c r="C5" i="24"/>
  <c r="E5" i="24"/>
  <c r="G5" i="24"/>
  <c r="I5" i="24"/>
  <c r="K5" i="24"/>
  <c r="B5" i="24"/>
  <c r="D5" i="24"/>
  <c r="F5" i="24"/>
  <c r="H5" i="24"/>
  <c r="J5" i="24"/>
  <c r="E73" i="24"/>
  <c r="B23" i="111"/>
  <c r="C23" i="111" s="1"/>
  <c r="B24" i="111" s="1"/>
  <c r="C24" i="111" s="1"/>
  <c r="B25" i="111" s="1"/>
  <c r="C25" i="111" s="1"/>
  <c r="B26" i="111" s="1"/>
  <c r="C26" i="111" s="1"/>
  <c r="B27" i="111" s="1"/>
  <c r="C27" i="111" s="1"/>
  <c r="B28" i="111" s="1"/>
  <c r="C28" i="111" s="1"/>
  <c r="B29" i="111" s="1"/>
  <c r="C29" i="111" s="1"/>
  <c r="B30" i="111" s="1"/>
  <c r="C30" i="111" s="1"/>
  <c r="D26" i="111"/>
  <c r="D29" i="111"/>
  <c r="D22" i="111"/>
  <c r="D35" i="108"/>
  <c r="D36" i="108"/>
  <c r="D34" i="93"/>
  <c r="P30" i="12"/>
  <c r="O20" i="12"/>
  <c r="D24" i="99"/>
  <c r="R37" i="109"/>
  <c r="P37" i="87"/>
  <c r="P37" i="92"/>
  <c r="R48" i="104"/>
  <c r="R48" i="87"/>
  <c r="R48" i="101"/>
  <c r="R36" i="87"/>
  <c r="R48" i="112"/>
  <c r="B54" i="14"/>
  <c r="K54" i="14"/>
  <c r="F4" i="24"/>
  <c r="K4" i="24"/>
  <c r="C4" i="24"/>
  <c r="I4" i="24"/>
  <c r="J4" i="24"/>
  <c r="G4" i="24"/>
  <c r="H4" i="24"/>
  <c r="B4" i="24"/>
  <c r="E4" i="24"/>
  <c r="D4" i="24"/>
  <c r="C87" i="24"/>
  <c r="E72" i="24"/>
  <c r="D47" i="92"/>
  <c r="D48" i="109"/>
  <c r="D47" i="109"/>
  <c r="C15" i="24"/>
  <c r="E15" i="24"/>
  <c r="G15" i="24"/>
  <c r="I15" i="24"/>
  <c r="K15" i="24"/>
  <c r="B15" i="24"/>
  <c r="D15" i="24"/>
  <c r="F15" i="24"/>
  <c r="H15" i="24"/>
  <c r="J15" i="24"/>
  <c r="E83" i="24"/>
  <c r="B23" i="92"/>
  <c r="C23" i="92" s="1"/>
  <c r="B24" i="108"/>
  <c r="C24" i="108" s="1"/>
  <c r="B25" i="108" s="1"/>
  <c r="C25" i="108" s="1"/>
  <c r="B26" i="108" s="1"/>
  <c r="C26" i="108" s="1"/>
  <c r="B27" i="108" s="1"/>
  <c r="C27" i="108" s="1"/>
  <c r="B28" i="108" s="1"/>
  <c r="C28" i="108" s="1"/>
  <c r="B29" i="108" s="1"/>
  <c r="C29" i="108" s="1"/>
  <c r="B30" i="108" s="1"/>
  <c r="C30" i="108" s="1"/>
  <c r="D25" i="108"/>
  <c r="D23" i="108"/>
  <c r="D30" i="93"/>
  <c r="B50" i="109"/>
  <c r="C49" i="109"/>
  <c r="O50" i="33"/>
  <c r="K50" i="33"/>
  <c r="M50" i="33"/>
  <c r="H50" i="33"/>
  <c r="J50" i="33"/>
  <c r="P50" i="33"/>
  <c r="N50" i="33"/>
  <c r="G50" i="33"/>
  <c r="I50" i="33"/>
  <c r="L50" i="33"/>
  <c r="D23" i="94"/>
  <c r="D29" i="106"/>
  <c r="B27" i="112"/>
  <c r="C27" i="112" s="1"/>
  <c r="D26" i="112"/>
  <c r="D28" i="88"/>
  <c r="D22" i="88"/>
  <c r="E54" i="14"/>
  <c r="G118" i="33"/>
  <c r="H118" i="33" s="1"/>
  <c r="J77" i="33"/>
  <c r="D77" i="33"/>
  <c r="H77" i="33"/>
  <c r="D23" i="99"/>
  <c r="D25" i="107"/>
  <c r="D48" i="104"/>
  <c r="B48" i="110"/>
  <c r="B49" i="110" s="1"/>
  <c r="R48" i="108"/>
  <c r="R38" i="80"/>
  <c r="R48" i="91"/>
  <c r="N16" i="12"/>
  <c r="O26" i="12"/>
  <c r="J54" i="14"/>
  <c r="I54" i="14"/>
  <c r="D22" i="91"/>
  <c r="B48" i="99"/>
  <c r="C47" i="99"/>
  <c r="D47" i="99" s="1"/>
  <c r="D24" i="96"/>
  <c r="B24" i="110"/>
  <c r="C24" i="110" s="1"/>
  <c r="B25" i="110" s="1"/>
  <c r="C25" i="110" s="1"/>
  <c r="B26" i="110" s="1"/>
  <c r="C26" i="110" s="1"/>
  <c r="B27" i="110" s="1"/>
  <c r="C27" i="110" s="1"/>
  <c r="B28" i="110" s="1"/>
  <c r="C28" i="110" s="1"/>
  <c r="B29" i="110" s="1"/>
  <c r="C29" i="110" s="1"/>
  <c r="B30" i="110" s="1"/>
  <c r="C30" i="110" s="1"/>
  <c r="D23" i="110"/>
  <c r="B24" i="89"/>
  <c r="C24" i="89" s="1"/>
  <c r="C14" i="24"/>
  <c r="K14" i="24"/>
  <c r="F14" i="24"/>
  <c r="B14" i="24"/>
  <c r="J14" i="24"/>
  <c r="E14" i="24"/>
  <c r="D14" i="24"/>
  <c r="G14" i="24"/>
  <c r="H14" i="24"/>
  <c r="I14" i="24"/>
  <c r="E82" i="24"/>
  <c r="C35" i="94"/>
  <c r="B36" i="94"/>
  <c r="D28" i="93"/>
  <c r="C37" i="99"/>
  <c r="B38" i="99"/>
  <c r="R14" i="33"/>
  <c r="R15" i="33" s="1"/>
  <c r="B48" i="33"/>
  <c r="B37" i="89"/>
  <c r="C36" i="89"/>
  <c r="D23" i="106"/>
  <c r="D28" i="106"/>
  <c r="D24" i="88"/>
  <c r="D23" i="88"/>
  <c r="M15" i="12"/>
  <c r="N25" i="12"/>
  <c r="B23" i="90"/>
  <c r="C23" i="90" s="1"/>
  <c r="B24" i="90" s="1"/>
  <c r="C24" i="90" s="1"/>
  <c r="B25" i="90" s="1"/>
  <c r="C25" i="90" s="1"/>
  <c r="B26" i="90" s="1"/>
  <c r="C26" i="90" s="1"/>
  <c r="B27" i="90" s="1"/>
  <c r="C27" i="90" s="1"/>
  <c r="B28" i="90" s="1"/>
  <c r="C28" i="90" s="1"/>
  <c r="B29" i="90" s="1"/>
  <c r="C29" i="90" s="1"/>
  <c r="B30" i="90" s="1"/>
  <c r="C30" i="90" s="1"/>
  <c r="D22" i="90"/>
  <c r="D47" i="108"/>
  <c r="B49" i="89"/>
  <c r="C48" i="89"/>
  <c r="D46" i="108"/>
  <c r="D28" i="99"/>
  <c r="D26" i="104"/>
  <c r="R37" i="89"/>
  <c r="R36" i="106"/>
  <c r="R48" i="94"/>
  <c r="O19" i="12"/>
  <c r="P29" i="12"/>
  <c r="D24" i="91"/>
  <c r="D27" i="96"/>
  <c r="D48" i="88"/>
  <c r="C9" i="24"/>
  <c r="E9" i="24"/>
  <c r="G9" i="24"/>
  <c r="I9" i="24"/>
  <c r="K9" i="24"/>
  <c r="B9" i="24"/>
  <c r="D9" i="24"/>
  <c r="F9" i="24"/>
  <c r="H9" i="24"/>
  <c r="J9" i="24"/>
  <c r="E77" i="24"/>
  <c r="D46" i="96"/>
  <c r="D47" i="112"/>
  <c r="D46" i="112"/>
  <c r="B38" i="111"/>
  <c r="C37" i="111"/>
  <c r="D35" i="94"/>
  <c r="D34" i="94"/>
  <c r="D25" i="93"/>
  <c r="B48" i="100"/>
  <c r="C47" i="100"/>
  <c r="Q52" i="33"/>
  <c r="Q53" i="33" s="1"/>
  <c r="K52" i="33"/>
  <c r="L52" i="33"/>
  <c r="M52" i="33"/>
  <c r="N52" i="33"/>
  <c r="I52" i="33"/>
  <c r="J52" i="33"/>
  <c r="O52" i="33"/>
  <c r="P52" i="33"/>
  <c r="R52" i="33"/>
  <c r="R53" i="33" s="1"/>
  <c r="D22" i="94"/>
  <c r="D27" i="106"/>
  <c r="D30" i="106"/>
  <c r="B25" i="100"/>
  <c r="C25" i="100" s="1"/>
  <c r="D26" i="88"/>
  <c r="B37" i="87"/>
  <c r="C36" i="87"/>
  <c r="J76" i="33"/>
  <c r="G76" i="33"/>
  <c r="C76" i="33"/>
  <c r="C82" i="33" s="1"/>
  <c r="K86" i="33" s="1"/>
  <c r="D76" i="33"/>
  <c r="D82" i="33" s="1"/>
  <c r="L86" i="33" s="1"/>
  <c r="B106" i="33" s="1"/>
  <c r="E76" i="33"/>
  <c r="L76" i="33"/>
  <c r="I76" i="33"/>
  <c r="F76" i="33"/>
  <c r="H76" i="33"/>
  <c r="K76" i="33"/>
  <c r="Q49" i="112"/>
  <c r="P38" i="112"/>
  <c r="Q38" i="112" s="1"/>
  <c r="R38" i="112" s="1"/>
  <c r="Q49" i="108"/>
  <c r="Q36" i="108"/>
  <c r="P37" i="107"/>
  <c r="Q49" i="99"/>
  <c r="P50" i="99" s="1"/>
  <c r="Q36" i="99"/>
  <c r="Q49" i="106"/>
  <c r="R49" i="106" s="1"/>
  <c r="P37" i="106"/>
  <c r="Q37" i="106" s="1"/>
  <c r="P38" i="106" s="1"/>
  <c r="Q38" i="106" s="1"/>
  <c r="Q49" i="105"/>
  <c r="P37" i="105"/>
  <c r="Q49" i="104"/>
  <c r="Q49" i="102"/>
  <c r="P50" i="102" s="1"/>
  <c r="Q49" i="101"/>
  <c r="Q36" i="101"/>
  <c r="P37" i="100"/>
  <c r="Q49" i="89"/>
  <c r="P50" i="89" s="1"/>
  <c r="Q49" i="96"/>
  <c r="P50" i="96" s="1"/>
  <c r="P38" i="96"/>
  <c r="Q38" i="96" s="1"/>
  <c r="Q49" i="94"/>
  <c r="R49" i="94" s="1"/>
  <c r="Q36" i="94"/>
  <c r="Q49" i="93"/>
  <c r="Q49" i="92"/>
  <c r="Q37" i="92"/>
  <c r="R37" i="92" s="1"/>
  <c r="Q49" i="91"/>
  <c r="P37" i="91"/>
  <c r="Q37" i="91" s="1"/>
  <c r="R37" i="91" s="1"/>
  <c r="Q49" i="90"/>
  <c r="P50" i="90" s="1"/>
  <c r="Q36" i="90"/>
  <c r="Q49" i="88"/>
  <c r="Q49" i="87"/>
  <c r="Q37" i="87"/>
  <c r="P50" i="110"/>
  <c r="Q50" i="110" s="1"/>
  <c r="R50" i="110" s="1"/>
  <c r="P50" i="103"/>
  <c r="P50" i="100"/>
  <c r="P38" i="110"/>
  <c r="Q38" i="110" s="1"/>
  <c r="P38" i="109"/>
  <c r="Q38" i="109" s="1"/>
  <c r="R38" i="109" s="1"/>
  <c r="P38" i="104"/>
  <c r="Q38" i="104" s="1"/>
  <c r="R38" i="104" s="1"/>
  <c r="P38" i="103"/>
  <c r="Q38" i="103" s="1"/>
  <c r="P38" i="102"/>
  <c r="Q38" i="102" s="1"/>
  <c r="P38" i="89"/>
  <c r="Q38" i="89" s="1"/>
  <c r="R38" i="89" s="1"/>
  <c r="P38" i="93"/>
  <c r="Q38" i="93" s="1"/>
  <c r="P38" i="91"/>
  <c r="Q38" i="91" s="1"/>
  <c r="R38" i="91" s="1"/>
  <c r="P38" i="88"/>
  <c r="Q38" i="88" s="1"/>
  <c r="R38" i="88" s="1"/>
  <c r="P50" i="80"/>
  <c r="Q50" i="80" s="1"/>
  <c r="R50" i="80" s="1"/>
  <c r="P38" i="80"/>
  <c r="Q38" i="80" s="1"/>
  <c r="Q24" i="111"/>
  <c r="Q24" i="110"/>
  <c r="Q25" i="109"/>
  <c r="P26" i="108"/>
  <c r="Q25" i="108"/>
  <c r="B39" i="112"/>
  <c r="C38" i="112"/>
  <c r="B38" i="110"/>
  <c r="C37" i="110"/>
  <c r="D35" i="110"/>
  <c r="D37" i="110"/>
  <c r="D36" i="110"/>
  <c r="B51" i="101"/>
  <c r="C50" i="101"/>
  <c r="D48" i="101"/>
  <c r="B23" i="101"/>
  <c r="C23" i="101" s="1"/>
  <c r="C49" i="102"/>
  <c r="B50" i="102"/>
  <c r="B23" i="102"/>
  <c r="C23" i="102" s="1"/>
  <c r="C36" i="102"/>
  <c r="B37" i="102"/>
  <c r="C36" i="103"/>
  <c r="D36" i="103" s="1"/>
  <c r="B37" i="103"/>
  <c r="D35" i="103"/>
  <c r="C36" i="104"/>
  <c r="D36" i="104" s="1"/>
  <c r="B37" i="104"/>
  <c r="D25" i="104"/>
  <c r="D29" i="104"/>
  <c r="D30" i="104"/>
  <c r="D24" i="104"/>
  <c r="D27" i="104"/>
  <c r="D35" i="104"/>
  <c r="D34" i="104"/>
  <c r="D47" i="104"/>
  <c r="C49" i="104"/>
  <c r="D49" i="104" s="1"/>
  <c r="B50" i="104"/>
  <c r="D35" i="105"/>
  <c r="D36" i="105"/>
  <c r="D49" i="105"/>
  <c r="B37" i="105"/>
  <c r="C36" i="105"/>
  <c r="D48" i="105"/>
  <c r="D34" i="105"/>
  <c r="C49" i="105"/>
  <c r="B50" i="105"/>
  <c r="D47" i="106"/>
  <c r="B49" i="106"/>
  <c r="C48" i="106"/>
  <c r="B38" i="109"/>
  <c r="C37" i="109"/>
  <c r="D37" i="109" s="1"/>
  <c r="D36" i="109"/>
  <c r="C35" i="107"/>
  <c r="B36" i="107"/>
  <c r="C48" i="107"/>
  <c r="D48" i="107" s="1"/>
  <c r="B49" i="107"/>
  <c r="D46" i="107"/>
  <c r="D28" i="107"/>
  <c r="D30" i="107"/>
  <c r="D26" i="107"/>
  <c r="D47" i="107"/>
  <c r="D29" i="107"/>
  <c r="D25" i="99"/>
  <c r="D26" i="99"/>
  <c r="Q24" i="106"/>
  <c r="P25" i="106" s="1"/>
  <c r="R24" i="102"/>
  <c r="P25" i="102"/>
  <c r="Q25" i="102" s="1"/>
  <c r="Q25" i="101"/>
  <c r="P26" i="101" s="1"/>
  <c r="Q25" i="96"/>
  <c r="Q25" i="94"/>
  <c r="R25" i="94" s="1"/>
  <c r="Q24" i="93"/>
  <c r="P25" i="93" s="1"/>
  <c r="Q25" i="93" s="1"/>
  <c r="P26" i="93" s="1"/>
  <c r="P25" i="92"/>
  <c r="R24" i="91"/>
  <c r="P25" i="91"/>
  <c r="R25" i="88"/>
  <c r="R24" i="88"/>
  <c r="P26" i="107"/>
  <c r="Q26" i="107" s="1"/>
  <c r="R25" i="107"/>
  <c r="P26" i="105"/>
  <c r="R25" i="105"/>
  <c r="P26" i="104"/>
  <c r="R25" i="104"/>
  <c r="P26" i="103"/>
  <c r="Q26" i="103" s="1"/>
  <c r="R25" i="103"/>
  <c r="P26" i="89"/>
  <c r="Q26" i="89" s="1"/>
  <c r="R26" i="89"/>
  <c r="R25" i="87"/>
  <c r="P26" i="87"/>
  <c r="D26" i="87"/>
  <c r="D25" i="87"/>
  <c r="D28" i="87"/>
  <c r="D27" i="87"/>
  <c r="D30" i="87"/>
  <c r="D29" i="87"/>
  <c r="D24" i="87"/>
  <c r="R23" i="80"/>
  <c r="P24" i="80"/>
  <c r="Q24" i="80" s="1"/>
  <c r="J61" i="33" l="1"/>
  <c r="J91" i="33"/>
  <c r="L91" i="33"/>
  <c r="L61" i="33"/>
  <c r="C91" i="33"/>
  <c r="C102" i="33" s="1"/>
  <c r="C113" i="33" s="1"/>
  <c r="K91" i="33"/>
  <c r="E91" i="33"/>
  <c r="G61" i="33"/>
  <c r="I61" i="33"/>
  <c r="H91" i="33"/>
  <c r="D91" i="33"/>
  <c r="F91" i="33"/>
  <c r="I91" i="33"/>
  <c r="L77" i="33"/>
  <c r="G77" i="33"/>
  <c r="U43" i="33"/>
  <c r="D26" i="103"/>
  <c r="D27" i="80"/>
  <c r="D23" i="91"/>
  <c r="E61" i="33"/>
  <c r="M77" i="33"/>
  <c r="B49" i="87"/>
  <c r="C48" i="87"/>
  <c r="E77" i="33"/>
  <c r="R49" i="96"/>
  <c r="D61" i="33"/>
  <c r="C50" i="92"/>
  <c r="B51" i="92"/>
  <c r="D47" i="111"/>
  <c r="B37" i="91"/>
  <c r="C36" i="91"/>
  <c r="D36" i="91" s="1"/>
  <c r="C49" i="94"/>
  <c r="B50" i="94"/>
  <c r="P26" i="94"/>
  <c r="K77" i="33"/>
  <c r="D30" i="108"/>
  <c r="D29" i="96"/>
  <c r="D24" i="80"/>
  <c r="H61" i="33"/>
  <c r="B49" i="111"/>
  <c r="C48" i="111"/>
  <c r="D35" i="91"/>
  <c r="C36" i="100"/>
  <c r="B37" i="100"/>
  <c r="C49" i="93"/>
  <c r="B50" i="93"/>
  <c r="I77" i="33"/>
  <c r="D27" i="108"/>
  <c r="D25" i="96"/>
  <c r="D26" i="96"/>
  <c r="D25" i="80"/>
  <c r="D30" i="91"/>
  <c r="K61" i="33"/>
  <c r="C36" i="106"/>
  <c r="D36" i="106" s="1"/>
  <c r="B37" i="106"/>
  <c r="C50" i="90"/>
  <c r="B51" i="90"/>
  <c r="D35" i="100"/>
  <c r="L29" i="95" s="1"/>
  <c r="D36" i="100"/>
  <c r="L30" i="95" s="1"/>
  <c r="R25" i="101"/>
  <c r="D29" i="80"/>
  <c r="D27" i="91"/>
  <c r="F61" i="33"/>
  <c r="D35" i="106"/>
  <c r="D49" i="90"/>
  <c r="S43" i="33"/>
  <c r="S56" i="33" s="1"/>
  <c r="T43" i="33"/>
  <c r="T56" i="33" s="1"/>
  <c r="F119" i="33" s="1"/>
  <c r="R43" i="33"/>
  <c r="R56" i="33" s="1"/>
  <c r="F62" i="33"/>
  <c r="D62" i="33"/>
  <c r="H62" i="33"/>
  <c r="M62" i="33"/>
  <c r="L62" i="33"/>
  <c r="I62" i="33"/>
  <c r="G62" i="33"/>
  <c r="J62" i="33"/>
  <c r="K62" i="33"/>
  <c r="O53" i="33"/>
  <c r="R25" i="90"/>
  <c r="P26" i="90"/>
  <c r="P50" i="111"/>
  <c r="Q50" i="111" s="1"/>
  <c r="R49" i="111"/>
  <c r="R37" i="111"/>
  <c r="P50" i="107"/>
  <c r="R49" i="107"/>
  <c r="D28" i="110"/>
  <c r="D29" i="110"/>
  <c r="R38" i="103"/>
  <c r="P50" i="101"/>
  <c r="P50" i="106"/>
  <c r="Q50" i="106" s="1"/>
  <c r="P50" i="108"/>
  <c r="Q50" i="108" s="1"/>
  <c r="P50" i="112"/>
  <c r="B105" i="33"/>
  <c r="D25" i="90"/>
  <c r="C38" i="99"/>
  <c r="D38" i="99" s="1"/>
  <c r="B39" i="99"/>
  <c r="B28" i="112"/>
  <c r="C28" i="112" s="1"/>
  <c r="B29" i="112" s="1"/>
  <c r="C29" i="112" s="1"/>
  <c r="B30" i="112" s="1"/>
  <c r="C30" i="112" s="1"/>
  <c r="D28" i="112"/>
  <c r="D27" i="112"/>
  <c r="B51" i="109"/>
  <c r="C50" i="109"/>
  <c r="D28" i="108"/>
  <c r="D35" i="93"/>
  <c r="D25" i="111"/>
  <c r="N44" i="12"/>
  <c r="O44" i="12" s="1"/>
  <c r="R49" i="99"/>
  <c r="N27" i="12"/>
  <c r="M17" i="12"/>
  <c r="D23" i="80"/>
  <c r="D36" i="80"/>
  <c r="D26" i="91"/>
  <c r="D28" i="96"/>
  <c r="P50" i="105"/>
  <c r="D36" i="87"/>
  <c r="C37" i="96"/>
  <c r="B38" i="96"/>
  <c r="R36" i="90"/>
  <c r="B25" i="89"/>
  <c r="C25" i="89" s="1"/>
  <c r="B26" i="89" s="1"/>
  <c r="C26" i="89" s="1"/>
  <c r="B27" i="89" s="1"/>
  <c r="C27" i="89" s="1"/>
  <c r="B28" i="89" s="1"/>
  <c r="C28" i="89" s="1"/>
  <c r="B29" i="89" s="1"/>
  <c r="C29" i="89" s="1"/>
  <c r="B30" i="89" s="1"/>
  <c r="C30" i="89" s="1"/>
  <c r="D30" i="89"/>
  <c r="B37" i="101"/>
  <c r="C36" i="101"/>
  <c r="B37" i="92"/>
  <c r="C36" i="92"/>
  <c r="D36" i="92" s="1"/>
  <c r="R36" i="101"/>
  <c r="C37" i="87"/>
  <c r="B38" i="87"/>
  <c r="R49" i="112"/>
  <c r="C48" i="99"/>
  <c r="D48" i="99" s="1"/>
  <c r="B49" i="99"/>
  <c r="D24" i="111"/>
  <c r="C50" i="88"/>
  <c r="B51" i="88"/>
  <c r="R49" i="109"/>
  <c r="D23" i="109"/>
  <c r="R25" i="93"/>
  <c r="C48" i="110"/>
  <c r="D47" i="100"/>
  <c r="D30" i="90"/>
  <c r="R38" i="96"/>
  <c r="P43" i="33"/>
  <c r="P56" i="33" s="1"/>
  <c r="C36" i="93"/>
  <c r="B37" i="93"/>
  <c r="C48" i="103"/>
  <c r="B49" i="103"/>
  <c r="D35" i="90"/>
  <c r="C52" i="80"/>
  <c r="B53" i="80"/>
  <c r="P31" i="12"/>
  <c r="C48" i="96"/>
  <c r="B49" i="96"/>
  <c r="C36" i="90"/>
  <c r="B37" i="90"/>
  <c r="D49" i="88"/>
  <c r="D51" i="80"/>
  <c r="C50" i="91"/>
  <c r="B51" i="91"/>
  <c r="D24" i="90"/>
  <c r="I48" i="33"/>
  <c r="I53" i="33" s="1"/>
  <c r="Q57" i="33" s="1"/>
  <c r="K48" i="33"/>
  <c r="K53" i="33" s="1"/>
  <c r="S57" i="33" s="1"/>
  <c r="H48" i="33"/>
  <c r="H53" i="33" s="1"/>
  <c r="P57" i="33" s="1"/>
  <c r="B81" i="33" s="1"/>
  <c r="F48" i="33"/>
  <c r="F53" i="33" s="1"/>
  <c r="N57" i="33" s="1"/>
  <c r="B79" i="33" s="1"/>
  <c r="L48" i="33"/>
  <c r="L53" i="33" s="1"/>
  <c r="M48" i="33"/>
  <c r="M53" i="33" s="1"/>
  <c r="J48" i="33"/>
  <c r="J53" i="33" s="1"/>
  <c r="R57" i="33" s="1"/>
  <c r="N48" i="33"/>
  <c r="N53" i="33" s="1"/>
  <c r="G48" i="33"/>
  <c r="G53" i="33" s="1"/>
  <c r="O57" i="33" s="1"/>
  <c r="B80" i="33" s="1"/>
  <c r="E48" i="33"/>
  <c r="E53" i="33" s="1"/>
  <c r="M57" i="33" s="1"/>
  <c r="B38" i="88"/>
  <c r="C37" i="88"/>
  <c r="O28" i="12"/>
  <c r="N18" i="12"/>
  <c r="M106" i="33"/>
  <c r="K106" i="33"/>
  <c r="I106" i="33"/>
  <c r="G106" i="33"/>
  <c r="J106" i="33"/>
  <c r="D106" i="33"/>
  <c r="E106" i="33"/>
  <c r="L106" i="33"/>
  <c r="F106" i="33"/>
  <c r="H106" i="33"/>
  <c r="P50" i="91"/>
  <c r="Q50" i="91" s="1"/>
  <c r="R49" i="91"/>
  <c r="R37" i="106"/>
  <c r="D30" i="110"/>
  <c r="R38" i="93"/>
  <c r="P50" i="87"/>
  <c r="R49" i="87"/>
  <c r="P50" i="104"/>
  <c r="Q50" i="104" s="1"/>
  <c r="B26" i="100"/>
  <c r="C26" i="100" s="1"/>
  <c r="D25" i="100"/>
  <c r="C48" i="100"/>
  <c r="B49" i="100"/>
  <c r="D28" i="90"/>
  <c r="C37" i="89"/>
  <c r="B38" i="89"/>
  <c r="C36" i="94"/>
  <c r="B37" i="94"/>
  <c r="D29" i="89"/>
  <c r="D29" i="108"/>
  <c r="M40" i="24"/>
  <c r="M41" i="24" s="1"/>
  <c r="D36" i="93"/>
  <c r="D30" i="111"/>
  <c r="B24" i="94"/>
  <c r="C24" i="94" s="1"/>
  <c r="D24" i="94"/>
  <c r="D47" i="103"/>
  <c r="D24" i="103"/>
  <c r="Q43" i="33"/>
  <c r="Q56" i="33" s="1"/>
  <c r="C37" i="108"/>
  <c r="B38" i="108"/>
  <c r="D23" i="96"/>
  <c r="O24" i="12"/>
  <c r="N14" i="12"/>
  <c r="O21" i="12"/>
  <c r="M43" i="12"/>
  <c r="R49" i="101"/>
  <c r="H33" i="33"/>
  <c r="H43" i="33" s="1"/>
  <c r="H56" i="33" s="1"/>
  <c r="B66" i="33" s="1"/>
  <c r="L33" i="33"/>
  <c r="L43" i="33" s="1"/>
  <c r="K33" i="33"/>
  <c r="K43" i="33" s="1"/>
  <c r="M33" i="33"/>
  <c r="M43" i="33" s="1"/>
  <c r="M56" i="33" s="1"/>
  <c r="B71" i="33" s="1"/>
  <c r="O33" i="33"/>
  <c r="O43" i="33" s="1"/>
  <c r="O56" i="33" s="1"/>
  <c r="F33" i="33"/>
  <c r="F43" i="33" s="1"/>
  <c r="F56" i="33" s="1"/>
  <c r="B64" i="33" s="1"/>
  <c r="J33" i="33"/>
  <c r="J43" i="33" s="1"/>
  <c r="J56" i="33" s="1"/>
  <c r="B68" i="33" s="1"/>
  <c r="G33" i="33"/>
  <c r="G43" i="33" s="1"/>
  <c r="G56" i="33" s="1"/>
  <c r="B65" i="33" s="1"/>
  <c r="N33" i="33"/>
  <c r="N43" i="33" s="1"/>
  <c r="I33" i="33"/>
  <c r="I43" i="33" s="1"/>
  <c r="I56" i="33" s="1"/>
  <c r="B67" i="33" s="1"/>
  <c r="D28" i="91"/>
  <c r="D37" i="111"/>
  <c r="D36" i="96"/>
  <c r="D25" i="110"/>
  <c r="D29" i="90"/>
  <c r="B24" i="92"/>
  <c r="C24" i="92" s="1"/>
  <c r="D23" i="92"/>
  <c r="D24" i="92"/>
  <c r="C48" i="108"/>
  <c r="B49" i="108"/>
  <c r="D48" i="89"/>
  <c r="C48" i="112"/>
  <c r="B49" i="112"/>
  <c r="D27" i="110"/>
  <c r="D26" i="110"/>
  <c r="P50" i="92"/>
  <c r="R49" i="92"/>
  <c r="R38" i="106"/>
  <c r="D27" i="90"/>
  <c r="D24" i="110"/>
  <c r="D36" i="89"/>
  <c r="D26" i="108"/>
  <c r="M17" i="24"/>
  <c r="D49" i="109"/>
  <c r="D28" i="111"/>
  <c r="D27" i="103"/>
  <c r="R37" i="87"/>
  <c r="D23" i="90"/>
  <c r="R38" i="102"/>
  <c r="D50" i="88"/>
  <c r="R49" i="108"/>
  <c r="D25" i="91"/>
  <c r="R49" i="89"/>
  <c r="D23" i="111"/>
  <c r="R50" i="102"/>
  <c r="R36" i="94"/>
  <c r="R36" i="108"/>
  <c r="R24" i="93"/>
  <c r="P50" i="94"/>
  <c r="P37" i="108"/>
  <c r="C38" i="111"/>
  <c r="D38" i="111" s="1"/>
  <c r="B39" i="111"/>
  <c r="B50" i="89"/>
  <c r="C49" i="89"/>
  <c r="D36" i="88"/>
  <c r="D37" i="88"/>
  <c r="B24" i="109"/>
  <c r="C24" i="109" s="1"/>
  <c r="B63" i="33"/>
  <c r="R36" i="99"/>
  <c r="D37" i="99"/>
  <c r="D24" i="89"/>
  <c r="P53" i="33"/>
  <c r="P50" i="88"/>
  <c r="Q50" i="88" s="1"/>
  <c r="P51" i="88" s="1"/>
  <c r="R49" i="88"/>
  <c r="P50" i="93"/>
  <c r="Q50" i="93" s="1"/>
  <c r="R49" i="93"/>
  <c r="O29" i="12"/>
  <c r="N19" i="12"/>
  <c r="D26" i="90"/>
  <c r="M25" i="12"/>
  <c r="K15" i="12"/>
  <c r="L15" i="12"/>
  <c r="K4" i="12"/>
  <c r="N26" i="12"/>
  <c r="M16" i="12"/>
  <c r="R38" i="110"/>
  <c r="R49" i="104"/>
  <c r="D24" i="108"/>
  <c r="R49" i="105"/>
  <c r="N20" i="12"/>
  <c r="O30" i="12"/>
  <c r="D27" i="111"/>
  <c r="D30" i="96"/>
  <c r="R49" i="90"/>
  <c r="D35" i="92"/>
  <c r="B37" i="80"/>
  <c r="C36" i="80"/>
  <c r="R49" i="102"/>
  <c r="D48" i="100"/>
  <c r="Q50" i="112"/>
  <c r="R50" i="112" s="1"/>
  <c r="P39" i="112"/>
  <c r="Q39" i="112" s="1"/>
  <c r="R39" i="112" s="1"/>
  <c r="P38" i="111"/>
  <c r="Q50" i="109"/>
  <c r="Q37" i="108"/>
  <c r="Q50" i="107"/>
  <c r="P51" i="107" s="1"/>
  <c r="Q37" i="107"/>
  <c r="Q50" i="99"/>
  <c r="R50" i="99" s="1"/>
  <c r="P37" i="99"/>
  <c r="Q50" i="105"/>
  <c r="Q37" i="105"/>
  <c r="Q50" i="103"/>
  <c r="P51" i="102"/>
  <c r="Q50" i="102"/>
  <c r="Q50" i="101"/>
  <c r="R50" i="101" s="1"/>
  <c r="P37" i="101"/>
  <c r="Q50" i="100"/>
  <c r="Q37" i="100"/>
  <c r="Q50" i="89"/>
  <c r="Q50" i="96"/>
  <c r="P39" i="96"/>
  <c r="Q39" i="96" s="1"/>
  <c r="R39" i="96" s="1"/>
  <c r="Q50" i="94"/>
  <c r="P51" i="94" s="1"/>
  <c r="P37" i="94"/>
  <c r="Q50" i="92"/>
  <c r="P38" i="92"/>
  <c r="Q50" i="90"/>
  <c r="P51" i="90" s="1"/>
  <c r="P37" i="90"/>
  <c r="Q50" i="87"/>
  <c r="R50" i="87" s="1"/>
  <c r="P38" i="87"/>
  <c r="P51" i="110"/>
  <c r="P39" i="110"/>
  <c r="P39" i="109"/>
  <c r="Q39" i="109" s="1"/>
  <c r="R39" i="109" s="1"/>
  <c r="P39" i="106"/>
  <c r="Q39" i="106" s="1"/>
  <c r="R39" i="106" s="1"/>
  <c r="P39" i="104"/>
  <c r="Q39" i="104" s="1"/>
  <c r="R39" i="104" s="1"/>
  <c r="P39" i="103"/>
  <c r="Q39" i="103" s="1"/>
  <c r="R39" i="103" s="1"/>
  <c r="P39" i="102"/>
  <c r="Q39" i="102" s="1"/>
  <c r="R39" i="102" s="1"/>
  <c r="P39" i="89"/>
  <c r="P39" i="93"/>
  <c r="Q39" i="93" s="1"/>
  <c r="R39" i="93" s="1"/>
  <c r="P39" i="91"/>
  <c r="Q39" i="91" s="1"/>
  <c r="P39" i="88"/>
  <c r="P51" i="80"/>
  <c r="Q51" i="80" s="1"/>
  <c r="R51" i="80" s="1"/>
  <c r="P39" i="80"/>
  <c r="Q39" i="80" s="1"/>
  <c r="R39" i="80" s="1"/>
  <c r="R24" i="112"/>
  <c r="P25" i="112"/>
  <c r="Q25" i="112" s="1"/>
  <c r="R24" i="111"/>
  <c r="P25" i="111"/>
  <c r="R24" i="110"/>
  <c r="P25" i="110"/>
  <c r="R25" i="109"/>
  <c r="P26" i="109"/>
  <c r="R25" i="108"/>
  <c r="Q26" i="108"/>
  <c r="R26" i="108" s="1"/>
  <c r="D38" i="112"/>
  <c r="B40" i="112"/>
  <c r="C39" i="112"/>
  <c r="B50" i="110"/>
  <c r="C49" i="110"/>
  <c r="C38" i="110"/>
  <c r="B39" i="110"/>
  <c r="B24" i="101"/>
  <c r="C24" i="101" s="1"/>
  <c r="D24" i="101" s="1"/>
  <c r="D50" i="101"/>
  <c r="D23" i="101"/>
  <c r="C51" i="101"/>
  <c r="D51" i="101" s="1"/>
  <c r="B52" i="101"/>
  <c r="C50" i="102"/>
  <c r="D50" i="102" s="1"/>
  <c r="B51" i="102"/>
  <c r="B38" i="102"/>
  <c r="C37" i="102"/>
  <c r="D37" i="102"/>
  <c r="B24" i="102"/>
  <c r="C24" i="102" s="1"/>
  <c r="B25" i="102" s="1"/>
  <c r="C25" i="102" s="1"/>
  <c r="B26" i="102" s="1"/>
  <c r="C26" i="102" s="1"/>
  <c r="B27" i="102" s="1"/>
  <c r="C27" i="102" s="1"/>
  <c r="B28" i="102" s="1"/>
  <c r="C28" i="102" s="1"/>
  <c r="B29" i="102" s="1"/>
  <c r="C29" i="102" s="1"/>
  <c r="B30" i="102" s="1"/>
  <c r="C30" i="102" s="1"/>
  <c r="D24" i="102"/>
  <c r="D23" i="102"/>
  <c r="D36" i="102"/>
  <c r="D49" i="102"/>
  <c r="C37" i="103"/>
  <c r="B38" i="103"/>
  <c r="B51" i="104"/>
  <c r="C50" i="104"/>
  <c r="D50" i="104" s="1"/>
  <c r="C37" i="104"/>
  <c r="B38" i="104"/>
  <c r="C50" i="105"/>
  <c r="B51" i="105"/>
  <c r="B38" i="105"/>
  <c r="C37" i="105"/>
  <c r="D37" i="105" s="1"/>
  <c r="D48" i="106"/>
  <c r="B50" i="106"/>
  <c r="C49" i="106"/>
  <c r="D49" i="106" s="1"/>
  <c r="C38" i="109"/>
  <c r="B39" i="109"/>
  <c r="B37" i="107"/>
  <c r="C36" i="107"/>
  <c r="D36" i="107" s="1"/>
  <c r="D35" i="107"/>
  <c r="B50" i="107"/>
  <c r="C49" i="107"/>
  <c r="R24" i="106"/>
  <c r="Q25" i="106"/>
  <c r="Q26" i="105"/>
  <c r="R26" i="105" s="1"/>
  <c r="Q26" i="104"/>
  <c r="P27" i="104" s="1"/>
  <c r="P26" i="102"/>
  <c r="Q26" i="102" s="1"/>
  <c r="Q26" i="101"/>
  <c r="R25" i="100"/>
  <c r="P26" i="100"/>
  <c r="Q26" i="100" s="1"/>
  <c r="R25" i="96"/>
  <c r="P26" i="96"/>
  <c r="Q26" i="94"/>
  <c r="P27" i="94" s="1"/>
  <c r="Q26" i="93"/>
  <c r="R26" i="93"/>
  <c r="Q25" i="92"/>
  <c r="Q25" i="91"/>
  <c r="Q26" i="90"/>
  <c r="P26" i="88"/>
  <c r="Q26" i="88" s="1"/>
  <c r="P27" i="107"/>
  <c r="Q27" i="107" s="1"/>
  <c r="R26" i="107"/>
  <c r="P27" i="103"/>
  <c r="R26" i="103"/>
  <c r="P27" i="89"/>
  <c r="Q27" i="89" s="1"/>
  <c r="Q26" i="87"/>
  <c r="P27" i="87" s="1"/>
  <c r="P51" i="111" l="1"/>
  <c r="R50" i="111"/>
  <c r="P27" i="108"/>
  <c r="B51" i="94"/>
  <c r="C50" i="94"/>
  <c r="D50" i="94" s="1"/>
  <c r="D50" i="92"/>
  <c r="C37" i="106"/>
  <c r="B38" i="106"/>
  <c r="C49" i="111"/>
  <c r="D49" i="111" s="1"/>
  <c r="B50" i="111"/>
  <c r="D49" i="94"/>
  <c r="P51" i="87"/>
  <c r="K56" i="33"/>
  <c r="B69" i="33" s="1"/>
  <c r="S69" i="33" s="1"/>
  <c r="C50" i="93"/>
  <c r="D50" i="93" s="1"/>
  <c r="B51" i="93"/>
  <c r="D49" i="110"/>
  <c r="R50" i="107"/>
  <c r="D25" i="89"/>
  <c r="C37" i="100"/>
  <c r="B38" i="100"/>
  <c r="D48" i="111"/>
  <c r="D49" i="87"/>
  <c r="D48" i="87"/>
  <c r="D49" i="93"/>
  <c r="B38" i="91"/>
  <c r="C37" i="91"/>
  <c r="D37" i="91" s="1"/>
  <c r="D26" i="89"/>
  <c r="D30" i="112"/>
  <c r="D50" i="90"/>
  <c r="B50" i="87"/>
  <c r="C49" i="87"/>
  <c r="D73" i="33"/>
  <c r="D85" i="33" s="1"/>
  <c r="B92" i="33" s="1"/>
  <c r="F92" i="33" s="1"/>
  <c r="C51" i="90"/>
  <c r="B52" i="90"/>
  <c r="B52" i="92"/>
  <c r="C51" i="92"/>
  <c r="D51" i="92" s="1"/>
  <c r="L56" i="33"/>
  <c r="B70" i="33" s="1"/>
  <c r="O70" i="33" s="1"/>
  <c r="V56" i="33"/>
  <c r="E119" i="33" s="1"/>
  <c r="G119" i="33" s="1"/>
  <c r="H119" i="33" s="1"/>
  <c r="P51" i="106"/>
  <c r="R50" i="106"/>
  <c r="P51" i="93"/>
  <c r="Q51" i="93" s="1"/>
  <c r="R50" i="93"/>
  <c r="P51" i="108"/>
  <c r="R50" i="108"/>
  <c r="B25" i="109"/>
  <c r="C25" i="109" s="1"/>
  <c r="D24" i="109"/>
  <c r="D50" i="91"/>
  <c r="P51" i="105"/>
  <c r="R50" i="105"/>
  <c r="P51" i="101"/>
  <c r="M20" i="12"/>
  <c r="N30" i="12"/>
  <c r="R50" i="88"/>
  <c r="C39" i="111"/>
  <c r="D39" i="111" s="1"/>
  <c r="B40" i="111"/>
  <c r="R37" i="108"/>
  <c r="B25" i="92"/>
  <c r="C25" i="92" s="1"/>
  <c r="N43" i="12"/>
  <c r="O43" i="12" s="1"/>
  <c r="M18" i="12"/>
  <c r="N28" i="12"/>
  <c r="C49" i="96"/>
  <c r="D49" i="96" s="1"/>
  <c r="B50" i="96"/>
  <c r="D52" i="80"/>
  <c r="C49" i="99"/>
  <c r="D49" i="99" s="1"/>
  <c r="B50" i="99"/>
  <c r="R37" i="107"/>
  <c r="L81" i="33"/>
  <c r="Q81" i="33"/>
  <c r="Q82" i="33" s="1"/>
  <c r="I81" i="33"/>
  <c r="K81" i="33"/>
  <c r="H81" i="33"/>
  <c r="M81" i="33"/>
  <c r="J81" i="33"/>
  <c r="P81" i="33"/>
  <c r="N81" i="33"/>
  <c r="O81" i="33"/>
  <c r="C49" i="103"/>
  <c r="B50" i="103"/>
  <c r="M19" i="12"/>
  <c r="N29" i="12"/>
  <c r="C50" i="89"/>
  <c r="D50" i="89" s="1"/>
  <c r="B51" i="89"/>
  <c r="D49" i="89"/>
  <c r="J15" i="12"/>
  <c r="B15" i="12"/>
  <c r="B25" i="12"/>
  <c r="D37" i="96"/>
  <c r="D48" i="96"/>
  <c r="D36" i="101"/>
  <c r="D50" i="109"/>
  <c r="C37" i="80"/>
  <c r="B38" i="80"/>
  <c r="P38" i="107"/>
  <c r="S68" i="33"/>
  <c r="Q68" i="33"/>
  <c r="O68" i="33"/>
  <c r="J68" i="33"/>
  <c r="L68" i="33"/>
  <c r="K68" i="33"/>
  <c r="N68" i="33"/>
  <c r="R68" i="33"/>
  <c r="P68" i="33"/>
  <c r="M68" i="33"/>
  <c r="D37" i="108"/>
  <c r="M64" i="33"/>
  <c r="J64" i="33"/>
  <c r="G64" i="33"/>
  <c r="F64" i="33"/>
  <c r="N64" i="33"/>
  <c r="L64" i="33"/>
  <c r="O64" i="33"/>
  <c r="K64" i="33"/>
  <c r="H64" i="33"/>
  <c r="I64" i="33"/>
  <c r="K80" i="33"/>
  <c r="N80" i="33"/>
  <c r="P80" i="33"/>
  <c r="H80" i="33"/>
  <c r="I80" i="33"/>
  <c r="J80" i="33"/>
  <c r="M80" i="33"/>
  <c r="O80" i="33"/>
  <c r="G80" i="33"/>
  <c r="L80" i="33"/>
  <c r="C37" i="92"/>
  <c r="B38" i="92"/>
  <c r="B40" i="99"/>
  <c r="C39" i="99"/>
  <c r="P51" i="96"/>
  <c r="R51" i="96"/>
  <c r="R50" i="96"/>
  <c r="P71" i="33"/>
  <c r="T71" i="33"/>
  <c r="V71" i="33"/>
  <c r="S71" i="33"/>
  <c r="N71" i="33"/>
  <c r="Q71" i="33"/>
  <c r="U71" i="33"/>
  <c r="M71" i="33"/>
  <c r="R71" i="33"/>
  <c r="O71" i="33"/>
  <c r="C37" i="94"/>
  <c r="D37" i="94" s="1"/>
  <c r="B38" i="94"/>
  <c r="P51" i="92"/>
  <c r="Q51" i="92" s="1"/>
  <c r="R50" i="92"/>
  <c r="P51" i="89"/>
  <c r="Q51" i="89" s="1"/>
  <c r="R50" i="89"/>
  <c r="P38" i="108"/>
  <c r="D49" i="103"/>
  <c r="B25" i="94"/>
  <c r="C25" i="94" s="1"/>
  <c r="D25" i="94" s="1"/>
  <c r="D36" i="94"/>
  <c r="B27" i="100"/>
  <c r="C27" i="100" s="1"/>
  <c r="D26" i="100"/>
  <c r="D48" i="103"/>
  <c r="D28" i="89"/>
  <c r="C37" i="101"/>
  <c r="D37" i="101" s="1"/>
  <c r="B38" i="101"/>
  <c r="M27" i="12"/>
  <c r="K17" i="12"/>
  <c r="L17" i="12"/>
  <c r="K6" i="12"/>
  <c r="C51" i="109"/>
  <c r="B52" i="109"/>
  <c r="P51" i="109"/>
  <c r="Q51" i="109" s="1"/>
  <c r="R50" i="109"/>
  <c r="D36" i="90"/>
  <c r="B78" i="33"/>
  <c r="U57" i="33"/>
  <c r="D48" i="110"/>
  <c r="R37" i="100"/>
  <c r="D37" i="87"/>
  <c r="I15" i="12"/>
  <c r="H63" i="33"/>
  <c r="K63" i="33"/>
  <c r="G63" i="33"/>
  <c r="M63" i="33"/>
  <c r="E63" i="33"/>
  <c r="E73" i="33" s="1"/>
  <c r="E85" i="33" s="1"/>
  <c r="B93" i="33" s="1"/>
  <c r="N63" i="33"/>
  <c r="J63" i="33"/>
  <c r="I63" i="33"/>
  <c r="L63" i="33"/>
  <c r="F63" i="33"/>
  <c r="C49" i="112"/>
  <c r="B50" i="112"/>
  <c r="B50" i="108"/>
  <c r="C49" i="108"/>
  <c r="P67" i="33"/>
  <c r="M67" i="33"/>
  <c r="K67" i="33"/>
  <c r="I67" i="33"/>
  <c r="J67" i="33"/>
  <c r="O67" i="33"/>
  <c r="Q67" i="33"/>
  <c r="L67" i="33"/>
  <c r="R67" i="33"/>
  <c r="N67" i="33"/>
  <c r="N24" i="12"/>
  <c r="N21" i="12"/>
  <c r="M42" i="12"/>
  <c r="M14" i="12"/>
  <c r="D25" i="109"/>
  <c r="C38" i="89"/>
  <c r="B39" i="89"/>
  <c r="C38" i="88"/>
  <c r="B39" i="88"/>
  <c r="C37" i="93"/>
  <c r="D37" i="93" s="1"/>
  <c r="B38" i="93"/>
  <c r="C51" i="88"/>
  <c r="B52" i="88"/>
  <c r="R39" i="91"/>
  <c r="R50" i="90"/>
  <c r="P51" i="104"/>
  <c r="Q51" i="104" s="1"/>
  <c r="P52" i="104" s="1"/>
  <c r="R50" i="104"/>
  <c r="N65" i="33"/>
  <c r="O65" i="33"/>
  <c r="L65" i="33"/>
  <c r="J65" i="33"/>
  <c r="K65" i="33"/>
  <c r="G65" i="33"/>
  <c r="I65" i="33"/>
  <c r="H65" i="33"/>
  <c r="M65" i="33"/>
  <c r="P65" i="33"/>
  <c r="C38" i="108"/>
  <c r="B39" i="108"/>
  <c r="B52" i="91"/>
  <c r="C51" i="91"/>
  <c r="D51" i="91" s="1"/>
  <c r="R37" i="105"/>
  <c r="B39" i="96"/>
  <c r="C38" i="96"/>
  <c r="P51" i="91"/>
  <c r="Q51" i="91" s="1"/>
  <c r="R50" i="91"/>
  <c r="C49" i="100"/>
  <c r="B50" i="100"/>
  <c r="B54" i="80"/>
  <c r="C54" i="80" s="1"/>
  <c r="C53" i="80"/>
  <c r="D53" i="80" s="1"/>
  <c r="L105" i="33"/>
  <c r="I105" i="33"/>
  <c r="K105" i="33"/>
  <c r="E105" i="33"/>
  <c r="G105" i="33"/>
  <c r="C105" i="33"/>
  <c r="C110" i="33" s="1"/>
  <c r="K114" i="33" s="1"/>
  <c r="D105" i="33"/>
  <c r="D110" i="33" s="1"/>
  <c r="L114" i="33" s="1"/>
  <c r="J105" i="33"/>
  <c r="F105" i="33"/>
  <c r="H105" i="33"/>
  <c r="R50" i="94"/>
  <c r="P51" i="100"/>
  <c r="Q51" i="100" s="1"/>
  <c r="P52" i="100" s="1"/>
  <c r="Q52" i="100" s="1"/>
  <c r="R50" i="100"/>
  <c r="P51" i="103"/>
  <c r="Q51" i="103" s="1"/>
  <c r="R50" i="103"/>
  <c r="P51" i="99"/>
  <c r="Q51" i="99" s="1"/>
  <c r="P51" i="112"/>
  <c r="M26" i="12"/>
  <c r="L16" i="12"/>
  <c r="K16" i="12"/>
  <c r="K5" i="12"/>
  <c r="G25" i="12"/>
  <c r="D37" i="80"/>
  <c r="D48" i="112"/>
  <c r="D48" i="108"/>
  <c r="D27" i="89"/>
  <c r="N56" i="33"/>
  <c r="B72" i="33" s="1"/>
  <c r="O66" i="33"/>
  <c r="H66" i="33"/>
  <c r="P66" i="33"/>
  <c r="M66" i="33"/>
  <c r="N66" i="33"/>
  <c r="K66" i="33"/>
  <c r="J66" i="33"/>
  <c r="L66" i="33"/>
  <c r="I66" i="33"/>
  <c r="Q66" i="33"/>
  <c r="O31" i="12"/>
  <c r="D37" i="89"/>
  <c r="F79" i="33"/>
  <c r="O79" i="33"/>
  <c r="G79" i="33"/>
  <c r="N79" i="33"/>
  <c r="L79" i="33"/>
  <c r="H79" i="33"/>
  <c r="I79" i="33"/>
  <c r="J79" i="33"/>
  <c r="M79" i="33"/>
  <c r="K79" i="33"/>
  <c r="B38" i="90"/>
  <c r="C37" i="90"/>
  <c r="C38" i="87"/>
  <c r="B39" i="87"/>
  <c r="D29" i="112"/>
  <c r="D49" i="108"/>
  <c r="Q51" i="112"/>
  <c r="P40" i="112"/>
  <c r="Q40" i="112" s="1"/>
  <c r="R40" i="112" s="1"/>
  <c r="Q51" i="111"/>
  <c r="Q38" i="111"/>
  <c r="R38" i="111" s="1"/>
  <c r="Q51" i="110"/>
  <c r="Q39" i="110"/>
  <c r="Q51" i="108"/>
  <c r="Q38" i="108"/>
  <c r="Q51" i="107"/>
  <c r="Q38" i="107"/>
  <c r="R38" i="107" s="1"/>
  <c r="Q37" i="99"/>
  <c r="Q51" i="106"/>
  <c r="Q51" i="105"/>
  <c r="P38" i="105"/>
  <c r="Q51" i="102"/>
  <c r="R51" i="102" s="1"/>
  <c r="Q51" i="101"/>
  <c r="Q37" i="101"/>
  <c r="P38" i="100"/>
  <c r="Q39" i="89"/>
  <c r="Q51" i="96"/>
  <c r="P52" i="96" s="1"/>
  <c r="P40" i="96"/>
  <c r="Q40" i="96" s="1"/>
  <c r="R40" i="96" s="1"/>
  <c r="Q51" i="94"/>
  <c r="P52" i="94" s="1"/>
  <c r="Q37" i="94"/>
  <c r="P40" i="93"/>
  <c r="Q40" i="93" s="1"/>
  <c r="R40" i="93" s="1"/>
  <c r="Q38" i="92"/>
  <c r="P40" i="91"/>
  <c r="Q51" i="90"/>
  <c r="Q37" i="90"/>
  <c r="Q51" i="88"/>
  <c r="P52" i="88" s="1"/>
  <c r="Q39" i="88"/>
  <c r="Q51" i="87"/>
  <c r="Q38" i="87"/>
  <c r="P40" i="109"/>
  <c r="Q40" i="109" s="1"/>
  <c r="R40" i="109" s="1"/>
  <c r="P40" i="106"/>
  <c r="Q40" i="106" s="1"/>
  <c r="R40" i="106" s="1"/>
  <c r="P40" i="104"/>
  <c r="P40" i="103"/>
  <c r="Q40" i="103" s="1"/>
  <c r="R40" i="103" s="1"/>
  <c r="P40" i="102"/>
  <c r="Q40" i="102" s="1"/>
  <c r="R40" i="102" s="1"/>
  <c r="P52" i="80"/>
  <c r="Q52" i="80" s="1"/>
  <c r="R52" i="80" s="1"/>
  <c r="P40" i="80"/>
  <c r="Q40" i="80"/>
  <c r="R40" i="80" s="1"/>
  <c r="Q25" i="111"/>
  <c r="Q25" i="110"/>
  <c r="Q26" i="109"/>
  <c r="Q27" i="108"/>
  <c r="B41" i="112"/>
  <c r="C40" i="112"/>
  <c r="D39" i="112"/>
  <c r="C39" i="110"/>
  <c r="D39" i="110" s="1"/>
  <c r="B40" i="110"/>
  <c r="D38" i="110"/>
  <c r="B51" i="110"/>
  <c r="C50" i="110"/>
  <c r="B25" i="101"/>
  <c r="C25" i="101" s="1"/>
  <c r="C52" i="101"/>
  <c r="D52" i="101" s="1"/>
  <c r="B53" i="101"/>
  <c r="D26" i="102"/>
  <c r="B52" i="102"/>
  <c r="C51" i="102"/>
  <c r="D30" i="102"/>
  <c r="D51" i="102"/>
  <c r="D29" i="102"/>
  <c r="D28" i="102"/>
  <c r="D25" i="102"/>
  <c r="C38" i="102"/>
  <c r="B39" i="102"/>
  <c r="D27" i="102"/>
  <c r="B39" i="103"/>
  <c r="C38" i="103"/>
  <c r="D38" i="103" s="1"/>
  <c r="D37" i="103"/>
  <c r="C38" i="104"/>
  <c r="D38" i="104" s="1"/>
  <c r="B39" i="104"/>
  <c r="D37" i="104"/>
  <c r="B52" i="104"/>
  <c r="C51" i="104"/>
  <c r="D51" i="104" s="1"/>
  <c r="C38" i="105"/>
  <c r="D38" i="105" s="1"/>
  <c r="B39" i="105"/>
  <c r="B52" i="105"/>
  <c r="C51" i="105"/>
  <c r="D50" i="105"/>
  <c r="B51" i="106"/>
  <c r="C50" i="106"/>
  <c r="B40" i="109"/>
  <c r="C39" i="109"/>
  <c r="D39" i="109" s="1"/>
  <c r="D38" i="109"/>
  <c r="B51" i="107"/>
  <c r="C50" i="107"/>
  <c r="D50" i="107" s="1"/>
  <c r="C37" i="107"/>
  <c r="D37" i="107" s="1"/>
  <c r="B38" i="107"/>
  <c r="D49" i="107"/>
  <c r="P26" i="106"/>
  <c r="R25" i="106"/>
  <c r="P27" i="105"/>
  <c r="Q27" i="105" s="1"/>
  <c r="P28" i="105" s="1"/>
  <c r="Q28" i="105" s="1"/>
  <c r="Q27" i="104"/>
  <c r="R27" i="104" s="1"/>
  <c r="R26" i="104"/>
  <c r="Q27" i="103"/>
  <c r="R27" i="103" s="1"/>
  <c r="R25" i="102"/>
  <c r="P27" i="101"/>
  <c r="R26" i="101"/>
  <c r="P27" i="100"/>
  <c r="Q27" i="100" s="1"/>
  <c r="Q26" i="96"/>
  <c r="P27" i="96" s="1"/>
  <c r="R26" i="94"/>
  <c r="Q27" i="94"/>
  <c r="R27" i="94" s="1"/>
  <c r="P27" i="93"/>
  <c r="R25" i="92"/>
  <c r="P26" i="92"/>
  <c r="R25" i="91"/>
  <c r="P26" i="91"/>
  <c r="R26" i="90"/>
  <c r="P27" i="90"/>
  <c r="P27" i="88"/>
  <c r="Q27" i="88" s="1"/>
  <c r="P28" i="107"/>
  <c r="Q28" i="107" s="1"/>
  <c r="R27" i="107"/>
  <c r="P28" i="89"/>
  <c r="Q28" i="89" s="1"/>
  <c r="R27" i="89"/>
  <c r="R26" i="87"/>
  <c r="Q27" i="87"/>
  <c r="R24" i="80"/>
  <c r="P25" i="80"/>
  <c r="Q25" i="80" s="1"/>
  <c r="D92" i="33" l="1"/>
  <c r="D102" i="33" s="1"/>
  <c r="D113" i="33" s="1"/>
  <c r="L69" i="33"/>
  <c r="I92" i="33"/>
  <c r="N69" i="33"/>
  <c r="J92" i="33"/>
  <c r="K69" i="33"/>
  <c r="K73" i="33" s="1"/>
  <c r="R69" i="33"/>
  <c r="T69" i="33"/>
  <c r="M69" i="33"/>
  <c r="Q69" i="33"/>
  <c r="P69" i="33"/>
  <c r="O69" i="33"/>
  <c r="K92" i="33"/>
  <c r="G92" i="33"/>
  <c r="B51" i="111"/>
  <c r="C50" i="111"/>
  <c r="B53" i="92"/>
  <c r="C52" i="92"/>
  <c r="C51" i="94"/>
  <c r="D51" i="94" s="1"/>
  <c r="B52" i="94"/>
  <c r="P39" i="107"/>
  <c r="B53" i="90"/>
  <c r="C52" i="90"/>
  <c r="B52" i="93"/>
  <c r="C51" i="93"/>
  <c r="D51" i="93" s="1"/>
  <c r="C38" i="106"/>
  <c r="D38" i="106" s="1"/>
  <c r="B39" i="106"/>
  <c r="D50" i="111"/>
  <c r="D52" i="90"/>
  <c r="B39" i="100"/>
  <c r="C38" i="100"/>
  <c r="D37" i="106"/>
  <c r="R27" i="105"/>
  <c r="D38" i="100"/>
  <c r="L32" i="95" s="1"/>
  <c r="D37" i="100"/>
  <c r="L31" i="95" s="1"/>
  <c r="L92" i="33"/>
  <c r="M92" i="33"/>
  <c r="E92" i="33"/>
  <c r="C38" i="91"/>
  <c r="D38" i="91" s="1"/>
  <c r="B39" i="91"/>
  <c r="D51" i="90"/>
  <c r="D52" i="92"/>
  <c r="H92" i="33"/>
  <c r="B51" i="87"/>
  <c r="C50" i="87"/>
  <c r="D50" i="87" s="1"/>
  <c r="P82" i="33"/>
  <c r="I17" i="12"/>
  <c r="G17" i="12" s="1"/>
  <c r="G6" i="12" s="1"/>
  <c r="N70" i="33"/>
  <c r="L70" i="33"/>
  <c r="Q70" i="33"/>
  <c r="T70" i="33"/>
  <c r="P70" i="33"/>
  <c r="M70" i="33"/>
  <c r="U70" i="33"/>
  <c r="S70" i="33"/>
  <c r="R70" i="33"/>
  <c r="F73" i="33"/>
  <c r="F85" i="33" s="1"/>
  <c r="B94" i="33" s="1"/>
  <c r="J94" i="33" s="1"/>
  <c r="W85" i="33"/>
  <c r="V113" i="33" s="1"/>
  <c r="P52" i="99"/>
  <c r="R51" i="99"/>
  <c r="R51" i="91"/>
  <c r="P52" i="91"/>
  <c r="P52" i="93"/>
  <c r="R51" i="93"/>
  <c r="R51" i="103"/>
  <c r="P52" i="103"/>
  <c r="Q52" i="103" s="1"/>
  <c r="P52" i="89"/>
  <c r="R51" i="89"/>
  <c r="P52" i="87"/>
  <c r="R51" i="87"/>
  <c r="J16" i="12"/>
  <c r="B26" i="12"/>
  <c r="B16" i="12"/>
  <c r="C52" i="88"/>
  <c r="B53" i="88"/>
  <c r="M93" i="33"/>
  <c r="N93" i="33"/>
  <c r="F93" i="33"/>
  <c r="J93" i="33"/>
  <c r="G93" i="33"/>
  <c r="H93" i="33"/>
  <c r="K93" i="33"/>
  <c r="I93" i="33"/>
  <c r="L93" i="33"/>
  <c r="E93" i="33"/>
  <c r="D51" i="109"/>
  <c r="B39" i="94"/>
  <c r="C38" i="94"/>
  <c r="D38" i="94" s="1"/>
  <c r="H15" i="12"/>
  <c r="J4" i="12"/>
  <c r="B51" i="96"/>
  <c r="C50" i="96"/>
  <c r="D50" i="96" s="1"/>
  <c r="R39" i="110"/>
  <c r="P40" i="88"/>
  <c r="R39" i="88"/>
  <c r="R38" i="92"/>
  <c r="R37" i="101"/>
  <c r="P40" i="110"/>
  <c r="Q40" i="110" s="1"/>
  <c r="C38" i="90"/>
  <c r="B39" i="90"/>
  <c r="G26" i="12"/>
  <c r="R51" i="104"/>
  <c r="D51" i="88"/>
  <c r="D52" i="88"/>
  <c r="D38" i="90"/>
  <c r="D52" i="91"/>
  <c r="P53" i="100"/>
  <c r="Q53" i="100" s="1"/>
  <c r="R52" i="100"/>
  <c r="P52" i="112"/>
  <c r="R51" i="112"/>
  <c r="R51" i="88"/>
  <c r="P39" i="92"/>
  <c r="Q39" i="92" s="1"/>
  <c r="P38" i="101"/>
  <c r="Q38" i="101" s="1"/>
  <c r="P52" i="110"/>
  <c r="Q52" i="110" s="1"/>
  <c r="P53" i="110" s="1"/>
  <c r="Q53" i="110" s="1"/>
  <c r="R53" i="110" s="1"/>
  <c r="R51" i="110"/>
  <c r="D37" i="90"/>
  <c r="O82" i="33"/>
  <c r="B53" i="91"/>
  <c r="C52" i="91"/>
  <c r="B39" i="93"/>
  <c r="C38" i="93"/>
  <c r="L14" i="12"/>
  <c r="M24" i="12"/>
  <c r="K14" i="12"/>
  <c r="K3" i="12"/>
  <c r="M41" i="12"/>
  <c r="M21" i="12"/>
  <c r="R51" i="94"/>
  <c r="G73" i="33"/>
  <c r="G85" i="33" s="1"/>
  <c r="J17" i="12"/>
  <c r="B17" i="12"/>
  <c r="B27" i="12"/>
  <c r="U56" i="33"/>
  <c r="U58" i="33" s="1"/>
  <c r="B51" i="99"/>
  <c r="C50" i="99"/>
  <c r="D50" i="99" s="1"/>
  <c r="D37" i="92"/>
  <c r="P52" i="92"/>
  <c r="Q52" i="92" s="1"/>
  <c r="R51" i="92"/>
  <c r="P52" i="101"/>
  <c r="R51" i="101"/>
  <c r="P52" i="105"/>
  <c r="Q52" i="105" s="1"/>
  <c r="P53" i="105" s="1"/>
  <c r="R51" i="105"/>
  <c r="P52" i="107"/>
  <c r="R51" i="107"/>
  <c r="C39" i="87"/>
  <c r="D39" i="87" s="1"/>
  <c r="B40" i="87"/>
  <c r="U72" i="33"/>
  <c r="N72" i="33"/>
  <c r="R72" i="33"/>
  <c r="O72" i="33"/>
  <c r="S72" i="33"/>
  <c r="T72" i="33"/>
  <c r="Q72" i="33"/>
  <c r="V72" i="33"/>
  <c r="V73" i="33" s="1"/>
  <c r="P72" i="33"/>
  <c r="W72" i="33"/>
  <c r="W73" i="33" s="1"/>
  <c r="F15" i="12"/>
  <c r="F25" i="12"/>
  <c r="B40" i="96"/>
  <c r="C39" i="96"/>
  <c r="N42" i="12"/>
  <c r="O42" i="12" s="1"/>
  <c r="B26" i="94"/>
  <c r="C26" i="94" s="1"/>
  <c r="D26" i="94" s="1"/>
  <c r="D39" i="99"/>
  <c r="C38" i="80"/>
  <c r="B39" i="80"/>
  <c r="B52" i="89"/>
  <c r="C51" i="89"/>
  <c r="C50" i="103"/>
  <c r="D50" i="103" s="1"/>
  <c r="B51" i="103"/>
  <c r="R37" i="90"/>
  <c r="P40" i="89"/>
  <c r="R39" i="89"/>
  <c r="P52" i="106"/>
  <c r="Q52" i="106" s="1"/>
  <c r="R51" i="106"/>
  <c r="P52" i="111"/>
  <c r="Q52" i="111" s="1"/>
  <c r="R51" i="111"/>
  <c r="D38" i="87"/>
  <c r="D49" i="112"/>
  <c r="R51" i="100"/>
  <c r="R38" i="108"/>
  <c r="B51" i="100"/>
  <c r="C50" i="100"/>
  <c r="D50" i="100" s="1"/>
  <c r="C39" i="108"/>
  <c r="B40" i="108"/>
  <c r="C39" i="88"/>
  <c r="B40" i="88"/>
  <c r="H73" i="33"/>
  <c r="H85" i="33" s="1"/>
  <c r="B96" i="33" s="1"/>
  <c r="C40" i="99"/>
  <c r="B41" i="99"/>
  <c r="D54" i="80"/>
  <c r="L18" i="12"/>
  <c r="M28" i="12"/>
  <c r="K18" i="12"/>
  <c r="K7" i="12"/>
  <c r="L20" i="12"/>
  <c r="M30" i="12"/>
  <c r="K9" i="12"/>
  <c r="K20" i="12"/>
  <c r="P52" i="90"/>
  <c r="R51" i="90"/>
  <c r="P52" i="102"/>
  <c r="Q52" i="102" s="1"/>
  <c r="R37" i="99"/>
  <c r="D38" i="93"/>
  <c r="D38" i="88"/>
  <c r="I73" i="33"/>
  <c r="G27" i="12"/>
  <c r="C38" i="92"/>
  <c r="B39" i="92"/>
  <c r="D38" i="108"/>
  <c r="R37" i="94"/>
  <c r="P52" i="108"/>
  <c r="Q52" i="108" s="1"/>
  <c r="R51" i="108"/>
  <c r="B40" i="89"/>
  <c r="C39" i="89"/>
  <c r="N31" i="12"/>
  <c r="C50" i="108"/>
  <c r="B51" i="108"/>
  <c r="J73" i="33"/>
  <c r="G15" i="12"/>
  <c r="I4" i="12"/>
  <c r="M78" i="33"/>
  <c r="M82" i="33" s="1"/>
  <c r="N78" i="33"/>
  <c r="N82" i="33" s="1"/>
  <c r="I78" i="33"/>
  <c r="I82" i="33" s="1"/>
  <c r="Q86" i="33" s="1"/>
  <c r="J78" i="33"/>
  <c r="J82" i="33" s="1"/>
  <c r="R86" i="33" s="1"/>
  <c r="K78" i="33"/>
  <c r="K82" i="33" s="1"/>
  <c r="E78" i="33"/>
  <c r="E82" i="33" s="1"/>
  <c r="M86" i="33" s="1"/>
  <c r="H78" i="33"/>
  <c r="H82" i="33" s="1"/>
  <c r="P86" i="33" s="1"/>
  <c r="L78" i="33"/>
  <c r="L82" i="33" s="1"/>
  <c r="F78" i="33"/>
  <c r="F82" i="33" s="1"/>
  <c r="N86" i="33" s="1"/>
  <c r="B108" i="33" s="1"/>
  <c r="G78" i="33"/>
  <c r="G82" i="33" s="1"/>
  <c r="O86" i="33" s="1"/>
  <c r="B109" i="33" s="1"/>
  <c r="B39" i="101"/>
  <c r="C38" i="101"/>
  <c r="D38" i="101" s="1"/>
  <c r="B28" i="100"/>
  <c r="C28" i="100" s="1"/>
  <c r="D28" i="100" s="1"/>
  <c r="D27" i="100"/>
  <c r="D39" i="108"/>
  <c r="B41" i="111"/>
  <c r="C40" i="111"/>
  <c r="B26" i="109"/>
  <c r="C26" i="109" s="1"/>
  <c r="D26" i="109" s="1"/>
  <c r="R38" i="87"/>
  <c r="P52" i="109"/>
  <c r="Q52" i="109" s="1"/>
  <c r="R51" i="109"/>
  <c r="I16" i="12"/>
  <c r="D38" i="89"/>
  <c r="C50" i="112"/>
  <c r="D50" i="112" s="1"/>
  <c r="B51" i="112"/>
  <c r="C52" i="109"/>
  <c r="B53" i="109"/>
  <c r="D38" i="96"/>
  <c r="L19" i="12"/>
  <c r="M29" i="12"/>
  <c r="K19" i="12"/>
  <c r="K8" i="12"/>
  <c r="D49" i="100"/>
  <c r="B26" i="92"/>
  <c r="C26" i="92" s="1"/>
  <c r="D26" i="92" s="1"/>
  <c r="D25" i="92"/>
  <c r="D39" i="96"/>
  <c r="Q52" i="112"/>
  <c r="P41" i="112"/>
  <c r="Q41" i="112" s="1"/>
  <c r="R41" i="112" s="1"/>
  <c r="P39" i="111"/>
  <c r="P39" i="108"/>
  <c r="Q52" i="107"/>
  <c r="P40" i="107"/>
  <c r="Q39" i="107"/>
  <c r="Q52" i="99"/>
  <c r="P38" i="99"/>
  <c r="Q38" i="105"/>
  <c r="Q52" i="104"/>
  <c r="Q40" i="104"/>
  <c r="R40" i="104" s="1"/>
  <c r="Q52" i="101"/>
  <c r="Q38" i="100"/>
  <c r="R38" i="100" s="1"/>
  <c r="Q52" i="89"/>
  <c r="Q40" i="89"/>
  <c r="R40" i="89" s="1"/>
  <c r="Q52" i="96"/>
  <c r="P41" i="96"/>
  <c r="Q52" i="94"/>
  <c r="P38" i="94"/>
  <c r="Q52" i="93"/>
  <c r="P41" i="93"/>
  <c r="Q41" i="93" s="1"/>
  <c r="R41" i="93" s="1"/>
  <c r="Q52" i="91"/>
  <c r="R52" i="91" s="1"/>
  <c r="Q40" i="91"/>
  <c r="R40" i="91" s="1"/>
  <c r="Q52" i="90"/>
  <c r="P38" i="90"/>
  <c r="Q52" i="88"/>
  <c r="Q40" i="88"/>
  <c r="R40" i="88" s="1"/>
  <c r="P53" i="87"/>
  <c r="Q52" i="87"/>
  <c r="R52" i="87" s="1"/>
  <c r="P39" i="87"/>
  <c r="P41" i="109"/>
  <c r="Q41" i="109" s="1"/>
  <c r="R41" i="109" s="1"/>
  <c r="P41" i="106"/>
  <c r="Q41" i="106" s="1"/>
  <c r="R41" i="106" s="1"/>
  <c r="P41" i="103"/>
  <c r="P41" i="102"/>
  <c r="Q41" i="102" s="1"/>
  <c r="R41" i="102" s="1"/>
  <c r="P42" i="93"/>
  <c r="Q42" i="93" s="1"/>
  <c r="R42" i="93" s="1"/>
  <c r="P53" i="80"/>
  <c r="Q53" i="80" s="1"/>
  <c r="R53" i="80" s="1"/>
  <c r="P41" i="80"/>
  <c r="Q41" i="80" s="1"/>
  <c r="R41" i="80" s="1"/>
  <c r="R25" i="112"/>
  <c r="P26" i="112"/>
  <c r="Q26" i="112" s="1"/>
  <c r="R25" i="111"/>
  <c r="P26" i="111"/>
  <c r="R25" i="110"/>
  <c r="P26" i="110"/>
  <c r="R26" i="109"/>
  <c r="P27" i="109"/>
  <c r="P28" i="108"/>
  <c r="R27" i="108"/>
  <c r="B42" i="112"/>
  <c r="C42" i="112" s="1"/>
  <c r="C41" i="112"/>
  <c r="D40" i="112"/>
  <c r="B52" i="110"/>
  <c r="C51" i="110"/>
  <c r="D51" i="110" s="1"/>
  <c r="C40" i="110"/>
  <c r="B41" i="110"/>
  <c r="D50" i="110"/>
  <c r="B26" i="101"/>
  <c r="C26" i="101" s="1"/>
  <c r="B27" i="101" s="1"/>
  <c r="C27" i="101" s="1"/>
  <c r="B28" i="101" s="1"/>
  <c r="C28" i="101" s="1"/>
  <c r="B29" i="101" s="1"/>
  <c r="C29" i="101" s="1"/>
  <c r="B30" i="101" s="1"/>
  <c r="C30" i="101" s="1"/>
  <c r="D30" i="101" s="1"/>
  <c r="D26" i="101"/>
  <c r="D25" i="101"/>
  <c r="B54" i="101"/>
  <c r="C54" i="101" s="1"/>
  <c r="C53" i="101"/>
  <c r="D53" i="101" s="1"/>
  <c r="D28" i="101"/>
  <c r="D38" i="102"/>
  <c r="B53" i="102"/>
  <c r="C52" i="102"/>
  <c r="D52" i="102" s="1"/>
  <c r="C39" i="102"/>
  <c r="D39" i="102" s="1"/>
  <c r="B40" i="102"/>
  <c r="B40" i="103"/>
  <c r="C39" i="103"/>
  <c r="B53" i="104"/>
  <c r="C52" i="104"/>
  <c r="D52" i="104" s="1"/>
  <c r="C39" i="104"/>
  <c r="B40" i="104"/>
  <c r="C52" i="105"/>
  <c r="B53" i="105"/>
  <c r="B40" i="105"/>
  <c r="C39" i="105"/>
  <c r="D51" i="105"/>
  <c r="D52" i="105"/>
  <c r="D50" i="106"/>
  <c r="D51" i="106"/>
  <c r="C51" i="106"/>
  <c r="B52" i="106"/>
  <c r="C40" i="109"/>
  <c r="B41" i="109"/>
  <c r="B52" i="107"/>
  <c r="C51" i="107"/>
  <c r="D51" i="107" s="1"/>
  <c r="C38" i="107"/>
  <c r="D38" i="107" s="1"/>
  <c r="B39" i="107"/>
  <c r="Q26" i="106"/>
  <c r="P28" i="104"/>
  <c r="P28" i="103"/>
  <c r="Q28" i="103" s="1"/>
  <c r="P29" i="103" s="1"/>
  <c r="Q29" i="103" s="1"/>
  <c r="P27" i="102"/>
  <c r="Q27" i="102" s="1"/>
  <c r="R26" i="102"/>
  <c r="Q27" i="101"/>
  <c r="P28" i="101" s="1"/>
  <c r="R26" i="100"/>
  <c r="R27" i="100"/>
  <c r="R26" i="96"/>
  <c r="Q27" i="96"/>
  <c r="R27" i="96" s="1"/>
  <c r="P28" i="94"/>
  <c r="Q27" i="93"/>
  <c r="Q26" i="92"/>
  <c r="Q26" i="91"/>
  <c r="Q27" i="90"/>
  <c r="R26" i="88"/>
  <c r="P28" i="88"/>
  <c r="Q28" i="88" s="1"/>
  <c r="P29" i="107"/>
  <c r="Q29" i="107" s="1"/>
  <c r="R28" i="107"/>
  <c r="P29" i="105"/>
  <c r="R28" i="105"/>
  <c r="R28" i="103"/>
  <c r="P29" i="89"/>
  <c r="Q29" i="89" s="1"/>
  <c r="R28" i="89"/>
  <c r="P28" i="87"/>
  <c r="R27" i="87"/>
  <c r="L73" i="33" l="1"/>
  <c r="L85" i="33" s="1"/>
  <c r="B100" i="33" s="1"/>
  <c r="M73" i="33"/>
  <c r="M85" i="33" s="1"/>
  <c r="B101" i="33" s="1"/>
  <c r="V101" i="33" s="1"/>
  <c r="V102" i="33" s="1"/>
  <c r="O73" i="33"/>
  <c r="O85" i="33" s="1"/>
  <c r="N73" i="33"/>
  <c r="N85" i="33" s="1"/>
  <c r="P40" i="92"/>
  <c r="Q40" i="92" s="1"/>
  <c r="R40" i="92" s="1"/>
  <c r="R39" i="92"/>
  <c r="B40" i="100"/>
  <c r="C39" i="100"/>
  <c r="D39" i="100" s="1"/>
  <c r="L33" i="95" s="1"/>
  <c r="B40" i="91"/>
  <c r="C39" i="91"/>
  <c r="D39" i="91" s="1"/>
  <c r="C52" i="94"/>
  <c r="B53" i="94"/>
  <c r="D29" i="101"/>
  <c r="E102" i="33"/>
  <c r="E113" i="33" s="1"/>
  <c r="C39" i="106"/>
  <c r="D39" i="106" s="1"/>
  <c r="B40" i="106"/>
  <c r="P28" i="96"/>
  <c r="I6" i="12"/>
  <c r="C51" i="87"/>
  <c r="D51" i="87" s="1"/>
  <c r="B52" i="87"/>
  <c r="S73" i="33"/>
  <c r="C52" i="93"/>
  <c r="B53" i="93"/>
  <c r="C53" i="92"/>
  <c r="D54" i="92" s="1"/>
  <c r="B54" i="92"/>
  <c r="C54" i="92" s="1"/>
  <c r="P54" i="110"/>
  <c r="Q54" i="110" s="1"/>
  <c r="R54" i="110" s="1"/>
  <c r="C53" i="90"/>
  <c r="B54" i="90"/>
  <c r="C54" i="90" s="1"/>
  <c r="B52" i="111"/>
  <c r="C51" i="111"/>
  <c r="P73" i="33"/>
  <c r="P85" i="33" s="1"/>
  <c r="I19" i="12"/>
  <c r="I8" i="12" s="1"/>
  <c r="I18" i="12"/>
  <c r="D41" i="12" s="1"/>
  <c r="Q73" i="33"/>
  <c r="Q85" i="33" s="1"/>
  <c r="T73" i="33"/>
  <c r="R73" i="33"/>
  <c r="R85" i="33" s="1"/>
  <c r="U73" i="33"/>
  <c r="I85" i="33"/>
  <c r="B97" i="33" s="1"/>
  <c r="O97" i="33" s="1"/>
  <c r="K85" i="33"/>
  <c r="B99" i="33" s="1"/>
  <c r="K99" i="33" s="1"/>
  <c r="F94" i="33"/>
  <c r="F102" i="33" s="1"/>
  <c r="F113" i="33" s="1"/>
  <c r="O94" i="33"/>
  <c r="I94" i="33"/>
  <c r="G94" i="33"/>
  <c r="L94" i="33"/>
  <c r="M94" i="33"/>
  <c r="H94" i="33"/>
  <c r="K94" i="33"/>
  <c r="N94" i="33"/>
  <c r="P53" i="109"/>
  <c r="R52" i="109"/>
  <c r="P53" i="106"/>
  <c r="R52" i="106"/>
  <c r="R38" i="101"/>
  <c r="P39" i="101"/>
  <c r="P53" i="108"/>
  <c r="R52" i="108"/>
  <c r="P53" i="92"/>
  <c r="R52" i="92"/>
  <c r="P53" i="102"/>
  <c r="R52" i="102"/>
  <c r="D41" i="99"/>
  <c r="P53" i="111"/>
  <c r="R52" i="111"/>
  <c r="R52" i="103"/>
  <c r="P53" i="103"/>
  <c r="R39" i="107"/>
  <c r="C39" i="101"/>
  <c r="D39" i="101" s="1"/>
  <c r="B40" i="101"/>
  <c r="D50" i="108"/>
  <c r="B42" i="99"/>
  <c r="C42" i="99" s="1"/>
  <c r="C41" i="99"/>
  <c r="B52" i="99"/>
  <c r="C51" i="99"/>
  <c r="I14" i="12"/>
  <c r="M39" i="12"/>
  <c r="K21" i="12"/>
  <c r="C43" i="12"/>
  <c r="D54" i="101"/>
  <c r="R38" i="105"/>
  <c r="P53" i="107"/>
  <c r="Q53" i="107" s="1"/>
  <c r="R52" i="107"/>
  <c r="J19" i="12"/>
  <c r="G19" i="12" s="1"/>
  <c r="G8" i="12" s="1"/>
  <c r="B19" i="12"/>
  <c r="B29" i="12"/>
  <c r="C51" i="112"/>
  <c r="B52" i="112"/>
  <c r="L108" i="33"/>
  <c r="G108" i="33"/>
  <c r="O108" i="33"/>
  <c r="I108" i="33"/>
  <c r="M108" i="33"/>
  <c r="N108" i="33"/>
  <c r="H108" i="33"/>
  <c r="K108" i="33"/>
  <c r="J108" i="33"/>
  <c r="F108" i="33"/>
  <c r="B20" i="12"/>
  <c r="J20" i="12"/>
  <c r="B30" i="12"/>
  <c r="G28" i="12"/>
  <c r="C40" i="88"/>
  <c r="D40" i="88" s="1"/>
  <c r="B41" i="88"/>
  <c r="E15" i="12"/>
  <c r="E25" i="12"/>
  <c r="J14" i="12"/>
  <c r="B24" i="12"/>
  <c r="M40" i="12"/>
  <c r="L21" i="12"/>
  <c r="B14" i="12"/>
  <c r="H16" i="12"/>
  <c r="H5" i="12" s="1"/>
  <c r="J5" i="12"/>
  <c r="D43" i="12"/>
  <c r="P53" i="90"/>
  <c r="R52" i="90"/>
  <c r="M109" i="33"/>
  <c r="N109" i="33"/>
  <c r="I109" i="33"/>
  <c r="H109" i="33"/>
  <c r="G109" i="33"/>
  <c r="K109" i="33"/>
  <c r="P109" i="33"/>
  <c r="P110" i="33" s="1"/>
  <c r="J109" i="33"/>
  <c r="L109" i="33"/>
  <c r="O109" i="33"/>
  <c r="M31" i="12"/>
  <c r="G24" i="12"/>
  <c r="B40" i="90"/>
  <c r="C39" i="90"/>
  <c r="B52" i="96"/>
  <c r="C51" i="96"/>
  <c r="P53" i="93"/>
  <c r="R52" i="93"/>
  <c r="P53" i="101"/>
  <c r="R52" i="101"/>
  <c r="J18" i="12"/>
  <c r="B18" i="12"/>
  <c r="B28" i="12"/>
  <c r="D52" i="89"/>
  <c r="D51" i="89"/>
  <c r="D40" i="99"/>
  <c r="F4" i="12"/>
  <c r="R52" i="105"/>
  <c r="P41" i="110"/>
  <c r="Q41" i="110" s="1"/>
  <c r="R40" i="110"/>
  <c r="P53" i="91"/>
  <c r="P53" i="89"/>
  <c r="Q53" i="89" s="1"/>
  <c r="R52" i="89"/>
  <c r="P53" i="112"/>
  <c r="R52" i="112"/>
  <c r="B27" i="92"/>
  <c r="C27" i="92" s="1"/>
  <c r="D41" i="111"/>
  <c r="D40" i="111"/>
  <c r="B41" i="89"/>
  <c r="C40" i="89"/>
  <c r="D40" i="89" s="1"/>
  <c r="D39" i="88"/>
  <c r="C40" i="108"/>
  <c r="D40" i="108" s="1"/>
  <c r="B41" i="108"/>
  <c r="B53" i="89"/>
  <c r="C52" i="89"/>
  <c r="D42" i="99"/>
  <c r="B40" i="93"/>
  <c r="C39" i="93"/>
  <c r="H4" i="12"/>
  <c r="B54" i="88"/>
  <c r="C54" i="88" s="1"/>
  <c r="C53" i="88"/>
  <c r="P53" i="96"/>
  <c r="Q53" i="96" s="1"/>
  <c r="R52" i="96"/>
  <c r="P53" i="104"/>
  <c r="R52" i="104"/>
  <c r="G29" i="12"/>
  <c r="B27" i="109"/>
  <c r="C27" i="109" s="1"/>
  <c r="B28" i="109" s="1"/>
  <c r="C28" i="109" s="1"/>
  <c r="B29" i="109" s="1"/>
  <c r="C29" i="109" s="1"/>
  <c r="B30" i="109" s="1"/>
  <c r="C30" i="109" s="1"/>
  <c r="D30" i="109" s="1"/>
  <c r="D27" i="109"/>
  <c r="B95" i="33"/>
  <c r="P41" i="88"/>
  <c r="Q41" i="88" s="1"/>
  <c r="R41" i="88" s="1"/>
  <c r="B42" i="111"/>
  <c r="C42" i="111" s="1"/>
  <c r="C41" i="111"/>
  <c r="D42" i="111" s="1"/>
  <c r="B107" i="33"/>
  <c r="T86" i="33"/>
  <c r="G4" i="12"/>
  <c r="C39" i="92"/>
  <c r="D39" i="92" s="1"/>
  <c r="B40" i="92"/>
  <c r="N41" i="12"/>
  <c r="O41" i="12" s="1"/>
  <c r="P54" i="100"/>
  <c r="Q54" i="100" s="1"/>
  <c r="R54" i="100" s="1"/>
  <c r="R53" i="100"/>
  <c r="I7" i="12"/>
  <c r="P41" i="104"/>
  <c r="P53" i="88"/>
  <c r="R52" i="88"/>
  <c r="P53" i="94"/>
  <c r="Q53" i="94" s="1"/>
  <c r="R53" i="94" s="1"/>
  <c r="R52" i="94"/>
  <c r="P39" i="100"/>
  <c r="Q39" i="100" s="1"/>
  <c r="R39" i="100" s="1"/>
  <c r="B29" i="100"/>
  <c r="C29" i="100" s="1"/>
  <c r="B30" i="100" s="1"/>
  <c r="C30" i="100" s="1"/>
  <c r="D30" i="100" s="1"/>
  <c r="D29" i="100"/>
  <c r="J85" i="33"/>
  <c r="B98" i="33" s="1"/>
  <c r="D38" i="92"/>
  <c r="D52" i="109"/>
  <c r="C39" i="80"/>
  <c r="D39" i="80" s="1"/>
  <c r="B40" i="80"/>
  <c r="D39" i="93"/>
  <c r="K21" i="13"/>
  <c r="K17" i="13"/>
  <c r="K20" i="13"/>
  <c r="K2" i="13"/>
  <c r="K3" i="13" s="1"/>
  <c r="K4" i="13" s="1"/>
  <c r="K19" i="13"/>
  <c r="K18" i="13"/>
  <c r="K10" i="12"/>
  <c r="C53" i="91"/>
  <c r="D54" i="91" s="1"/>
  <c r="B54" i="91"/>
  <c r="C54" i="91" s="1"/>
  <c r="F26" i="12"/>
  <c r="C39" i="94"/>
  <c r="D39" i="94" s="1"/>
  <c r="B40" i="94"/>
  <c r="G30" i="12"/>
  <c r="C51" i="103"/>
  <c r="D51" i="103" s="1"/>
  <c r="B52" i="103"/>
  <c r="B41" i="96"/>
  <c r="C40" i="96"/>
  <c r="P53" i="99"/>
  <c r="R52" i="99"/>
  <c r="B54" i="109"/>
  <c r="C54" i="109" s="1"/>
  <c r="D54" i="109" s="1"/>
  <c r="C53" i="109"/>
  <c r="D53" i="109" s="1"/>
  <c r="G16" i="12"/>
  <c r="G5" i="12" s="1"/>
  <c r="I5" i="12"/>
  <c r="D28" i="109"/>
  <c r="C51" i="108"/>
  <c r="B52" i="108"/>
  <c r="D51" i="112"/>
  <c r="F27" i="12"/>
  <c r="I20" i="12"/>
  <c r="Q96" i="33"/>
  <c r="K96" i="33"/>
  <c r="M96" i="33"/>
  <c r="L96" i="33"/>
  <c r="I96" i="33"/>
  <c r="N96" i="33"/>
  <c r="O96" i="33"/>
  <c r="H96" i="33"/>
  <c r="J96" i="33"/>
  <c r="P96" i="33"/>
  <c r="C51" i="100"/>
  <c r="B52" i="100"/>
  <c r="D38" i="80"/>
  <c r="B27" i="94"/>
  <c r="C27" i="94" s="1"/>
  <c r="B28" i="94" s="1"/>
  <c r="C28" i="94" s="1"/>
  <c r="B29" i="94" s="1"/>
  <c r="C29" i="94" s="1"/>
  <c r="B41" i="87"/>
  <c r="C40" i="87"/>
  <c r="D40" i="87" s="1"/>
  <c r="H17" i="12"/>
  <c r="H6" i="12" s="1"/>
  <c r="J6" i="12"/>
  <c r="R52" i="110"/>
  <c r="D39" i="89"/>
  <c r="Q53" i="112"/>
  <c r="P42" i="112"/>
  <c r="Q53" i="111"/>
  <c r="Q39" i="111"/>
  <c r="R39" i="111" s="1"/>
  <c r="Q53" i="109"/>
  <c r="R53" i="109" s="1"/>
  <c r="P54" i="108"/>
  <c r="Q54" i="108" s="1"/>
  <c r="R54" i="108" s="1"/>
  <c r="Q53" i="108"/>
  <c r="R53" i="108" s="1"/>
  <c r="Q39" i="108"/>
  <c r="R39" i="108" s="1"/>
  <c r="Q40" i="107"/>
  <c r="R40" i="107" s="1"/>
  <c r="Q53" i="99"/>
  <c r="P39" i="99"/>
  <c r="Q38" i="99"/>
  <c r="R38" i="99" s="1"/>
  <c r="Q53" i="106"/>
  <c r="Q53" i="105"/>
  <c r="R53" i="105" s="1"/>
  <c r="P39" i="105"/>
  <c r="Q53" i="104"/>
  <c r="Q41" i="104"/>
  <c r="P54" i="103"/>
  <c r="Q54" i="103" s="1"/>
  <c r="R54" i="103" s="1"/>
  <c r="Q53" i="103"/>
  <c r="R53" i="103" s="1"/>
  <c r="Q41" i="103"/>
  <c r="Q53" i="102"/>
  <c r="Q53" i="101"/>
  <c r="Q39" i="101"/>
  <c r="R39" i="101" s="1"/>
  <c r="P41" i="89"/>
  <c r="Q41" i="96"/>
  <c r="R41" i="96" s="1"/>
  <c r="Q38" i="94"/>
  <c r="R38" i="94" s="1"/>
  <c r="Q53" i="93"/>
  <c r="Q53" i="92"/>
  <c r="Q53" i="91"/>
  <c r="P41" i="91"/>
  <c r="Q53" i="90"/>
  <c r="R53" i="90" s="1"/>
  <c r="Q38" i="90"/>
  <c r="R38" i="90" s="1"/>
  <c r="Q53" i="88"/>
  <c r="R53" i="88" s="1"/>
  <c r="P54" i="87"/>
  <c r="Q54" i="87" s="1"/>
  <c r="R54" i="87" s="1"/>
  <c r="Q53" i="87"/>
  <c r="R53" i="87" s="1"/>
  <c r="Q39" i="87"/>
  <c r="R39" i="87" s="1"/>
  <c r="P42" i="109"/>
  <c r="Q42" i="109" s="1"/>
  <c r="P42" i="106"/>
  <c r="P42" i="102"/>
  <c r="Q42" i="102" s="1"/>
  <c r="P54" i="80"/>
  <c r="Q54" i="80" s="1"/>
  <c r="R54" i="80" s="1"/>
  <c r="P42" i="80"/>
  <c r="Q42" i="80" s="1"/>
  <c r="R42" i="80" s="1"/>
  <c r="P27" i="111"/>
  <c r="Q26" i="111"/>
  <c r="Q26" i="110"/>
  <c r="P28" i="109"/>
  <c r="Q27" i="109"/>
  <c r="Q28" i="108"/>
  <c r="D42" i="112"/>
  <c r="D41" i="112"/>
  <c r="D40" i="110"/>
  <c r="B53" i="110"/>
  <c r="C52" i="110"/>
  <c r="C41" i="110"/>
  <c r="D41" i="110" s="1"/>
  <c r="B42" i="110"/>
  <c r="C42" i="110" s="1"/>
  <c r="D27" i="101"/>
  <c r="C53" i="102"/>
  <c r="D53" i="102" s="1"/>
  <c r="B54" i="102"/>
  <c r="C54" i="102" s="1"/>
  <c r="C40" i="102"/>
  <c r="D40" i="102" s="1"/>
  <c r="B41" i="102"/>
  <c r="D40" i="103"/>
  <c r="D39" i="103"/>
  <c r="C40" i="103"/>
  <c r="B41" i="103"/>
  <c r="B41" i="104"/>
  <c r="C40" i="104"/>
  <c r="D39" i="104"/>
  <c r="B54" i="104"/>
  <c r="C54" i="104" s="1"/>
  <c r="C53" i="104"/>
  <c r="C40" i="105"/>
  <c r="D40" i="105" s="1"/>
  <c r="B41" i="105"/>
  <c r="B54" i="105"/>
  <c r="C54" i="105" s="1"/>
  <c r="C53" i="105"/>
  <c r="D53" i="105" s="1"/>
  <c r="D39" i="105"/>
  <c r="C52" i="106"/>
  <c r="B53" i="106"/>
  <c r="C41" i="109"/>
  <c r="D41" i="109" s="1"/>
  <c r="B42" i="109"/>
  <c r="C42" i="109" s="1"/>
  <c r="D40" i="109"/>
  <c r="C39" i="107"/>
  <c r="B40" i="107"/>
  <c r="B53" i="107"/>
  <c r="C52" i="107"/>
  <c r="D52" i="107" s="1"/>
  <c r="R26" i="106"/>
  <c r="P27" i="106"/>
  <c r="Q29" i="105"/>
  <c r="P30" i="105" s="1"/>
  <c r="Q28" i="104"/>
  <c r="R27" i="101"/>
  <c r="P29" i="101"/>
  <c r="Q28" i="101"/>
  <c r="R28" i="101" s="1"/>
  <c r="P28" i="100"/>
  <c r="Q28" i="100" s="1"/>
  <c r="Q28" i="96"/>
  <c r="Q28" i="94"/>
  <c r="R27" i="93"/>
  <c r="P28" i="93"/>
  <c r="R26" i="92"/>
  <c r="P27" i="92"/>
  <c r="R26" i="91"/>
  <c r="P27" i="91"/>
  <c r="R27" i="90"/>
  <c r="P28" i="90"/>
  <c r="R28" i="88"/>
  <c r="R27" i="88"/>
  <c r="P30" i="107"/>
  <c r="R29" i="107"/>
  <c r="R29" i="105"/>
  <c r="P30" i="103"/>
  <c r="Q30" i="103" s="1"/>
  <c r="R29" i="103"/>
  <c r="P30" i="89"/>
  <c r="Q30" i="89" s="1"/>
  <c r="R30" i="89" s="1"/>
  <c r="R29" i="89"/>
  <c r="Q28" i="87"/>
  <c r="P26" i="80"/>
  <c r="R25" i="80"/>
  <c r="G18" i="12" l="1"/>
  <c r="G7" i="12" s="1"/>
  <c r="C53" i="94"/>
  <c r="B54" i="94"/>
  <c r="C54" i="94" s="1"/>
  <c r="D52" i="87"/>
  <c r="D52" i="94"/>
  <c r="D54" i="94"/>
  <c r="D54" i="102"/>
  <c r="P40" i="101"/>
  <c r="D53" i="91"/>
  <c r="D51" i="111"/>
  <c r="C53" i="93"/>
  <c r="D54" i="93" s="1"/>
  <c r="B54" i="93"/>
  <c r="C54" i="93" s="1"/>
  <c r="C40" i="106"/>
  <c r="B41" i="106"/>
  <c r="P54" i="88"/>
  <c r="Q54" i="88" s="1"/>
  <c r="R54" i="88" s="1"/>
  <c r="P54" i="105"/>
  <c r="Q54" i="105" s="1"/>
  <c r="R54" i="105" s="1"/>
  <c r="P40" i="108"/>
  <c r="C52" i="111"/>
  <c r="D52" i="111" s="1"/>
  <c r="B53" i="111"/>
  <c r="D52" i="93"/>
  <c r="B41" i="91"/>
  <c r="C40" i="91"/>
  <c r="D53" i="90"/>
  <c r="D54" i="90"/>
  <c r="D53" i="92"/>
  <c r="C40" i="100"/>
  <c r="D40" i="100" s="1"/>
  <c r="L34" i="95" s="1"/>
  <c r="B41" i="100"/>
  <c r="D53" i="94"/>
  <c r="C52" i="87"/>
  <c r="B53" i="87"/>
  <c r="F16" i="12"/>
  <c r="F5" i="12" s="1"/>
  <c r="S85" i="33"/>
  <c r="U85" i="33" s="1"/>
  <c r="Q97" i="33"/>
  <c r="J97" i="33"/>
  <c r="R97" i="33"/>
  <c r="N97" i="33"/>
  <c r="I97" i="33"/>
  <c r="M97" i="33"/>
  <c r="L97" i="33"/>
  <c r="P97" i="33"/>
  <c r="K97" i="33"/>
  <c r="L99" i="33"/>
  <c r="P99" i="33"/>
  <c r="M99" i="33"/>
  <c r="R99" i="33"/>
  <c r="S99" i="33"/>
  <c r="N99" i="33"/>
  <c r="Q99" i="33"/>
  <c r="O99" i="33"/>
  <c r="T99" i="33"/>
  <c r="P101" i="33"/>
  <c r="S101" i="33"/>
  <c r="T101" i="33"/>
  <c r="Q101" i="33"/>
  <c r="O101" i="33"/>
  <c r="M101" i="33"/>
  <c r="U101" i="33"/>
  <c r="R101" i="33"/>
  <c r="N101" i="33"/>
  <c r="B31" i="12"/>
  <c r="P54" i="89"/>
  <c r="Q54" i="89" s="1"/>
  <c r="R54" i="89" s="1"/>
  <c r="R53" i="89"/>
  <c r="R53" i="96"/>
  <c r="P54" i="96"/>
  <c r="Q54" i="96" s="1"/>
  <c r="R54" i="96" s="1"/>
  <c r="R42" i="102"/>
  <c r="B30" i="94"/>
  <c r="C30" i="94" s="1"/>
  <c r="D30" i="94" s="1"/>
  <c r="D29" i="94"/>
  <c r="E16" i="12"/>
  <c r="E5" i="12" s="1"/>
  <c r="E26" i="12"/>
  <c r="K53" i="13"/>
  <c r="K43" i="13"/>
  <c r="N98" i="33"/>
  <c r="S98" i="33"/>
  <c r="L98" i="33"/>
  <c r="O98" i="33"/>
  <c r="R98" i="33"/>
  <c r="Q98" i="33"/>
  <c r="M98" i="33"/>
  <c r="J98" i="33"/>
  <c r="P98" i="33"/>
  <c r="K98" i="33"/>
  <c r="D29" i="109"/>
  <c r="B41" i="93"/>
  <c r="C40" i="93"/>
  <c r="N40" i="12"/>
  <c r="O40" i="12" s="1"/>
  <c r="B42" i="88"/>
  <c r="C42" i="88" s="1"/>
  <c r="C41" i="88"/>
  <c r="D41" i="88" s="1"/>
  <c r="D51" i="99"/>
  <c r="G20" i="12"/>
  <c r="G9" i="12" s="1"/>
  <c r="I9" i="12"/>
  <c r="C52" i="112"/>
  <c r="B53" i="112"/>
  <c r="B53" i="99"/>
  <c r="C52" i="99"/>
  <c r="P54" i="91"/>
  <c r="Q54" i="91" s="1"/>
  <c r="R54" i="91" s="1"/>
  <c r="R53" i="91"/>
  <c r="P54" i="94"/>
  <c r="Q54" i="94" s="1"/>
  <c r="R54" i="94" s="1"/>
  <c r="P54" i="104"/>
  <c r="Q54" i="104" s="1"/>
  <c r="R54" i="104" s="1"/>
  <c r="R53" i="104"/>
  <c r="P54" i="99"/>
  <c r="Q54" i="99" s="1"/>
  <c r="R54" i="99" s="1"/>
  <c r="R53" i="99"/>
  <c r="P54" i="109"/>
  <c r="Q54" i="109" s="1"/>
  <c r="R54" i="109" s="1"/>
  <c r="P54" i="111"/>
  <c r="Q54" i="111" s="1"/>
  <c r="R54" i="111" s="1"/>
  <c r="R53" i="111"/>
  <c r="E17" i="12"/>
  <c r="E6" i="12" s="1"/>
  <c r="E27" i="12"/>
  <c r="K54" i="13"/>
  <c r="K44" i="13"/>
  <c r="K21" i="15"/>
  <c r="K21" i="17" s="1"/>
  <c r="K54" i="17" s="1"/>
  <c r="D40" i="96"/>
  <c r="E107" i="33"/>
  <c r="E110" i="33" s="1"/>
  <c r="M114" i="33" s="1"/>
  <c r="F107" i="33"/>
  <c r="F110" i="33" s="1"/>
  <c r="N114" i="33" s="1"/>
  <c r="H107" i="33"/>
  <c r="H110" i="33" s="1"/>
  <c r="P114" i="33" s="1"/>
  <c r="K107" i="33"/>
  <c r="K110" i="33" s="1"/>
  <c r="G107" i="33"/>
  <c r="G110" i="33" s="1"/>
  <c r="O114" i="33" s="1"/>
  <c r="L107" i="33"/>
  <c r="L110" i="33" s="1"/>
  <c r="I107" i="33"/>
  <c r="I110" i="33" s="1"/>
  <c r="Q114" i="33" s="1"/>
  <c r="J107" i="33"/>
  <c r="J110" i="33" s="1"/>
  <c r="M107" i="33"/>
  <c r="M110" i="33" s="1"/>
  <c r="N107" i="33"/>
  <c r="N110" i="33" s="1"/>
  <c r="D54" i="88"/>
  <c r="D53" i="88"/>
  <c r="R41" i="110"/>
  <c r="P42" i="110"/>
  <c r="Q42" i="110" s="1"/>
  <c r="D51" i="96"/>
  <c r="H14" i="12"/>
  <c r="J3" i="12"/>
  <c r="J21" i="12"/>
  <c r="M38" i="12"/>
  <c r="C42" i="12"/>
  <c r="F28" i="12"/>
  <c r="K40" i="13"/>
  <c r="K50" i="13"/>
  <c r="F17" i="12"/>
  <c r="F6" i="12" s="1"/>
  <c r="B53" i="96"/>
  <c r="C52" i="96"/>
  <c r="D51" i="108"/>
  <c r="P54" i="101"/>
  <c r="Q54" i="101" s="1"/>
  <c r="R54" i="101" s="1"/>
  <c r="R53" i="101"/>
  <c r="P54" i="107"/>
  <c r="Q54" i="107" s="1"/>
  <c r="R54" i="107" s="1"/>
  <c r="R53" i="107"/>
  <c r="C41" i="96"/>
  <c r="D41" i="96" s="1"/>
  <c r="B42" i="96"/>
  <c r="C42" i="96" s="1"/>
  <c r="D42" i="96" s="1"/>
  <c r="C40" i="80"/>
  <c r="B41" i="80"/>
  <c r="F29" i="12"/>
  <c r="B54" i="89"/>
  <c r="C54" i="89" s="1"/>
  <c r="D54" i="89" s="1"/>
  <c r="C53" i="89"/>
  <c r="D53" i="89" s="1"/>
  <c r="D15" i="12"/>
  <c r="D25" i="12"/>
  <c r="G43" i="12"/>
  <c r="E43" i="12"/>
  <c r="O100" i="33"/>
  <c r="L100" i="33"/>
  <c r="T100" i="33"/>
  <c r="M100" i="33"/>
  <c r="S100" i="33"/>
  <c r="N100" i="33"/>
  <c r="P100" i="33"/>
  <c r="U100" i="33"/>
  <c r="R100" i="33"/>
  <c r="Q100" i="33"/>
  <c r="P54" i="92"/>
  <c r="Q54" i="92" s="1"/>
  <c r="R54" i="92" s="1"/>
  <c r="R53" i="92"/>
  <c r="P54" i="102"/>
  <c r="Q54" i="102" s="1"/>
  <c r="R54" i="102" s="1"/>
  <c r="R53" i="102"/>
  <c r="P54" i="112"/>
  <c r="Q54" i="112" s="1"/>
  <c r="R54" i="112" s="1"/>
  <c r="R53" i="112"/>
  <c r="C52" i="100"/>
  <c r="D52" i="100" s="1"/>
  <c r="B53" i="100"/>
  <c r="C52" i="108"/>
  <c r="B53" i="108"/>
  <c r="B53" i="103"/>
  <c r="C52" i="103"/>
  <c r="D52" i="103" s="1"/>
  <c r="K51" i="13"/>
  <c r="K41" i="13"/>
  <c r="B41" i="92"/>
  <c r="C40" i="92"/>
  <c r="B28" i="92"/>
  <c r="C28" i="92" s="1"/>
  <c r="D27" i="92"/>
  <c r="B41" i="90"/>
  <c r="C40" i="90"/>
  <c r="D40" i="90" s="1"/>
  <c r="E4" i="12"/>
  <c r="J9" i="12"/>
  <c r="H20" i="12"/>
  <c r="H9" i="12" s="1"/>
  <c r="H19" i="12"/>
  <c r="H8" i="12" s="1"/>
  <c r="J8" i="12"/>
  <c r="D28" i="94"/>
  <c r="R42" i="109"/>
  <c r="P42" i="103"/>
  <c r="Q42" i="103" s="1"/>
  <c r="R42" i="103" s="1"/>
  <c r="R41" i="103"/>
  <c r="C41" i="87"/>
  <c r="D41" i="87" s="1"/>
  <c r="B42" i="87"/>
  <c r="C42" i="87" s="1"/>
  <c r="D42" i="87" s="1"/>
  <c r="D51" i="100"/>
  <c r="C40" i="94"/>
  <c r="D40" i="94" s="1"/>
  <c r="B41" i="94"/>
  <c r="K42" i="13"/>
  <c r="K52" i="13"/>
  <c r="C41" i="89"/>
  <c r="B42" i="89"/>
  <c r="C42" i="89" s="1"/>
  <c r="D34" i="12"/>
  <c r="G31" i="12"/>
  <c r="F24" i="12"/>
  <c r="B21" i="12"/>
  <c r="C34" i="12"/>
  <c r="O110" i="33"/>
  <c r="N39" i="12"/>
  <c r="O39" i="12" s="1"/>
  <c r="D39" i="90"/>
  <c r="P42" i="104"/>
  <c r="Q42" i="104" s="1"/>
  <c r="R42" i="104" s="1"/>
  <c r="R41" i="104"/>
  <c r="P54" i="90"/>
  <c r="Q54" i="90" s="1"/>
  <c r="R54" i="90" s="1"/>
  <c r="P54" i="93"/>
  <c r="Q54" i="93" s="1"/>
  <c r="R53" i="93"/>
  <c r="P42" i="96"/>
  <c r="Q42" i="96" s="1"/>
  <c r="R42" i="96" s="1"/>
  <c r="P54" i="106"/>
  <c r="Q54" i="106" s="1"/>
  <c r="R54" i="106" s="1"/>
  <c r="R53" i="106"/>
  <c r="D27" i="94"/>
  <c r="F30" i="12"/>
  <c r="K5" i="13"/>
  <c r="L95" i="33"/>
  <c r="I95" i="33"/>
  <c r="H95" i="33"/>
  <c r="H102" i="33" s="1"/>
  <c r="N95" i="33"/>
  <c r="K95" i="33"/>
  <c r="G95" i="33"/>
  <c r="G102" i="33" s="1"/>
  <c r="G113" i="33" s="1"/>
  <c r="P95" i="33"/>
  <c r="M95" i="33"/>
  <c r="J95" i="33"/>
  <c r="O95" i="33"/>
  <c r="D40" i="93"/>
  <c r="C41" i="108"/>
  <c r="D41" i="108" s="1"/>
  <c r="B42" i="108"/>
  <c r="C42" i="108" s="1"/>
  <c r="D42" i="108" s="1"/>
  <c r="H18" i="12"/>
  <c r="H7" i="12" s="1"/>
  <c r="J7" i="12"/>
  <c r="D42" i="12"/>
  <c r="I3" i="12"/>
  <c r="G14" i="12"/>
  <c r="M37" i="12"/>
  <c r="C41" i="12"/>
  <c r="I21" i="12"/>
  <c r="C40" i="101"/>
  <c r="D40" i="101" s="1"/>
  <c r="B41" i="101"/>
  <c r="Q42" i="112"/>
  <c r="R42" i="112" s="1"/>
  <c r="P40" i="111"/>
  <c r="Q40" i="108"/>
  <c r="P41" i="107"/>
  <c r="Q39" i="99"/>
  <c r="R39" i="99" s="1"/>
  <c r="Q42" i="106"/>
  <c r="R42" i="106" s="1"/>
  <c r="Q39" i="105"/>
  <c r="R39" i="105" s="1"/>
  <c r="Q40" i="101"/>
  <c r="R40" i="101" s="1"/>
  <c r="P40" i="100"/>
  <c r="Q41" i="89"/>
  <c r="R41" i="89" s="1"/>
  <c r="P39" i="94"/>
  <c r="P41" i="92"/>
  <c r="Q41" i="91"/>
  <c r="R41" i="91" s="1"/>
  <c r="P39" i="90"/>
  <c r="P42" i="88"/>
  <c r="Q42" i="88" s="1"/>
  <c r="P40" i="87"/>
  <c r="R26" i="112"/>
  <c r="P27" i="112"/>
  <c r="Q27" i="112" s="1"/>
  <c r="R26" i="111"/>
  <c r="Q27" i="111"/>
  <c r="R26" i="110"/>
  <c r="P27" i="110"/>
  <c r="R27" i="109"/>
  <c r="Q28" i="109"/>
  <c r="P29" i="109" s="1"/>
  <c r="R28" i="108"/>
  <c r="P29" i="108"/>
  <c r="Q30" i="107"/>
  <c r="R30" i="107" s="1"/>
  <c r="D42" i="110"/>
  <c r="B54" i="110"/>
  <c r="C54" i="110" s="1"/>
  <c r="C53" i="110"/>
  <c r="D53" i="110"/>
  <c r="D52" i="110"/>
  <c r="B42" i="102"/>
  <c r="C42" i="102" s="1"/>
  <c r="C41" i="102"/>
  <c r="D41" i="102" s="1"/>
  <c r="C41" i="103"/>
  <c r="B42" i="103"/>
  <c r="C42" i="103" s="1"/>
  <c r="D40" i="104"/>
  <c r="C41" i="104"/>
  <c r="B42" i="104"/>
  <c r="C42" i="104" s="1"/>
  <c r="D54" i="104"/>
  <c r="D53" i="104"/>
  <c r="D54" i="105"/>
  <c r="B42" i="105"/>
  <c r="C42" i="105" s="1"/>
  <c r="C41" i="105"/>
  <c r="D41" i="105" s="1"/>
  <c r="C53" i="106"/>
  <c r="D53" i="106" s="1"/>
  <c r="B54" i="106"/>
  <c r="C54" i="106" s="1"/>
  <c r="D54" i="106" s="1"/>
  <c r="D52" i="106"/>
  <c r="D42" i="109"/>
  <c r="B41" i="107"/>
  <c r="C40" i="107"/>
  <c r="D40" i="107" s="1"/>
  <c r="B54" i="107"/>
  <c r="C54" i="107" s="1"/>
  <c r="C53" i="107"/>
  <c r="D53" i="107" s="1"/>
  <c r="D39" i="107"/>
  <c r="Q27" i="106"/>
  <c r="Q30" i="105"/>
  <c r="R30" i="105" s="1"/>
  <c r="R28" i="104"/>
  <c r="P29" i="104"/>
  <c r="R30" i="103"/>
  <c r="R27" i="102"/>
  <c r="P28" i="102"/>
  <c r="Q28" i="102" s="1"/>
  <c r="Q29" i="101"/>
  <c r="R29" i="101" s="1"/>
  <c r="R28" i="96"/>
  <c r="P29" i="96"/>
  <c r="R28" i="94"/>
  <c r="P29" i="94"/>
  <c r="Q28" i="93"/>
  <c r="Q27" i="92"/>
  <c r="P28" i="92" s="1"/>
  <c r="Q27" i="91"/>
  <c r="Q28" i="90"/>
  <c r="P29" i="88"/>
  <c r="Q29" i="88" s="1"/>
  <c r="R28" i="87"/>
  <c r="P29" i="87"/>
  <c r="Q26" i="80"/>
  <c r="P27" i="80" s="1"/>
  <c r="Q27" i="80" s="1"/>
  <c r="D39" i="12" l="1"/>
  <c r="D54" i="110"/>
  <c r="B42" i="100"/>
  <c r="C42" i="100" s="1"/>
  <c r="C41" i="100"/>
  <c r="D42" i="100" s="1"/>
  <c r="L36" i="95" s="1"/>
  <c r="D53" i="93"/>
  <c r="B42" i="106"/>
  <c r="C42" i="106" s="1"/>
  <c r="C41" i="106"/>
  <c r="D41" i="106" s="1"/>
  <c r="R26" i="80"/>
  <c r="C53" i="111"/>
  <c r="B54" i="111"/>
  <c r="C54" i="111" s="1"/>
  <c r="D40" i="106"/>
  <c r="D53" i="111"/>
  <c r="C53" i="87"/>
  <c r="D53" i="87" s="1"/>
  <c r="B54" i="87"/>
  <c r="C54" i="87" s="1"/>
  <c r="D54" i="87" s="1"/>
  <c r="D40" i="91"/>
  <c r="D41" i="91"/>
  <c r="C41" i="91"/>
  <c r="B42" i="91"/>
  <c r="C42" i="91" s="1"/>
  <c r="P30" i="101"/>
  <c r="Q30" i="101" s="1"/>
  <c r="R30" i="101" s="1"/>
  <c r="D42" i="104"/>
  <c r="H113" i="33"/>
  <c r="T85" i="33"/>
  <c r="T87" i="33" s="1"/>
  <c r="W87" i="33" s="1"/>
  <c r="F120" i="33"/>
  <c r="I102" i="33"/>
  <c r="I113" i="33" s="1"/>
  <c r="U102" i="33"/>
  <c r="K21" i="20"/>
  <c r="K21" i="18"/>
  <c r="T102" i="33"/>
  <c r="S114" i="33"/>
  <c r="F19" i="12"/>
  <c r="F8" i="12" s="1"/>
  <c r="D40" i="12"/>
  <c r="J102" i="33"/>
  <c r="J113" i="33" s="1"/>
  <c r="P102" i="33"/>
  <c r="P113" i="33" s="1"/>
  <c r="O102" i="33"/>
  <c r="O113" i="33" s="1"/>
  <c r="R102" i="33"/>
  <c r="K102" i="33"/>
  <c r="K113" i="33" s="1"/>
  <c r="Q102" i="33"/>
  <c r="Q113" i="33" s="1"/>
  <c r="C41" i="94"/>
  <c r="B42" i="94"/>
  <c r="C42" i="94" s="1"/>
  <c r="B29" i="92"/>
  <c r="C29" i="92" s="1"/>
  <c r="B30" i="92" s="1"/>
  <c r="C30" i="92" s="1"/>
  <c r="D28" i="92"/>
  <c r="D53" i="96"/>
  <c r="D52" i="96"/>
  <c r="H3" i="12"/>
  <c r="M36" i="12"/>
  <c r="C40" i="12"/>
  <c r="H21" i="12"/>
  <c r="D54" i="107"/>
  <c r="D42" i="105"/>
  <c r="E41" i="12"/>
  <c r="G41" i="12"/>
  <c r="K6" i="13"/>
  <c r="D53" i="103"/>
  <c r="D42" i="89"/>
  <c r="B54" i="103"/>
  <c r="C54" i="103" s="1"/>
  <c r="C53" i="103"/>
  <c r="C53" i="96"/>
  <c r="B54" i="96"/>
  <c r="C54" i="96" s="1"/>
  <c r="D54" i="96" s="1"/>
  <c r="R40" i="108"/>
  <c r="N37" i="12"/>
  <c r="O37" i="12" s="1"/>
  <c r="D41" i="92"/>
  <c r="D40" i="92"/>
  <c r="B54" i="108"/>
  <c r="C54" i="108" s="1"/>
  <c r="C53" i="108"/>
  <c r="D53" i="108" s="1"/>
  <c r="E18" i="12"/>
  <c r="E28" i="12"/>
  <c r="B54" i="99"/>
  <c r="C54" i="99" s="1"/>
  <c r="C53" i="99"/>
  <c r="D53" i="99" s="1"/>
  <c r="B42" i="93"/>
  <c r="C42" i="93" s="1"/>
  <c r="C41" i="93"/>
  <c r="D41" i="93" s="1"/>
  <c r="D16" i="12"/>
  <c r="D5" i="12" s="1"/>
  <c r="D26" i="12"/>
  <c r="P42" i="91"/>
  <c r="Q42" i="91" s="1"/>
  <c r="R42" i="91" s="1"/>
  <c r="G3" i="12"/>
  <c r="C39" i="12"/>
  <c r="M35" i="12"/>
  <c r="G21" i="12"/>
  <c r="N102" i="33"/>
  <c r="N113" i="33" s="1"/>
  <c r="R54" i="93"/>
  <c r="C41" i="92"/>
  <c r="B42" i="92"/>
  <c r="C42" i="92" s="1"/>
  <c r="E19" i="12"/>
  <c r="E8" i="12" s="1"/>
  <c r="E29" i="12"/>
  <c r="F18" i="12"/>
  <c r="K54" i="15"/>
  <c r="K54" i="18"/>
  <c r="K54" i="20"/>
  <c r="B54" i="112"/>
  <c r="C54" i="112" s="1"/>
  <c r="C53" i="112"/>
  <c r="D53" i="112" s="1"/>
  <c r="G34" i="12"/>
  <c r="E34" i="12"/>
  <c r="I17" i="13"/>
  <c r="I20" i="13"/>
  <c r="I2" i="13"/>
  <c r="I3" i="13" s="1"/>
  <c r="I4" i="13" s="1"/>
  <c r="I18" i="13"/>
  <c r="I19" i="13"/>
  <c r="I21" i="13"/>
  <c r="I10" i="12"/>
  <c r="E20" i="12"/>
  <c r="E9" i="12" s="1"/>
  <c r="E30" i="12"/>
  <c r="F31" i="12"/>
  <c r="E14" i="12"/>
  <c r="E24" i="12"/>
  <c r="B54" i="100"/>
  <c r="C54" i="100" s="1"/>
  <c r="C53" i="100"/>
  <c r="E42" i="12"/>
  <c r="G42" i="12"/>
  <c r="R42" i="110"/>
  <c r="D17" i="12"/>
  <c r="D6" i="12" s="1"/>
  <c r="D27" i="12"/>
  <c r="D52" i="112"/>
  <c r="D52" i="99"/>
  <c r="S102" i="33"/>
  <c r="F20" i="12"/>
  <c r="F9" i="12" s="1"/>
  <c r="F14" i="12"/>
  <c r="C41" i="90"/>
  <c r="D41" i="90" s="1"/>
  <c r="B42" i="90"/>
  <c r="C42" i="90" s="1"/>
  <c r="D42" i="90" s="1"/>
  <c r="N38" i="12"/>
  <c r="O38" i="12" s="1"/>
  <c r="B42" i="101"/>
  <c r="C42" i="101" s="1"/>
  <c r="C41" i="101"/>
  <c r="L102" i="33"/>
  <c r="L113" i="33" s="1"/>
  <c r="D30" i="92"/>
  <c r="C15" i="12"/>
  <c r="C25" i="12"/>
  <c r="L4" i="12" s="1"/>
  <c r="B4" i="12" s="1"/>
  <c r="C41" i="80"/>
  <c r="D41" i="80" s="1"/>
  <c r="B42" i="80"/>
  <c r="C42" i="80" s="1"/>
  <c r="D42" i="88"/>
  <c r="D52" i="108"/>
  <c r="R42" i="88"/>
  <c r="P40" i="105"/>
  <c r="Q40" i="105" s="1"/>
  <c r="R40" i="105" s="1"/>
  <c r="M102" i="33"/>
  <c r="M113" i="33" s="1"/>
  <c r="D4" i="12"/>
  <c r="D40" i="80"/>
  <c r="E120" i="33"/>
  <c r="W113" i="33"/>
  <c r="J20" i="13"/>
  <c r="J17" i="13"/>
  <c r="J21" i="13"/>
  <c r="J2" i="13"/>
  <c r="J3" i="13" s="1"/>
  <c r="J4" i="13" s="1"/>
  <c r="J19" i="13"/>
  <c r="J18" i="13"/>
  <c r="J10" i="12"/>
  <c r="X21" i="15"/>
  <c r="X21" i="18" s="1"/>
  <c r="K20" i="14"/>
  <c r="D41" i="89"/>
  <c r="Q40" i="111"/>
  <c r="R40" i="111" s="1"/>
  <c r="P41" i="108"/>
  <c r="P42" i="107"/>
  <c r="Q42" i="107" s="1"/>
  <c r="R42" i="107" s="1"/>
  <c r="Q41" i="107"/>
  <c r="R41" i="107" s="1"/>
  <c r="P40" i="99"/>
  <c r="P41" i="101"/>
  <c r="Q40" i="100"/>
  <c r="R40" i="100" s="1"/>
  <c r="P42" i="89"/>
  <c r="Q39" i="94"/>
  <c r="R39" i="94" s="1"/>
  <c r="Q41" i="92"/>
  <c r="R41" i="92" s="1"/>
  <c r="Q39" i="90"/>
  <c r="R39" i="90" s="1"/>
  <c r="Q40" i="87"/>
  <c r="R40" i="87" s="1"/>
  <c r="P28" i="112"/>
  <c r="Q28" i="112" s="1"/>
  <c r="R27" i="111"/>
  <c r="P28" i="111"/>
  <c r="Q27" i="110"/>
  <c r="R28" i="109"/>
  <c r="Q29" i="109"/>
  <c r="R29" i="109" s="1"/>
  <c r="Q29" i="108"/>
  <c r="D42" i="102"/>
  <c r="D42" i="103"/>
  <c r="D41" i="103"/>
  <c r="D41" i="104"/>
  <c r="B42" i="107"/>
  <c r="C42" i="107" s="1"/>
  <c r="C41" i="107"/>
  <c r="D41" i="107" s="1"/>
  <c r="R27" i="106"/>
  <c r="P28" i="106"/>
  <c r="Q29" i="104"/>
  <c r="P29" i="102"/>
  <c r="Q29" i="102" s="1"/>
  <c r="R28" i="100"/>
  <c r="P29" i="100"/>
  <c r="Q29" i="100" s="1"/>
  <c r="Q29" i="96"/>
  <c r="R29" i="96" s="1"/>
  <c r="Q29" i="94"/>
  <c r="R28" i="93"/>
  <c r="P29" i="93"/>
  <c r="P29" i="92"/>
  <c r="Q28" i="92"/>
  <c r="R27" i="92"/>
  <c r="R28" i="92"/>
  <c r="R27" i="91"/>
  <c r="P28" i="91"/>
  <c r="R28" i="90"/>
  <c r="P29" i="90"/>
  <c r="R29" i="88"/>
  <c r="Q29" i="87"/>
  <c r="R29" i="87" s="1"/>
  <c r="R27" i="80"/>
  <c r="P28" i="80"/>
  <c r="Q28" i="80" s="1"/>
  <c r="P29" i="80" s="1"/>
  <c r="X21" i="20" l="1"/>
  <c r="D54" i="108"/>
  <c r="D54" i="103"/>
  <c r="D42" i="106"/>
  <c r="D42" i="80"/>
  <c r="D54" i="112"/>
  <c r="D42" i="92"/>
  <c r="D42" i="91"/>
  <c r="D54" i="111"/>
  <c r="D41" i="100"/>
  <c r="L35" i="95" s="1"/>
  <c r="G120" i="33"/>
  <c r="H120" i="33" s="1"/>
  <c r="R113" i="33"/>
  <c r="T113" i="33" s="1"/>
  <c r="E122" i="33"/>
  <c r="P41" i="111"/>
  <c r="D41" i="101"/>
  <c r="D42" i="101"/>
  <c r="I40" i="13"/>
  <c r="I50" i="13"/>
  <c r="J52" i="13"/>
  <c r="J42" i="13"/>
  <c r="D53" i="100"/>
  <c r="D54" i="100"/>
  <c r="F7" i="12"/>
  <c r="D38" i="12"/>
  <c r="H2" i="13"/>
  <c r="H3" i="13" s="1"/>
  <c r="H4" i="13" s="1"/>
  <c r="H17" i="13"/>
  <c r="H20" i="13"/>
  <c r="H21" i="13"/>
  <c r="H18" i="13"/>
  <c r="H19" i="13"/>
  <c r="H10" i="12"/>
  <c r="J5" i="13"/>
  <c r="F3" i="12"/>
  <c r="C38" i="12"/>
  <c r="M34" i="12"/>
  <c r="F21" i="12"/>
  <c r="C17" i="12"/>
  <c r="C6" i="12" s="1"/>
  <c r="C27" i="12"/>
  <c r="L6" i="12" s="1"/>
  <c r="B6" i="12" s="1"/>
  <c r="D19" i="12"/>
  <c r="D8" i="12" s="1"/>
  <c r="D29" i="12"/>
  <c r="D18" i="12"/>
  <c r="D7" i="12" s="1"/>
  <c r="D28" i="12"/>
  <c r="D41" i="94"/>
  <c r="D42" i="94"/>
  <c r="J41" i="13"/>
  <c r="J51" i="13"/>
  <c r="K20" i="15"/>
  <c r="K20" i="17" s="1"/>
  <c r="K53" i="17" s="1"/>
  <c r="K53" i="14"/>
  <c r="J54" i="13"/>
  <c r="J44" i="13"/>
  <c r="J21" i="15"/>
  <c r="J21" i="17" s="1"/>
  <c r="J54" i="17" s="1"/>
  <c r="C4" i="12"/>
  <c r="I54" i="13"/>
  <c r="I44" i="13"/>
  <c r="I21" i="15"/>
  <c r="I21" i="17" s="1"/>
  <c r="I54" i="17" s="1"/>
  <c r="N35" i="12"/>
  <c r="O35" i="12" s="1"/>
  <c r="C16" i="12"/>
  <c r="C5" i="12" s="1"/>
  <c r="C26" i="12"/>
  <c r="L5" i="12" s="1"/>
  <c r="B5" i="12" s="1"/>
  <c r="E7" i="12"/>
  <c r="D37" i="12"/>
  <c r="J40" i="13"/>
  <c r="J50" i="13"/>
  <c r="E31" i="12"/>
  <c r="D14" i="12"/>
  <c r="D24" i="12"/>
  <c r="I52" i="13"/>
  <c r="I42" i="13"/>
  <c r="G39" i="12"/>
  <c r="E39" i="12"/>
  <c r="K7" i="13"/>
  <c r="P41" i="105"/>
  <c r="J43" i="13"/>
  <c r="J53" i="13"/>
  <c r="E3" i="12"/>
  <c r="C37" i="12"/>
  <c r="E21" i="12"/>
  <c r="I51" i="13"/>
  <c r="I41" i="13"/>
  <c r="G21" i="13"/>
  <c r="G17" i="13"/>
  <c r="G2" i="13"/>
  <c r="G3" i="13" s="1"/>
  <c r="G4" i="13" s="1"/>
  <c r="G20" i="13"/>
  <c r="G19" i="13"/>
  <c r="G18" i="13"/>
  <c r="G10" i="12"/>
  <c r="P30" i="109"/>
  <c r="Q30" i="109" s="1"/>
  <c r="R30" i="109" s="1"/>
  <c r="P42" i="92"/>
  <c r="Q42" i="92" s="1"/>
  <c r="R42" i="92" s="1"/>
  <c r="I5" i="13"/>
  <c r="X54" i="15"/>
  <c r="X54" i="18" s="1"/>
  <c r="X54" i="20" s="1"/>
  <c r="D42" i="93"/>
  <c r="G40" i="12"/>
  <c r="E40" i="12"/>
  <c r="D29" i="92"/>
  <c r="D20" i="12"/>
  <c r="D9" i="12" s="1"/>
  <c r="D30" i="12"/>
  <c r="I43" i="13"/>
  <c r="I53" i="13"/>
  <c r="D54" i="99"/>
  <c r="N36" i="12"/>
  <c r="O36" i="12" s="1"/>
  <c r="Q41" i="111"/>
  <c r="R41" i="111" s="1"/>
  <c r="Q41" i="108"/>
  <c r="R41" i="108" s="1"/>
  <c r="Q40" i="99"/>
  <c r="R40" i="99" s="1"/>
  <c r="Q41" i="105"/>
  <c r="R41" i="105" s="1"/>
  <c r="Q41" i="101"/>
  <c r="R41" i="101" s="1"/>
  <c r="P41" i="100"/>
  <c r="Q42" i="89"/>
  <c r="R42" i="89" s="1"/>
  <c r="P40" i="94"/>
  <c r="P40" i="90"/>
  <c r="P41" i="87"/>
  <c r="R28" i="112"/>
  <c r="R27" i="112"/>
  <c r="P29" i="112"/>
  <c r="Q29" i="112" s="1"/>
  <c r="Q28" i="111"/>
  <c r="R28" i="111" s="1"/>
  <c r="R27" i="110"/>
  <c r="P28" i="110"/>
  <c r="R29" i="108"/>
  <c r="P30" i="108"/>
  <c r="Q30" i="108" s="1"/>
  <c r="R30" i="108" s="1"/>
  <c r="D42" i="107"/>
  <c r="Q28" i="106"/>
  <c r="R29" i="104"/>
  <c r="P30" i="104"/>
  <c r="Q30" i="104" s="1"/>
  <c r="R30" i="104" s="1"/>
  <c r="R28" i="102"/>
  <c r="R29" i="102"/>
  <c r="P30" i="102"/>
  <c r="Q30" i="102" s="1"/>
  <c r="P30" i="100"/>
  <c r="Q30" i="100" s="1"/>
  <c r="P30" i="96"/>
  <c r="Q30" i="96" s="1"/>
  <c r="R30" i="96" s="1"/>
  <c r="R29" i="94"/>
  <c r="P30" i="94"/>
  <c r="Q30" i="94" s="1"/>
  <c r="R30" i="94" s="1"/>
  <c r="Q29" i="93"/>
  <c r="P30" i="92"/>
  <c r="Q30" i="92" s="1"/>
  <c r="Q29" i="92"/>
  <c r="Q28" i="91"/>
  <c r="Q29" i="90"/>
  <c r="P30" i="88"/>
  <c r="P30" i="87"/>
  <c r="Q30" i="87" s="1"/>
  <c r="R30" i="87" s="1"/>
  <c r="R28" i="80"/>
  <c r="Q29" i="80"/>
  <c r="P30" i="80" s="1"/>
  <c r="Q30" i="80" s="1"/>
  <c r="I21" i="18" l="1"/>
  <c r="J21" i="20"/>
  <c r="J21" i="18"/>
  <c r="K20" i="20"/>
  <c r="K20" i="18"/>
  <c r="I21" i="20"/>
  <c r="F121" i="33"/>
  <c r="F122" i="33" s="1"/>
  <c r="S113" i="33"/>
  <c r="S115" i="33" s="1"/>
  <c r="X115" i="33" s="1"/>
  <c r="K53" i="15"/>
  <c r="K53" i="20"/>
  <c r="K53" i="18"/>
  <c r="G5" i="13"/>
  <c r="E37" i="12"/>
  <c r="G37" i="12"/>
  <c r="D3" i="12"/>
  <c r="D21" i="12"/>
  <c r="C36" i="12"/>
  <c r="J20" i="14"/>
  <c r="W21" i="15"/>
  <c r="K19" i="14"/>
  <c r="X20" i="15"/>
  <c r="C18" i="12"/>
  <c r="C7" i="12" s="1"/>
  <c r="C28" i="12"/>
  <c r="L7" i="12" s="1"/>
  <c r="B7" i="12" s="1"/>
  <c r="N34" i="12"/>
  <c r="N46" i="12" s="1"/>
  <c r="G40" i="13"/>
  <c r="G50" i="13"/>
  <c r="E21" i="13"/>
  <c r="E17" i="13"/>
  <c r="E19" i="13"/>
  <c r="E18" i="13"/>
  <c r="E2" i="13"/>
  <c r="E3" i="13" s="1"/>
  <c r="E4" i="13" s="1"/>
  <c r="E20" i="13"/>
  <c r="E10" i="12"/>
  <c r="E38" i="12"/>
  <c r="G38" i="12"/>
  <c r="H42" i="13"/>
  <c r="H52" i="13"/>
  <c r="D31" i="12"/>
  <c r="C14" i="12"/>
  <c r="C24" i="12"/>
  <c r="G54" i="13"/>
  <c r="G44" i="13"/>
  <c r="G21" i="15"/>
  <c r="G21" i="17" s="1"/>
  <c r="G54" i="17" s="1"/>
  <c r="I54" i="18"/>
  <c r="I54" i="15"/>
  <c r="I54" i="20"/>
  <c r="C19" i="12"/>
  <c r="C8" i="12" s="1"/>
  <c r="C29" i="12"/>
  <c r="L8" i="12" s="1"/>
  <c r="B8" i="12" s="1"/>
  <c r="F2" i="13"/>
  <c r="F3" i="13" s="1"/>
  <c r="F4" i="13" s="1"/>
  <c r="F18" i="13"/>
  <c r="F21" i="13"/>
  <c r="F17" i="13"/>
  <c r="F19" i="13"/>
  <c r="F20" i="13"/>
  <c r="F10" i="12"/>
  <c r="H41" i="13"/>
  <c r="H51" i="13"/>
  <c r="H54" i="13"/>
  <c r="H44" i="13"/>
  <c r="H21" i="15"/>
  <c r="H21" i="17" s="1"/>
  <c r="H54" i="17" s="1"/>
  <c r="G53" i="13"/>
  <c r="G43" i="13"/>
  <c r="I20" i="14"/>
  <c r="V21" i="15"/>
  <c r="J54" i="15"/>
  <c r="J54" i="18"/>
  <c r="J54" i="20"/>
  <c r="D36" i="12"/>
  <c r="H43" i="13"/>
  <c r="H53" i="13"/>
  <c r="C20" i="12"/>
  <c r="C9" i="12" s="1"/>
  <c r="C30" i="12"/>
  <c r="L9" i="12" s="1"/>
  <c r="B9" i="12" s="1"/>
  <c r="G51" i="13"/>
  <c r="G41" i="13"/>
  <c r="H50" i="13"/>
  <c r="H40" i="13"/>
  <c r="I6" i="13"/>
  <c r="G42" i="13"/>
  <c r="G52" i="13"/>
  <c r="K8" i="13"/>
  <c r="J6" i="13"/>
  <c r="H5" i="13"/>
  <c r="P42" i="111"/>
  <c r="Q42" i="111" s="1"/>
  <c r="R42" i="111" s="1"/>
  <c r="P42" i="108"/>
  <c r="Q42" i="108" s="1"/>
  <c r="P41" i="99"/>
  <c r="P42" i="105"/>
  <c r="Q42" i="105" s="1"/>
  <c r="R42" i="105" s="1"/>
  <c r="P42" i="101"/>
  <c r="Q42" i="101" s="1"/>
  <c r="Q41" i="100"/>
  <c r="R41" i="100" s="1"/>
  <c r="Q40" i="94"/>
  <c r="R40" i="94" s="1"/>
  <c r="Q40" i="90"/>
  <c r="R40" i="90" s="1"/>
  <c r="Q41" i="87"/>
  <c r="R29" i="112"/>
  <c r="P29" i="111"/>
  <c r="Q28" i="110"/>
  <c r="R28" i="106"/>
  <c r="P29" i="106"/>
  <c r="R30" i="102"/>
  <c r="R30" i="100"/>
  <c r="R29" i="100"/>
  <c r="R29" i="93"/>
  <c r="P30" i="93"/>
  <c r="Q30" i="93" s="1"/>
  <c r="R30" i="93" s="1"/>
  <c r="R29" i="92"/>
  <c r="R30" i="92"/>
  <c r="R28" i="91"/>
  <c r="P29" i="91"/>
  <c r="R29" i="90"/>
  <c r="P30" i="90"/>
  <c r="Q30" i="90" s="1"/>
  <c r="R30" i="90" s="1"/>
  <c r="Q30" i="88"/>
  <c r="R30" i="88" s="1"/>
  <c r="R29" i="80"/>
  <c r="R30" i="80"/>
  <c r="W21" i="18" l="1"/>
  <c r="X20" i="18"/>
  <c r="X20" i="20" s="1"/>
  <c r="P41" i="90"/>
  <c r="Q41" i="90" s="1"/>
  <c r="V21" i="18"/>
  <c r="V21" i="20" s="1"/>
  <c r="O34" i="12"/>
  <c r="W21" i="20"/>
  <c r="G21" i="18"/>
  <c r="H21" i="20"/>
  <c r="H21" i="18"/>
  <c r="G21" i="20"/>
  <c r="M46" i="12"/>
  <c r="G121" i="33"/>
  <c r="G122" i="33" s="1"/>
  <c r="H122" i="33" s="1"/>
  <c r="F52" i="13"/>
  <c r="F42" i="13"/>
  <c r="K52" i="14"/>
  <c r="K19" i="15"/>
  <c r="K19" i="17" s="1"/>
  <c r="K52" i="17" s="1"/>
  <c r="I7" i="13"/>
  <c r="F50" i="13"/>
  <c r="F40" i="13"/>
  <c r="L3" i="12"/>
  <c r="C31" i="12"/>
  <c r="E50" i="13"/>
  <c r="E40" i="13"/>
  <c r="W54" i="15"/>
  <c r="W54" i="18" s="1"/>
  <c r="W54" i="20" s="1"/>
  <c r="V54" i="15"/>
  <c r="V54" i="18" s="1"/>
  <c r="V54" i="20" s="1"/>
  <c r="X53" i="15"/>
  <c r="X53" i="18" s="1"/>
  <c r="X53" i="20" s="1"/>
  <c r="R42" i="101"/>
  <c r="H6" i="13"/>
  <c r="K9" i="13"/>
  <c r="I20" i="15"/>
  <c r="I20" i="17" s="1"/>
  <c r="I53" i="17" s="1"/>
  <c r="I53" i="14"/>
  <c r="H54" i="15"/>
  <c r="H54" i="18"/>
  <c r="H54" i="20"/>
  <c r="F44" i="13"/>
  <c r="F54" i="13"/>
  <c r="F21" i="15"/>
  <c r="F21" i="17" s="1"/>
  <c r="F54" i="17" s="1"/>
  <c r="C3" i="12"/>
  <c r="C21" i="12"/>
  <c r="C35" i="12"/>
  <c r="E44" i="13"/>
  <c r="E54" i="13"/>
  <c r="E21" i="15"/>
  <c r="E21" i="17" s="1"/>
  <c r="E54" i="17" s="1"/>
  <c r="J53" i="14"/>
  <c r="J20" i="15"/>
  <c r="J20" i="17" s="1"/>
  <c r="J53" i="17" s="1"/>
  <c r="G6" i="13"/>
  <c r="R41" i="87"/>
  <c r="F41" i="13"/>
  <c r="F51" i="13"/>
  <c r="J7" i="13"/>
  <c r="H20" i="14"/>
  <c r="U21" i="15"/>
  <c r="D35" i="12"/>
  <c r="F5" i="13"/>
  <c r="G36" i="12"/>
  <c r="E36" i="12"/>
  <c r="R42" i="108"/>
  <c r="E42" i="13"/>
  <c r="E52" i="13"/>
  <c r="G54" i="20"/>
  <c r="G54" i="15"/>
  <c r="G54" i="18"/>
  <c r="E43" i="13"/>
  <c r="E53" i="13"/>
  <c r="E5" i="13"/>
  <c r="D2" i="13"/>
  <c r="D3" i="13" s="1"/>
  <c r="D4" i="13" s="1"/>
  <c r="D18" i="13"/>
  <c r="D21" i="13"/>
  <c r="D20" i="13"/>
  <c r="D19" i="13"/>
  <c r="D17" i="13"/>
  <c r="D10" i="12"/>
  <c r="F43" i="13"/>
  <c r="F53" i="13"/>
  <c r="T21" i="15"/>
  <c r="G20" i="14"/>
  <c r="E51" i="13"/>
  <c r="E41" i="13"/>
  <c r="Q41" i="99"/>
  <c r="R41" i="99" s="1"/>
  <c r="P42" i="100"/>
  <c r="Q42" i="100" s="1"/>
  <c r="P41" i="94"/>
  <c r="P42" i="87"/>
  <c r="Q42" i="87" s="1"/>
  <c r="R42" i="87" s="1"/>
  <c r="P30" i="112"/>
  <c r="Q30" i="112" s="1"/>
  <c r="P30" i="111"/>
  <c r="Q30" i="111" s="1"/>
  <c r="R30" i="111" s="1"/>
  <c r="Q29" i="111"/>
  <c r="R29" i="111" s="1"/>
  <c r="R28" i="110"/>
  <c r="P29" i="110"/>
  <c r="Q29" i="106"/>
  <c r="R29" i="106" s="1"/>
  <c r="Q29" i="91"/>
  <c r="R29" i="91" s="1"/>
  <c r="T21" i="18" l="1"/>
  <c r="T21" i="20" s="1"/>
  <c r="P42" i="99"/>
  <c r="Q42" i="99" s="1"/>
  <c r="R42" i="99" s="1"/>
  <c r="U21" i="18"/>
  <c r="U21" i="20" s="1"/>
  <c r="J20" i="18"/>
  <c r="K19" i="18"/>
  <c r="F21" i="20"/>
  <c r="E21" i="18"/>
  <c r="I20" i="20"/>
  <c r="F21" i="18"/>
  <c r="I20" i="18"/>
  <c r="K19" i="20"/>
  <c r="K17" i="25" s="1"/>
  <c r="J20" i="20"/>
  <c r="E21" i="20"/>
  <c r="D44" i="12"/>
  <c r="H121" i="33"/>
  <c r="D42" i="13"/>
  <c r="D52" i="13"/>
  <c r="R21" i="15"/>
  <c r="E20" i="14"/>
  <c r="C21" i="13"/>
  <c r="C20" i="13"/>
  <c r="C17" i="13"/>
  <c r="C19" i="13"/>
  <c r="C2" i="13"/>
  <c r="C3" i="13" s="1"/>
  <c r="C4" i="13" s="1"/>
  <c r="C18" i="13"/>
  <c r="C10" i="12"/>
  <c r="I53" i="15"/>
  <c r="I53" i="20"/>
  <c r="I53" i="18"/>
  <c r="K52" i="15"/>
  <c r="K52" i="20"/>
  <c r="K52" i="18"/>
  <c r="H53" i="14"/>
  <c r="H20" i="15"/>
  <c r="H20" i="17" s="1"/>
  <c r="H53" i="17" s="1"/>
  <c r="G20" i="15"/>
  <c r="G20" i="17" s="1"/>
  <c r="G53" i="17" s="1"/>
  <c r="G53" i="14"/>
  <c r="D53" i="13"/>
  <c r="D43" i="13"/>
  <c r="T54" i="15"/>
  <c r="T54" i="18" s="1"/>
  <c r="T54" i="20" s="1"/>
  <c r="V20" i="15"/>
  <c r="I19" i="14"/>
  <c r="D50" i="13"/>
  <c r="D40" i="13"/>
  <c r="D44" i="13"/>
  <c r="D54" i="13"/>
  <c r="D21" i="15"/>
  <c r="D21" i="17" s="1"/>
  <c r="D54" i="17" s="1"/>
  <c r="G7" i="13"/>
  <c r="I8" i="13"/>
  <c r="D41" i="13"/>
  <c r="D51" i="13"/>
  <c r="J8" i="13"/>
  <c r="E54" i="15"/>
  <c r="E54" i="18"/>
  <c r="E54" i="20"/>
  <c r="S21" i="15"/>
  <c r="F20" i="14"/>
  <c r="U54" i="15"/>
  <c r="U54" i="18" s="1"/>
  <c r="U54" i="20" s="1"/>
  <c r="K10" i="13"/>
  <c r="B3" i="12"/>
  <c r="L10" i="12"/>
  <c r="R41" i="90"/>
  <c r="R42" i="100"/>
  <c r="D5" i="13"/>
  <c r="F6" i="13"/>
  <c r="P30" i="91"/>
  <c r="Q30" i="91" s="1"/>
  <c r="R30" i="91" s="1"/>
  <c r="W20" i="15"/>
  <c r="J19" i="14"/>
  <c r="E6" i="13"/>
  <c r="J53" i="15"/>
  <c r="J53" i="20"/>
  <c r="J53" i="18"/>
  <c r="E35" i="12"/>
  <c r="G35" i="12"/>
  <c r="C44" i="12"/>
  <c r="F54" i="20"/>
  <c r="F54" i="15"/>
  <c r="F54" i="18"/>
  <c r="H7" i="13"/>
  <c r="K18" i="14"/>
  <c r="X19" i="15"/>
  <c r="Q41" i="94"/>
  <c r="P42" i="90"/>
  <c r="Q42" i="90" s="1"/>
  <c r="R42" i="90" s="1"/>
  <c r="R30" i="112"/>
  <c r="Q29" i="110"/>
  <c r="R29" i="110" s="1"/>
  <c r="P30" i="106"/>
  <c r="Q30" i="106" s="1"/>
  <c r="R30" i="106" s="1"/>
  <c r="W20" i="18" l="1"/>
  <c r="W20" i="20" s="1"/>
  <c r="X19" i="18"/>
  <c r="X19" i="20" s="1"/>
  <c r="S21" i="18"/>
  <c r="S21" i="20" s="1"/>
  <c r="V20" i="18"/>
  <c r="V20" i="20" s="1"/>
  <c r="R21" i="18"/>
  <c r="R21" i="20" s="1"/>
  <c r="D21" i="20"/>
  <c r="G20" i="18"/>
  <c r="H20" i="18"/>
  <c r="D21" i="18"/>
  <c r="G20" i="20"/>
  <c r="H20" i="20"/>
  <c r="K18" i="15"/>
  <c r="K18" i="17" s="1"/>
  <c r="K51" i="17" s="1"/>
  <c r="K51" i="14"/>
  <c r="W53" i="15"/>
  <c r="W53" i="18" s="1"/>
  <c r="W53" i="20" s="1"/>
  <c r="C40" i="13"/>
  <c r="C50" i="13"/>
  <c r="R54" i="15"/>
  <c r="R54" i="18" s="1"/>
  <c r="R54" i="20" s="1"/>
  <c r="AH22" i="97"/>
  <c r="K17" i="26"/>
  <c r="K16" i="29" s="1"/>
  <c r="D6" i="13"/>
  <c r="I19" i="15"/>
  <c r="I19" i="17" s="1"/>
  <c r="I52" i="17" s="1"/>
  <c r="I52" i="14"/>
  <c r="C53" i="13"/>
  <c r="C43" i="13"/>
  <c r="G19" i="14"/>
  <c r="T20" i="15"/>
  <c r="J19" i="15"/>
  <c r="J19" i="17" s="1"/>
  <c r="J52" i="17" s="1"/>
  <c r="J52" i="14"/>
  <c r="F53" i="14"/>
  <c r="F20" i="15"/>
  <c r="F20" i="17" s="1"/>
  <c r="F53" i="17" s="1"/>
  <c r="D54" i="18"/>
  <c r="D54" i="15"/>
  <c r="D54" i="20"/>
  <c r="C54" i="13"/>
  <c r="C44" i="13"/>
  <c r="C21" i="15"/>
  <c r="C21" i="17" s="1"/>
  <c r="C54" i="17" s="1"/>
  <c r="H8" i="13"/>
  <c r="E7" i="13"/>
  <c r="B19" i="13"/>
  <c r="B18" i="13"/>
  <c r="B21" i="13"/>
  <c r="B20" i="13"/>
  <c r="B17" i="13"/>
  <c r="B2" i="13"/>
  <c r="B3" i="13" s="1"/>
  <c r="B4" i="13" s="1"/>
  <c r="B10" i="12"/>
  <c r="G8" i="13"/>
  <c r="U20" i="15"/>
  <c r="H19" i="14"/>
  <c r="V53" i="15"/>
  <c r="V53" i="18" s="1"/>
  <c r="V53" i="20" s="1"/>
  <c r="E20" i="15"/>
  <c r="E20" i="17" s="1"/>
  <c r="E53" i="17" s="1"/>
  <c r="E53" i="14"/>
  <c r="S54" i="15"/>
  <c r="S54" i="18" s="1"/>
  <c r="S54" i="20" s="1"/>
  <c r="C42" i="13"/>
  <c r="C52" i="13"/>
  <c r="R41" i="94"/>
  <c r="J9" i="13"/>
  <c r="H53" i="15"/>
  <c r="H53" i="18"/>
  <c r="H53" i="20"/>
  <c r="I9" i="13"/>
  <c r="C51" i="13"/>
  <c r="C41" i="13"/>
  <c r="X52" i="15"/>
  <c r="X52" i="18" s="1"/>
  <c r="X52" i="20" s="1"/>
  <c r="F7" i="13"/>
  <c r="K11" i="13"/>
  <c r="Q21" i="15"/>
  <c r="D20" i="14"/>
  <c r="G53" i="15"/>
  <c r="G53" i="20"/>
  <c r="G53" i="18"/>
  <c r="C5" i="13"/>
  <c r="P42" i="94"/>
  <c r="Q42" i="94" s="1"/>
  <c r="R42" i="94" s="1"/>
  <c r="P30" i="110"/>
  <c r="Q30" i="110" s="1"/>
  <c r="R30" i="110" s="1"/>
  <c r="Q21" i="18" l="1"/>
  <c r="Q21" i="20" s="1"/>
  <c r="T20" i="18"/>
  <c r="T20" i="20" s="1"/>
  <c r="U20" i="18"/>
  <c r="U20" i="20" s="1"/>
  <c r="E20" i="20"/>
  <c r="K18" i="20"/>
  <c r="K16" i="25" s="1"/>
  <c r="E20" i="18"/>
  <c r="C21" i="20"/>
  <c r="F20" i="18"/>
  <c r="I19" i="18"/>
  <c r="J19" i="18"/>
  <c r="C21" i="18"/>
  <c r="F20" i="20"/>
  <c r="J19" i="20"/>
  <c r="J17" i="25" s="1"/>
  <c r="I19" i="20"/>
  <c r="I17" i="25" s="1"/>
  <c r="K18" i="18"/>
  <c r="C6" i="13"/>
  <c r="B53" i="13"/>
  <c r="B43" i="13"/>
  <c r="H9" i="13"/>
  <c r="B44" i="13"/>
  <c r="B54" i="13"/>
  <c r="B21" i="15"/>
  <c r="B21" i="17" s="1"/>
  <c r="B54" i="17" s="1"/>
  <c r="W19" i="15"/>
  <c r="J18" i="14"/>
  <c r="B51" i="13"/>
  <c r="B41" i="13"/>
  <c r="C54" i="20"/>
  <c r="C54" i="15"/>
  <c r="C54" i="18"/>
  <c r="K17" i="14"/>
  <c r="X18" i="15"/>
  <c r="X18" i="18" s="1"/>
  <c r="U53" i="15"/>
  <c r="U53" i="18" s="1"/>
  <c r="U53" i="20" s="1"/>
  <c r="E53" i="15"/>
  <c r="E53" i="20"/>
  <c r="E53" i="18"/>
  <c r="G9" i="13"/>
  <c r="B42" i="13"/>
  <c r="B52" i="13"/>
  <c r="G52" i="14"/>
  <c r="G19" i="15"/>
  <c r="G19" i="17" s="1"/>
  <c r="G52" i="17" s="1"/>
  <c r="K51" i="15"/>
  <c r="K51" i="20"/>
  <c r="K51" i="18"/>
  <c r="T53" i="15"/>
  <c r="T53" i="18" s="1"/>
  <c r="T53" i="20" s="1"/>
  <c r="K12" i="13"/>
  <c r="K34" i="13"/>
  <c r="E19" i="14"/>
  <c r="R20" i="15"/>
  <c r="C20" i="14"/>
  <c r="P21" i="15"/>
  <c r="F19" i="14"/>
  <c r="S20" i="15"/>
  <c r="D53" i="14"/>
  <c r="D20" i="15"/>
  <c r="D20" i="17" s="1"/>
  <c r="D53" i="17" s="1"/>
  <c r="F53" i="15"/>
  <c r="F53" i="20"/>
  <c r="F53" i="18"/>
  <c r="I10" i="13"/>
  <c r="B5" i="13"/>
  <c r="E8" i="13"/>
  <c r="Q54" i="15"/>
  <c r="Q54" i="18" s="1"/>
  <c r="Q54" i="20" s="1"/>
  <c r="I52" i="15"/>
  <c r="I52" i="18"/>
  <c r="I52" i="20"/>
  <c r="D7" i="13"/>
  <c r="F8" i="13"/>
  <c r="J10" i="13"/>
  <c r="H19" i="15"/>
  <c r="H19" i="17" s="1"/>
  <c r="H52" i="17" s="1"/>
  <c r="H52" i="14"/>
  <c r="B40" i="13"/>
  <c r="B50" i="13"/>
  <c r="J52" i="15"/>
  <c r="J52" i="20"/>
  <c r="J52" i="18"/>
  <c r="V19" i="15"/>
  <c r="I18" i="14"/>
  <c r="S20" i="18" l="1"/>
  <c r="S20" i="20" s="1"/>
  <c r="V19" i="18"/>
  <c r="V19" i="20" s="1"/>
  <c r="X18" i="20"/>
  <c r="W19" i="18"/>
  <c r="W19" i="20" s="1"/>
  <c r="R20" i="18"/>
  <c r="R20" i="20" s="1"/>
  <c r="H19" i="20"/>
  <c r="H17" i="25" s="1"/>
  <c r="P21" i="18"/>
  <c r="P21" i="20" s="1"/>
  <c r="D20" i="20"/>
  <c r="D20" i="18"/>
  <c r="H19" i="18"/>
  <c r="G19" i="18"/>
  <c r="B21" i="18"/>
  <c r="B21" i="20"/>
  <c r="G19" i="20"/>
  <c r="G17" i="25" s="1"/>
  <c r="D53" i="15"/>
  <c r="D53" i="18"/>
  <c r="D53" i="20"/>
  <c r="C20" i="15"/>
  <c r="C20" i="17" s="1"/>
  <c r="C53" i="17" s="1"/>
  <c r="C53" i="14"/>
  <c r="K50" i="14"/>
  <c r="K17" i="15"/>
  <c r="K17" i="17" s="1"/>
  <c r="K50" i="17" s="1"/>
  <c r="S53" i="15"/>
  <c r="S53" i="18" s="1"/>
  <c r="S53" i="20" s="1"/>
  <c r="X51" i="15"/>
  <c r="X51" i="18" s="1"/>
  <c r="X51" i="20" s="1"/>
  <c r="R53" i="15"/>
  <c r="R53" i="18" s="1"/>
  <c r="R53" i="20" s="1"/>
  <c r="B20" i="14"/>
  <c r="O21" i="15"/>
  <c r="AF22" i="97"/>
  <c r="I17" i="26"/>
  <c r="I16" i="29" s="1"/>
  <c r="K13" i="13"/>
  <c r="K45" i="13"/>
  <c r="K35" i="13"/>
  <c r="H10" i="13"/>
  <c r="C7" i="13"/>
  <c r="J11" i="13"/>
  <c r="W52" i="15"/>
  <c r="W52" i="18" s="1"/>
  <c r="W52" i="20" s="1"/>
  <c r="H52" i="15"/>
  <c r="H52" i="18"/>
  <c r="H52" i="20"/>
  <c r="F9" i="13"/>
  <c r="V52" i="15"/>
  <c r="V52" i="18" s="1"/>
  <c r="V52" i="20" s="1"/>
  <c r="E9" i="13"/>
  <c r="I11" i="13"/>
  <c r="E52" i="14"/>
  <c r="E19" i="15"/>
  <c r="E19" i="17" s="1"/>
  <c r="E52" i="17" s="1"/>
  <c r="T19" i="15"/>
  <c r="G18" i="14"/>
  <c r="P54" i="15"/>
  <c r="P54" i="18" s="1"/>
  <c r="P54" i="20" s="1"/>
  <c r="B54" i="15"/>
  <c r="B54" i="18"/>
  <c r="B54" i="20"/>
  <c r="AH21" i="97"/>
  <c r="K16" i="26"/>
  <c r="K15" i="29" s="1"/>
  <c r="U19" i="15"/>
  <c r="H18" i="14"/>
  <c r="F19" i="15"/>
  <c r="F19" i="17" s="1"/>
  <c r="F52" i="17" s="1"/>
  <c r="F52" i="14"/>
  <c r="G52" i="15"/>
  <c r="G52" i="18"/>
  <c r="G52" i="20"/>
  <c r="G10" i="13"/>
  <c r="J51" i="14"/>
  <c r="J18" i="15"/>
  <c r="J18" i="17" s="1"/>
  <c r="J51" i="17" s="1"/>
  <c r="I18" i="15"/>
  <c r="I18" i="17" s="1"/>
  <c r="I51" i="17" s="1"/>
  <c r="I51" i="14"/>
  <c r="D8" i="13"/>
  <c r="AG22" i="97"/>
  <c r="J17" i="26"/>
  <c r="J16" i="29" s="1"/>
  <c r="B6" i="13"/>
  <c r="D19" i="14"/>
  <c r="Q20" i="15"/>
  <c r="T19" i="18" l="1"/>
  <c r="T19" i="20" s="1"/>
  <c r="U19" i="18"/>
  <c r="U19" i="20" s="1"/>
  <c r="F19" i="20"/>
  <c r="F17" i="25" s="1"/>
  <c r="F19" i="18"/>
  <c r="Q20" i="18"/>
  <c r="Q20" i="20" s="1"/>
  <c r="O21" i="18"/>
  <c r="O21" i="20" s="1"/>
  <c r="E19" i="18"/>
  <c r="J18" i="20"/>
  <c r="J16" i="25" s="1"/>
  <c r="K17" i="20"/>
  <c r="K15" i="25" s="1"/>
  <c r="C20" i="20"/>
  <c r="I18" i="18"/>
  <c r="K17" i="18"/>
  <c r="C20" i="18"/>
  <c r="I18" i="20"/>
  <c r="I16" i="25" s="1"/>
  <c r="J18" i="18"/>
  <c r="E19" i="20"/>
  <c r="E17" i="25" s="1"/>
  <c r="D19" i="15"/>
  <c r="D19" i="17" s="1"/>
  <c r="D52" i="17" s="1"/>
  <c r="D52" i="14"/>
  <c r="I17" i="14"/>
  <c r="V18" i="15"/>
  <c r="I12" i="13"/>
  <c r="I34" i="13"/>
  <c r="F10" i="13"/>
  <c r="J12" i="13"/>
  <c r="J34" i="13"/>
  <c r="C53" i="15"/>
  <c r="C53" i="20"/>
  <c r="C53" i="18"/>
  <c r="O54" i="15"/>
  <c r="O54" i="18" s="1"/>
  <c r="O54" i="20" s="1"/>
  <c r="K36" i="13"/>
  <c r="K14" i="13"/>
  <c r="K46" i="13"/>
  <c r="AD22" i="97"/>
  <c r="G17" i="26"/>
  <c r="G16" i="29" s="1"/>
  <c r="C19" i="14"/>
  <c r="P20" i="15"/>
  <c r="X17" i="15"/>
  <c r="K16" i="14"/>
  <c r="G11" i="13"/>
  <c r="E18" i="14"/>
  <c r="R19" i="15"/>
  <c r="E10" i="13"/>
  <c r="C8" i="13"/>
  <c r="K50" i="15"/>
  <c r="K50" i="20"/>
  <c r="K50" i="18"/>
  <c r="F18" i="14"/>
  <c r="S19" i="15"/>
  <c r="B7" i="13"/>
  <c r="W18" i="15"/>
  <c r="J17" i="14"/>
  <c r="E52" i="15"/>
  <c r="E52" i="20"/>
  <c r="E52" i="18"/>
  <c r="U52" i="15"/>
  <c r="U52" i="18" s="1"/>
  <c r="U52" i="20" s="1"/>
  <c r="B20" i="15"/>
  <c r="B20" i="17" s="1"/>
  <c r="B53" i="17" s="1"/>
  <c r="B53" i="14"/>
  <c r="Q53" i="15"/>
  <c r="Q53" i="18" s="1"/>
  <c r="Q53" i="20" s="1"/>
  <c r="AE22" i="97"/>
  <c r="H17" i="26"/>
  <c r="H16" i="29" s="1"/>
  <c r="J51" i="15"/>
  <c r="J51" i="18"/>
  <c r="J51" i="20"/>
  <c r="T52" i="15"/>
  <c r="T52" i="18" s="1"/>
  <c r="T52" i="20" s="1"/>
  <c r="H18" i="15"/>
  <c r="H18" i="17" s="1"/>
  <c r="H51" i="17" s="1"/>
  <c r="H51" i="14"/>
  <c r="G18" i="15"/>
  <c r="G18" i="17" s="1"/>
  <c r="G51" i="17" s="1"/>
  <c r="G51" i="14"/>
  <c r="F52" i="15"/>
  <c r="F52" i="20"/>
  <c r="F52" i="18"/>
  <c r="D9" i="13"/>
  <c r="I51" i="15"/>
  <c r="I51" i="20"/>
  <c r="I51" i="18"/>
  <c r="H11" i="13"/>
  <c r="S19" i="18" l="1"/>
  <c r="S19" i="20" s="1"/>
  <c r="R19" i="18"/>
  <c r="W18" i="18"/>
  <c r="W18" i="20" s="1"/>
  <c r="P20" i="18"/>
  <c r="P20" i="20" s="1"/>
  <c r="V18" i="18"/>
  <c r="V18" i="20" s="1"/>
  <c r="G18" i="20"/>
  <c r="G16" i="25" s="1"/>
  <c r="H18" i="20"/>
  <c r="H16" i="25" s="1"/>
  <c r="G18" i="18"/>
  <c r="H18" i="18"/>
  <c r="R19" i="20"/>
  <c r="X17" i="18"/>
  <c r="X17" i="20" s="1"/>
  <c r="L12" i="27" s="1"/>
  <c r="S13" i="32" s="1"/>
  <c r="K17" i="97" s="1"/>
  <c r="B20" i="18"/>
  <c r="D19" i="20"/>
  <c r="D17" i="25" s="1"/>
  <c r="B20" i="20"/>
  <c r="D19" i="18"/>
  <c r="H17" i="14"/>
  <c r="U18" i="15"/>
  <c r="I17" i="15"/>
  <c r="I17" i="17" s="1"/>
  <c r="I50" i="17" s="1"/>
  <c r="I50" i="14"/>
  <c r="X50" i="15"/>
  <c r="X50" i="18" s="1"/>
  <c r="X50" i="20" s="1"/>
  <c r="G12" i="13"/>
  <c r="G34" i="13"/>
  <c r="J13" i="13"/>
  <c r="J45" i="13"/>
  <c r="J35" i="13"/>
  <c r="B53" i="15"/>
  <c r="B53" i="18"/>
  <c r="B53" i="20"/>
  <c r="R52" i="15"/>
  <c r="R52" i="18" s="1"/>
  <c r="R52" i="20" s="1"/>
  <c r="K15" i="13"/>
  <c r="K47" i="13"/>
  <c r="K37" i="13"/>
  <c r="P53" i="15"/>
  <c r="P53" i="18" s="1"/>
  <c r="P53" i="20" s="1"/>
  <c r="B8" i="13"/>
  <c r="E11" i="13"/>
  <c r="D10" i="13"/>
  <c r="G51" i="15"/>
  <c r="G51" i="20"/>
  <c r="G51" i="18"/>
  <c r="AC22" i="97"/>
  <c r="F17" i="26"/>
  <c r="F16" i="29" s="1"/>
  <c r="G17" i="14"/>
  <c r="T18" i="15"/>
  <c r="B19" i="14"/>
  <c r="O20" i="15"/>
  <c r="F51" i="14"/>
  <c r="F18" i="15"/>
  <c r="F18" i="17" s="1"/>
  <c r="F51" i="17" s="1"/>
  <c r="E51" i="14"/>
  <c r="E18" i="15"/>
  <c r="E18" i="17" s="1"/>
  <c r="E51" i="17" s="1"/>
  <c r="C52" i="14"/>
  <c r="C19" i="15"/>
  <c r="C19" i="17" s="1"/>
  <c r="C52" i="17" s="1"/>
  <c r="I13" i="13"/>
  <c r="I45" i="13"/>
  <c r="I35" i="13"/>
  <c r="D52" i="15"/>
  <c r="D52" i="18"/>
  <c r="D52" i="20"/>
  <c r="W51" i="15"/>
  <c r="W51" i="18" s="1"/>
  <c r="W51" i="20" s="1"/>
  <c r="AG21" i="97"/>
  <c r="J16" i="26"/>
  <c r="J15" i="29" s="1"/>
  <c r="J17" i="15"/>
  <c r="J17" i="17" s="1"/>
  <c r="J50" i="17" s="1"/>
  <c r="J50" i="14"/>
  <c r="C9" i="13"/>
  <c r="K49" i="14"/>
  <c r="AH20" i="97"/>
  <c r="K15" i="26"/>
  <c r="K14" i="29" s="1"/>
  <c r="F11" i="13"/>
  <c r="Q19" i="15"/>
  <c r="D18" i="14"/>
  <c r="H12" i="13"/>
  <c r="H34" i="13"/>
  <c r="AB22" i="97"/>
  <c r="E17" i="26"/>
  <c r="E16" i="29" s="1"/>
  <c r="S52" i="15"/>
  <c r="S52" i="18" s="1"/>
  <c r="S52" i="20" s="1"/>
  <c r="V51" i="15"/>
  <c r="V51" i="18" s="1"/>
  <c r="V51" i="20" s="1"/>
  <c r="H51" i="15"/>
  <c r="H51" i="18"/>
  <c r="H51" i="20"/>
  <c r="AF21" i="97"/>
  <c r="I16" i="26"/>
  <c r="I15" i="29" s="1"/>
  <c r="U18" i="18" l="1"/>
  <c r="U18" i="20" s="1"/>
  <c r="T18" i="18"/>
  <c r="T18" i="20" s="1"/>
  <c r="O20" i="18"/>
  <c r="O20" i="20" s="1"/>
  <c r="Q19" i="18"/>
  <c r="Q19" i="20" s="1"/>
  <c r="J17" i="20"/>
  <c r="J15" i="25" s="1"/>
  <c r="I17" i="20"/>
  <c r="I15" i="25" s="1"/>
  <c r="C19" i="20"/>
  <c r="C17" i="25" s="1"/>
  <c r="E18" i="18"/>
  <c r="F18" i="20"/>
  <c r="F16" i="25" s="1"/>
  <c r="I17" i="18"/>
  <c r="J17" i="18"/>
  <c r="C19" i="18"/>
  <c r="E18" i="20"/>
  <c r="E16" i="25" s="1"/>
  <c r="F18" i="18"/>
  <c r="U51" i="15"/>
  <c r="U51" i="18" s="1"/>
  <c r="U51" i="20" s="1"/>
  <c r="E12" i="13"/>
  <c r="E34" i="13"/>
  <c r="H13" i="13"/>
  <c r="H45" i="13"/>
  <c r="H35" i="13"/>
  <c r="C10" i="13"/>
  <c r="G17" i="15"/>
  <c r="G17" i="17" s="1"/>
  <c r="G50" i="17" s="1"/>
  <c r="G50" i="14"/>
  <c r="D51" i="14"/>
  <c r="D18" i="15"/>
  <c r="D18" i="17" s="1"/>
  <c r="D51" i="17" s="1"/>
  <c r="P19" i="15"/>
  <c r="C18" i="14"/>
  <c r="S18" i="15"/>
  <c r="F17" i="14"/>
  <c r="D11" i="13"/>
  <c r="O53" i="15"/>
  <c r="O53" i="18" s="1"/>
  <c r="O53" i="20" s="1"/>
  <c r="Q52" i="15"/>
  <c r="Q52" i="18" s="1"/>
  <c r="Q52" i="20" s="1"/>
  <c r="C52" i="15"/>
  <c r="C52" i="18"/>
  <c r="C52" i="20"/>
  <c r="F51" i="15"/>
  <c r="F51" i="18"/>
  <c r="F51" i="20"/>
  <c r="B9" i="13"/>
  <c r="AE21" i="97"/>
  <c r="H16" i="26"/>
  <c r="H15" i="29" s="1"/>
  <c r="G13" i="13"/>
  <c r="G45" i="13"/>
  <c r="G35" i="13"/>
  <c r="I50" i="15"/>
  <c r="I50" i="20"/>
  <c r="I50" i="18"/>
  <c r="H17" i="15"/>
  <c r="H17" i="17" s="1"/>
  <c r="H50" i="17" s="1"/>
  <c r="H50" i="14"/>
  <c r="F12" i="13"/>
  <c r="F34" i="13"/>
  <c r="J50" i="15"/>
  <c r="J50" i="20"/>
  <c r="J50" i="18"/>
  <c r="B52" i="14"/>
  <c r="B19" i="15"/>
  <c r="B19" i="17" s="1"/>
  <c r="B52" i="17" s="1"/>
  <c r="K38" i="13"/>
  <c r="K16" i="13"/>
  <c r="K48" i="13"/>
  <c r="J46" i="13"/>
  <c r="J14" i="13"/>
  <c r="J36" i="13"/>
  <c r="I16" i="14"/>
  <c r="V17" i="15"/>
  <c r="I46" i="13"/>
  <c r="I36" i="13"/>
  <c r="I14" i="13"/>
  <c r="W17" i="15"/>
  <c r="J16" i="14"/>
  <c r="R18" i="15"/>
  <c r="E17" i="14"/>
  <c r="AA22" i="97"/>
  <c r="D17" i="26"/>
  <c r="D16" i="29" s="1"/>
  <c r="T51" i="15"/>
  <c r="T51" i="18" s="1"/>
  <c r="T51" i="20" s="1"/>
  <c r="E51" i="15"/>
  <c r="E51" i="20"/>
  <c r="E51" i="18"/>
  <c r="AD21" i="97"/>
  <c r="G16" i="26"/>
  <c r="G15" i="29" s="1"/>
  <c r="W17" i="18" l="1"/>
  <c r="W17" i="20" s="1"/>
  <c r="K12" i="27" s="1"/>
  <c r="R13" i="32" s="1"/>
  <c r="J17" i="97" s="1"/>
  <c r="V17" i="18"/>
  <c r="V17" i="20" s="1"/>
  <c r="J12" i="27" s="1"/>
  <c r="Q13" i="32" s="1"/>
  <c r="I17" i="97" s="1"/>
  <c r="R18" i="18"/>
  <c r="R18" i="20" s="1"/>
  <c r="P19" i="18"/>
  <c r="P19" i="20" s="1"/>
  <c r="S18" i="18"/>
  <c r="S18" i="20" s="1"/>
  <c r="B19" i="18"/>
  <c r="B19" i="20"/>
  <c r="B17" i="25" s="1"/>
  <c r="D18" i="20"/>
  <c r="D16" i="25" s="1"/>
  <c r="G17" i="18"/>
  <c r="H17" i="20"/>
  <c r="H15" i="25" s="1"/>
  <c r="H17" i="18"/>
  <c r="D18" i="18"/>
  <c r="G17" i="20"/>
  <c r="G15" i="25" s="1"/>
  <c r="O19" i="15"/>
  <c r="O19" i="18" s="1"/>
  <c r="B18" i="14"/>
  <c r="S51" i="15"/>
  <c r="S51" i="18" s="1"/>
  <c r="S51" i="20" s="1"/>
  <c r="Z22" i="97"/>
  <c r="C17" i="26"/>
  <c r="C16" i="29" s="1"/>
  <c r="E50" i="14"/>
  <c r="E17" i="15"/>
  <c r="E17" i="17" s="1"/>
  <c r="E50" i="17" s="1"/>
  <c r="I47" i="13"/>
  <c r="I37" i="13"/>
  <c r="I15" i="13"/>
  <c r="G50" i="15"/>
  <c r="G50" i="20"/>
  <c r="G50" i="18"/>
  <c r="J37" i="13"/>
  <c r="J47" i="13"/>
  <c r="J15" i="13"/>
  <c r="AB21" i="97"/>
  <c r="E16" i="26"/>
  <c r="E15" i="29" s="1"/>
  <c r="H50" i="15"/>
  <c r="H50" i="20"/>
  <c r="H50" i="18"/>
  <c r="P52" i="15"/>
  <c r="P52" i="18" s="1"/>
  <c r="P52" i="20" s="1"/>
  <c r="D12" i="13"/>
  <c r="D34" i="13"/>
  <c r="G16" i="14"/>
  <c r="T17" i="15"/>
  <c r="H36" i="13"/>
  <c r="H14" i="13"/>
  <c r="H46" i="13"/>
  <c r="B52" i="15"/>
  <c r="B52" i="20"/>
  <c r="B52" i="18"/>
  <c r="E45" i="13"/>
  <c r="E13" i="13"/>
  <c r="E35" i="13"/>
  <c r="R51" i="15"/>
  <c r="R51" i="18" s="1"/>
  <c r="R51" i="20" s="1"/>
  <c r="U17" i="15"/>
  <c r="H16" i="14"/>
  <c r="B10" i="13"/>
  <c r="AF20" i="97"/>
  <c r="I15" i="26"/>
  <c r="I14" i="29" s="1"/>
  <c r="F50" i="14"/>
  <c r="F17" i="15"/>
  <c r="F17" i="17" s="1"/>
  <c r="F50" i="17" s="1"/>
  <c r="AC21" i="97"/>
  <c r="F16" i="26"/>
  <c r="F15" i="29" s="1"/>
  <c r="K49" i="13"/>
  <c r="K43" i="17" s="1"/>
  <c r="K39" i="13"/>
  <c r="K10" i="17"/>
  <c r="K16" i="15"/>
  <c r="K16" i="17" s="1"/>
  <c r="K49" i="17" s="1"/>
  <c r="K11" i="17"/>
  <c r="J49" i="14"/>
  <c r="I49" i="14"/>
  <c r="W50" i="15"/>
  <c r="W50" i="18" s="1"/>
  <c r="W50" i="20" s="1"/>
  <c r="D17" i="14"/>
  <c r="Q18" i="15"/>
  <c r="C11" i="13"/>
  <c r="K9" i="17"/>
  <c r="F45" i="13"/>
  <c r="F13" i="13"/>
  <c r="F35" i="13"/>
  <c r="V50" i="15"/>
  <c r="V50" i="18" s="1"/>
  <c r="V50" i="20" s="1"/>
  <c r="G14" i="13"/>
  <c r="G36" i="13"/>
  <c r="G46" i="13"/>
  <c r="AG20" i="97"/>
  <c r="J15" i="26"/>
  <c r="J14" i="29" s="1"/>
  <c r="C18" i="15"/>
  <c r="C18" i="17" s="1"/>
  <c r="C51" i="17" s="1"/>
  <c r="C51" i="14"/>
  <c r="D51" i="15"/>
  <c r="D51" i="20"/>
  <c r="D51" i="18"/>
  <c r="T17" i="18" l="1"/>
  <c r="T17" i="20" s="1"/>
  <c r="H12" i="27" s="1"/>
  <c r="O13" i="32" s="1"/>
  <c r="G17" i="97" s="1"/>
  <c r="Q18" i="18"/>
  <c r="Q18" i="20" s="1"/>
  <c r="U17" i="18"/>
  <c r="U17" i="20" s="1"/>
  <c r="I12" i="27" s="1"/>
  <c r="P13" i="32" s="1"/>
  <c r="H17" i="97" s="1"/>
  <c r="O19" i="20"/>
  <c r="C18" i="20"/>
  <c r="C16" i="25" s="1"/>
  <c r="C18" i="18"/>
  <c r="F17" i="18"/>
  <c r="F17" i="20"/>
  <c r="F15" i="25" s="1"/>
  <c r="K16" i="20"/>
  <c r="K14" i="25" s="1"/>
  <c r="E17" i="20"/>
  <c r="E15" i="25" s="1"/>
  <c r="K16" i="18"/>
  <c r="E17" i="18"/>
  <c r="K44" i="17"/>
  <c r="X16" i="15"/>
  <c r="K15" i="14"/>
  <c r="AA21" i="97"/>
  <c r="D16" i="26"/>
  <c r="D15" i="29" s="1"/>
  <c r="E36" i="13"/>
  <c r="E14" i="13"/>
  <c r="E46" i="13"/>
  <c r="D50" i="14"/>
  <c r="D17" i="15"/>
  <c r="D17" i="17" s="1"/>
  <c r="D50" i="17" s="1"/>
  <c r="D45" i="13"/>
  <c r="D13" i="13"/>
  <c r="D35" i="13"/>
  <c r="T50" i="15"/>
  <c r="T50" i="18" s="1"/>
  <c r="T50" i="20" s="1"/>
  <c r="E50" i="15"/>
  <c r="E50" i="20"/>
  <c r="E50" i="18"/>
  <c r="AD20" i="97"/>
  <c r="G15" i="26"/>
  <c r="G14" i="29" s="1"/>
  <c r="Y22" i="97"/>
  <c r="B17" i="26"/>
  <c r="K42" i="22"/>
  <c r="K29" i="22" s="1"/>
  <c r="K16" i="22" s="1"/>
  <c r="K3" i="22" s="1"/>
  <c r="B11" i="13"/>
  <c r="G15" i="13"/>
  <c r="G47" i="13"/>
  <c r="G37" i="13"/>
  <c r="AE20" i="97"/>
  <c r="H15" i="26"/>
  <c r="H14" i="29" s="1"/>
  <c r="F16" i="14"/>
  <c r="S17" i="15"/>
  <c r="G49" i="14"/>
  <c r="J16" i="13"/>
  <c r="J48" i="13"/>
  <c r="J38" i="13"/>
  <c r="I16" i="13"/>
  <c r="I10" i="17" s="1"/>
  <c r="I48" i="13"/>
  <c r="I38" i="13"/>
  <c r="H47" i="13"/>
  <c r="H15" i="13"/>
  <c r="H37" i="13"/>
  <c r="Q51" i="15"/>
  <c r="Q51" i="18" s="1"/>
  <c r="Q51" i="20" s="1"/>
  <c r="C12" i="13"/>
  <c r="C34" i="13"/>
  <c r="K49" i="18"/>
  <c r="K49" i="20"/>
  <c r="K42" i="17"/>
  <c r="K49" i="15"/>
  <c r="F50" i="15"/>
  <c r="F50" i="20"/>
  <c r="F50" i="18"/>
  <c r="B51" i="14"/>
  <c r="B18" i="15"/>
  <c r="B18" i="17" s="1"/>
  <c r="B51" i="17" s="1"/>
  <c r="C51" i="15"/>
  <c r="C51" i="20"/>
  <c r="C51" i="18"/>
  <c r="P18" i="15"/>
  <c r="C17" i="14"/>
  <c r="F36" i="13"/>
  <c r="F14" i="13"/>
  <c r="F46" i="13"/>
  <c r="H49" i="14"/>
  <c r="O52" i="15"/>
  <c r="O52" i="18" s="1"/>
  <c r="O52" i="20" s="1"/>
  <c r="U50" i="15"/>
  <c r="U50" i="18" s="1"/>
  <c r="U50" i="20" s="1"/>
  <c r="E16" i="14"/>
  <c r="R17" i="15"/>
  <c r="X16" i="18" l="1"/>
  <c r="X16" i="20" s="1"/>
  <c r="L11" i="27" s="1"/>
  <c r="S12" i="32" s="1"/>
  <c r="K16" i="97" s="1"/>
  <c r="S17" i="18"/>
  <c r="S17" i="20" s="1"/>
  <c r="G12" i="27" s="1"/>
  <c r="N13" i="32" s="1"/>
  <c r="F17" i="97" s="1"/>
  <c r="P18" i="18"/>
  <c r="P18" i="20" s="1"/>
  <c r="R17" i="18"/>
  <c r="R17" i="20" s="1"/>
  <c r="F12" i="27" s="1"/>
  <c r="M13" i="32" s="1"/>
  <c r="E17" i="97" s="1"/>
  <c r="D17" i="18"/>
  <c r="D17" i="20"/>
  <c r="D15" i="25" s="1"/>
  <c r="B18" i="18"/>
  <c r="B18" i="20"/>
  <c r="B16" i="25" s="1"/>
  <c r="C50" i="14"/>
  <c r="C17" i="15"/>
  <c r="C17" i="17" s="1"/>
  <c r="C50" i="17" s="1"/>
  <c r="C13" i="13"/>
  <c r="C45" i="13"/>
  <c r="C35" i="13"/>
  <c r="B12" i="13"/>
  <c r="B34" i="13"/>
  <c r="E15" i="13"/>
  <c r="E47" i="13"/>
  <c r="E37" i="13"/>
  <c r="F49" i="14"/>
  <c r="D14" i="13"/>
  <c r="D46" i="13"/>
  <c r="D36" i="13"/>
  <c r="S50" i="15"/>
  <c r="S50" i="18" s="1"/>
  <c r="S50" i="20" s="1"/>
  <c r="G38" i="13"/>
  <c r="G48" i="13"/>
  <c r="G16" i="13"/>
  <c r="E49" i="14"/>
  <c r="Z21" i="97"/>
  <c r="C16" i="26"/>
  <c r="C15" i="29" s="1"/>
  <c r="B17" i="14"/>
  <c r="O18" i="15"/>
  <c r="O18" i="18" s="1"/>
  <c r="X49" i="15"/>
  <c r="X49" i="18" s="1"/>
  <c r="X49" i="20" s="1"/>
  <c r="K48" i="14"/>
  <c r="K15" i="15"/>
  <c r="K15" i="17" s="1"/>
  <c r="K48" i="17" s="1"/>
  <c r="P51" i="15"/>
  <c r="P51" i="18" s="1"/>
  <c r="P51" i="20" s="1"/>
  <c r="D16" i="14"/>
  <c r="Q17" i="15"/>
  <c r="AB20" i="97"/>
  <c r="E15" i="26"/>
  <c r="E14" i="29" s="1"/>
  <c r="F15" i="13"/>
  <c r="F47" i="13"/>
  <c r="F37" i="13"/>
  <c r="H38" i="13"/>
  <c r="H48" i="13"/>
  <c r="H16" i="13"/>
  <c r="R50" i="15"/>
  <c r="R50" i="18" s="1"/>
  <c r="R50" i="20" s="1"/>
  <c r="D50" i="15"/>
  <c r="D50" i="20"/>
  <c r="D50" i="18"/>
  <c r="AH19" i="97"/>
  <c r="K14" i="26"/>
  <c r="K13" i="29" s="1"/>
  <c r="B51" i="15"/>
  <c r="B51" i="18"/>
  <c r="B51" i="20"/>
  <c r="I39" i="13"/>
  <c r="I49" i="13"/>
  <c r="I9" i="17"/>
  <c r="I16" i="15"/>
  <c r="I16" i="17" s="1"/>
  <c r="I49" i="17" s="1"/>
  <c r="I11" i="17"/>
  <c r="J49" i="13"/>
  <c r="J39" i="13"/>
  <c r="J9" i="17"/>
  <c r="J11" i="17"/>
  <c r="J10" i="17"/>
  <c r="J16" i="15"/>
  <c r="J16" i="17" s="1"/>
  <c r="J49" i="17" s="1"/>
  <c r="G10" i="17"/>
  <c r="B16" i="29"/>
  <c r="L17" i="26"/>
  <c r="AC20" i="97"/>
  <c r="F15" i="26"/>
  <c r="F14" i="29" s="1"/>
  <c r="Q17" i="18" l="1"/>
  <c r="Q17" i="20" s="1"/>
  <c r="E12" i="27" s="1"/>
  <c r="L13" i="32" s="1"/>
  <c r="D17" i="97" s="1"/>
  <c r="O18" i="20"/>
  <c r="I16" i="20"/>
  <c r="I14" i="25" s="1"/>
  <c r="I16" i="18"/>
  <c r="K15" i="20"/>
  <c r="K13" i="25" s="1"/>
  <c r="C17" i="20"/>
  <c r="C15" i="25" s="1"/>
  <c r="C17" i="18"/>
  <c r="J16" i="20"/>
  <c r="J14" i="25" s="1"/>
  <c r="J16" i="18"/>
  <c r="K15" i="18"/>
  <c r="G9" i="17"/>
  <c r="J42" i="22"/>
  <c r="J29" i="22" s="1"/>
  <c r="J16" i="22" s="1"/>
  <c r="J3" i="22" s="1"/>
  <c r="K14" i="14"/>
  <c r="X15" i="15"/>
  <c r="B45" i="13"/>
  <c r="B13" i="13"/>
  <c r="B35" i="13"/>
  <c r="H49" i="13"/>
  <c r="H39" i="13"/>
  <c r="H9" i="17"/>
  <c r="H16" i="15"/>
  <c r="H16" i="17" s="1"/>
  <c r="H49" i="17" s="1"/>
  <c r="H11" i="17"/>
  <c r="H10" i="17"/>
  <c r="F48" i="13"/>
  <c r="F38" i="13"/>
  <c r="F16" i="13"/>
  <c r="F11" i="17" s="1"/>
  <c r="K48" i="15"/>
  <c r="K48" i="20"/>
  <c r="K48" i="18"/>
  <c r="E38" i="13"/>
  <c r="E48" i="13"/>
  <c r="E16" i="13"/>
  <c r="J43" i="17"/>
  <c r="J49" i="15"/>
  <c r="J42" i="17"/>
  <c r="J49" i="18"/>
  <c r="J49" i="20"/>
  <c r="I42" i="22"/>
  <c r="I29" i="22" s="1"/>
  <c r="I16" i="22" s="1"/>
  <c r="I3" i="22" s="1"/>
  <c r="D49" i="14"/>
  <c r="AA20" i="97"/>
  <c r="D15" i="26"/>
  <c r="D14" i="29" s="1"/>
  <c r="C16" i="14"/>
  <c r="P17" i="15"/>
  <c r="I44" i="17"/>
  <c r="I49" i="15"/>
  <c r="I49" i="18"/>
  <c r="I49" i="20"/>
  <c r="B50" i="14"/>
  <c r="B17" i="15"/>
  <c r="B17" i="17" s="1"/>
  <c r="B50" i="17" s="1"/>
  <c r="D37" i="13"/>
  <c r="D47" i="13"/>
  <c r="D15" i="13"/>
  <c r="C50" i="15"/>
  <c r="C50" i="20"/>
  <c r="C50" i="18"/>
  <c r="O51" i="15"/>
  <c r="O51" i="18" s="1"/>
  <c r="O51" i="20" s="1"/>
  <c r="J44" i="17"/>
  <c r="Y21" i="97"/>
  <c r="B16" i="26"/>
  <c r="I42" i="17"/>
  <c r="Q50" i="15"/>
  <c r="Q50" i="18" s="1"/>
  <c r="Q50" i="20" s="1"/>
  <c r="W16" i="15"/>
  <c r="J15" i="14"/>
  <c r="I15" i="14"/>
  <c r="V16" i="15"/>
  <c r="I43" i="17"/>
  <c r="G49" i="13"/>
  <c r="G42" i="17" s="1"/>
  <c r="G39" i="13"/>
  <c r="G42" i="22" s="1"/>
  <c r="G16" i="15"/>
  <c r="G16" i="17" s="1"/>
  <c r="G49" i="17" s="1"/>
  <c r="C14" i="13"/>
  <c r="C46" i="13"/>
  <c r="C36" i="13"/>
  <c r="G11" i="17"/>
  <c r="V16" i="18" l="1"/>
  <c r="V16" i="20" s="1"/>
  <c r="J11" i="27" s="1"/>
  <c r="Q12" i="32" s="1"/>
  <c r="I16" i="97" s="1"/>
  <c r="X15" i="18"/>
  <c r="X15" i="20" s="1"/>
  <c r="L10" i="27" s="1"/>
  <c r="S11" i="32" s="1"/>
  <c r="K15" i="97" s="1"/>
  <c r="W16" i="18"/>
  <c r="W16" i="20" s="1"/>
  <c r="K11" i="27" s="1"/>
  <c r="R12" i="32" s="1"/>
  <c r="J16" i="97" s="1"/>
  <c r="P17" i="18"/>
  <c r="P17" i="20" s="1"/>
  <c r="D12" i="27" s="1"/>
  <c r="K13" i="32" s="1"/>
  <c r="C17" i="97" s="1"/>
  <c r="H16" i="18"/>
  <c r="B17" i="20"/>
  <c r="B15" i="25" s="1"/>
  <c r="G16" i="20"/>
  <c r="G14" i="25" s="1"/>
  <c r="B17" i="18"/>
  <c r="G16" i="18"/>
  <c r="H16" i="20"/>
  <c r="H14" i="25" s="1"/>
  <c r="H42" i="22"/>
  <c r="H29" i="22" s="1"/>
  <c r="H16" i="22" s="1"/>
  <c r="H3" i="22" s="1"/>
  <c r="E11" i="17"/>
  <c r="E10" i="17"/>
  <c r="V49" i="15"/>
  <c r="V49" i="18" s="1"/>
  <c r="V49" i="20" s="1"/>
  <c r="W49" i="15"/>
  <c r="W49" i="18" s="1"/>
  <c r="W49" i="20" s="1"/>
  <c r="AG19" i="97"/>
  <c r="J14" i="26"/>
  <c r="J13" i="29" s="1"/>
  <c r="J15" i="15"/>
  <c r="J15" i="17" s="1"/>
  <c r="J48" i="17" s="1"/>
  <c r="J48" i="14"/>
  <c r="O17" i="15"/>
  <c r="B16" i="14"/>
  <c r="C37" i="13"/>
  <c r="C15" i="13"/>
  <c r="C47" i="13"/>
  <c r="G49" i="15"/>
  <c r="G49" i="20"/>
  <c r="G49" i="18"/>
  <c r="B15" i="29"/>
  <c r="L16" i="26"/>
  <c r="B50" i="15"/>
  <c r="B50" i="20"/>
  <c r="B50" i="18"/>
  <c r="AF19" i="97"/>
  <c r="I14" i="26"/>
  <c r="I13" i="29" s="1"/>
  <c r="H49" i="15"/>
  <c r="H43" i="17"/>
  <c r="H44" i="17"/>
  <c r="H49" i="18"/>
  <c r="H49" i="20"/>
  <c r="H42" i="17"/>
  <c r="D48" i="13"/>
  <c r="D16" i="13"/>
  <c r="D38" i="13"/>
  <c r="F39" i="13"/>
  <c r="F49" i="13"/>
  <c r="F9" i="17"/>
  <c r="F10" i="17"/>
  <c r="F16" i="15"/>
  <c r="F16" i="17" s="1"/>
  <c r="F49" i="17" s="1"/>
  <c r="U16" i="15"/>
  <c r="H15" i="14"/>
  <c r="K14" i="15"/>
  <c r="K14" i="17" s="1"/>
  <c r="K47" i="17" s="1"/>
  <c r="K47" i="14"/>
  <c r="I15" i="15"/>
  <c r="I15" i="17" s="1"/>
  <c r="I48" i="17" s="1"/>
  <c r="I48" i="14"/>
  <c r="AH18" i="97"/>
  <c r="K13" i="26"/>
  <c r="K12" i="29" s="1"/>
  <c r="G44" i="17"/>
  <c r="P50" i="15"/>
  <c r="P50" i="18" s="1"/>
  <c r="P50" i="20" s="1"/>
  <c r="C49" i="14"/>
  <c r="E49" i="13"/>
  <c r="E43" i="17" s="1"/>
  <c r="E39" i="13"/>
  <c r="E9" i="17"/>
  <c r="E16" i="15"/>
  <c r="E16" i="17" s="1"/>
  <c r="E49" i="17" s="1"/>
  <c r="X48" i="15"/>
  <c r="X48" i="18" s="1"/>
  <c r="X48" i="20" s="1"/>
  <c r="T16" i="15"/>
  <c r="G15" i="14"/>
  <c r="Z20" i="97"/>
  <c r="C15" i="26"/>
  <c r="C14" i="29" s="1"/>
  <c r="G29" i="22"/>
  <c r="G16" i="22" s="1"/>
  <c r="G3" i="22" s="1"/>
  <c r="B36" i="13"/>
  <c r="B14" i="13"/>
  <c r="B46" i="13"/>
  <c r="G43" i="17"/>
  <c r="T16" i="18" l="1"/>
  <c r="T16" i="20" s="1"/>
  <c r="H11" i="27" s="1"/>
  <c r="O12" i="32" s="1"/>
  <c r="G16" i="97" s="1"/>
  <c r="U16" i="18"/>
  <c r="U16" i="20" s="1"/>
  <c r="I11" i="27" s="1"/>
  <c r="P12" i="32" s="1"/>
  <c r="H16" i="97" s="1"/>
  <c r="F16" i="20"/>
  <c r="F14" i="25" s="1"/>
  <c r="O17" i="18"/>
  <c r="O17" i="20" s="1"/>
  <c r="C12" i="27" s="1"/>
  <c r="J13" i="32" s="1"/>
  <c r="B17" i="97" s="1"/>
  <c r="K14" i="20"/>
  <c r="K12" i="25" s="1"/>
  <c r="J15" i="18"/>
  <c r="E16" i="20"/>
  <c r="E14" i="25" s="1"/>
  <c r="I15" i="18"/>
  <c r="K14" i="18"/>
  <c r="F16" i="18"/>
  <c r="E16" i="18"/>
  <c r="I15" i="20"/>
  <c r="I13" i="25" s="1"/>
  <c r="J15" i="20"/>
  <c r="J13" i="25" s="1"/>
  <c r="E49" i="15"/>
  <c r="E44" i="17"/>
  <c r="E49" i="20"/>
  <c r="E49" i="18"/>
  <c r="U49" i="15"/>
  <c r="U49" i="18" s="1"/>
  <c r="U49" i="20" s="1"/>
  <c r="O50" i="15"/>
  <c r="X14" i="15"/>
  <c r="K13" i="14"/>
  <c r="S16" i="15"/>
  <c r="F15" i="14"/>
  <c r="B49" i="14"/>
  <c r="B47" i="13"/>
  <c r="B15" i="13"/>
  <c r="B37" i="13"/>
  <c r="R16" i="15"/>
  <c r="E15" i="14"/>
  <c r="E42" i="17"/>
  <c r="D10" i="17"/>
  <c r="AD19" i="97"/>
  <c r="G14" i="26"/>
  <c r="G13" i="29" s="1"/>
  <c r="C38" i="13"/>
  <c r="C48" i="13"/>
  <c r="C16" i="13"/>
  <c r="AE19" i="97"/>
  <c r="H14" i="26"/>
  <c r="H13" i="29" s="1"/>
  <c r="I48" i="15"/>
  <c r="I48" i="20"/>
  <c r="I48" i="18"/>
  <c r="H48" i="14"/>
  <c r="H15" i="15"/>
  <c r="H15" i="17" s="1"/>
  <c r="H48" i="17" s="1"/>
  <c r="V15" i="15"/>
  <c r="I14" i="14"/>
  <c r="D39" i="13"/>
  <c r="D49" i="13"/>
  <c r="D9" i="17"/>
  <c r="D16" i="15"/>
  <c r="D16" i="17" s="1"/>
  <c r="D49" i="17" s="1"/>
  <c r="D11" i="17"/>
  <c r="G15" i="15"/>
  <c r="G15" i="17" s="1"/>
  <c r="G48" i="17" s="1"/>
  <c r="G48" i="14"/>
  <c r="K47" i="15"/>
  <c r="K47" i="18"/>
  <c r="K47" i="20"/>
  <c r="F44" i="17"/>
  <c r="F49" i="20"/>
  <c r="F42" i="17"/>
  <c r="F49" i="15"/>
  <c r="F49" i="18"/>
  <c r="F43" i="17"/>
  <c r="O50" i="18"/>
  <c r="O50" i="20" s="1"/>
  <c r="T49" i="15"/>
  <c r="T49" i="18" s="1"/>
  <c r="T49" i="20" s="1"/>
  <c r="J48" i="15"/>
  <c r="J48" i="20"/>
  <c r="J48" i="18"/>
  <c r="E42" i="22"/>
  <c r="F42" i="22"/>
  <c r="J14" i="14"/>
  <c r="W15" i="15"/>
  <c r="W15" i="18" s="1"/>
  <c r="Y20" i="97"/>
  <c r="B15" i="26"/>
  <c r="V15" i="18" l="1"/>
  <c r="V15" i="20" s="1"/>
  <c r="J10" i="27" s="1"/>
  <c r="Q11" i="32" s="1"/>
  <c r="I15" i="97" s="1"/>
  <c r="X14" i="18"/>
  <c r="X14" i="20" s="1"/>
  <c r="L9" i="27" s="1"/>
  <c r="S10" i="32" s="1"/>
  <c r="K14" i="97" s="1"/>
  <c r="W15" i="20"/>
  <c r="K10" i="27" s="1"/>
  <c r="R11" i="32" s="1"/>
  <c r="J15" i="97" s="1"/>
  <c r="R16" i="18"/>
  <c r="R16" i="20" s="1"/>
  <c r="F11" i="27" s="1"/>
  <c r="M12" i="32" s="1"/>
  <c r="E16" i="97" s="1"/>
  <c r="S16" i="18"/>
  <c r="S16" i="20" s="1"/>
  <c r="G11" i="27" s="1"/>
  <c r="N12" i="32" s="1"/>
  <c r="F16" i="97" s="1"/>
  <c r="H15" i="18"/>
  <c r="H15" i="20"/>
  <c r="H13" i="25" s="1"/>
  <c r="G15" i="18"/>
  <c r="D16" i="20"/>
  <c r="D14" i="25" s="1"/>
  <c r="G15" i="20"/>
  <c r="G13" i="25" s="1"/>
  <c r="D16" i="18"/>
  <c r="C9" i="17"/>
  <c r="C11" i="17"/>
  <c r="D49" i="15"/>
  <c r="D43" i="17"/>
  <c r="D49" i="20"/>
  <c r="D49" i="18"/>
  <c r="D42" i="17"/>
  <c r="D44" i="17"/>
  <c r="R49" i="15"/>
  <c r="R49" i="18" s="1"/>
  <c r="R49" i="20" s="1"/>
  <c r="X47" i="15"/>
  <c r="X47" i="18" s="1"/>
  <c r="X47" i="20" s="1"/>
  <c r="J47" i="14"/>
  <c r="J14" i="15"/>
  <c r="J14" i="17" s="1"/>
  <c r="J47" i="17" s="1"/>
  <c r="G48" i="15"/>
  <c r="G48" i="20"/>
  <c r="G48" i="18"/>
  <c r="D15" i="14"/>
  <c r="Q16" i="15"/>
  <c r="D42" i="22"/>
  <c r="AB19" i="97"/>
  <c r="E14" i="26"/>
  <c r="E13" i="29" s="1"/>
  <c r="G14" i="14"/>
  <c r="T15" i="15"/>
  <c r="I14" i="15"/>
  <c r="I14" i="17" s="1"/>
  <c r="I47" i="17" s="1"/>
  <c r="I47" i="14"/>
  <c r="AG18" i="97"/>
  <c r="J13" i="26"/>
  <c r="J12" i="29" s="1"/>
  <c r="C49" i="13"/>
  <c r="C39" i="13"/>
  <c r="C16" i="15"/>
  <c r="C16" i="17" s="1"/>
  <c r="C49" i="17" s="1"/>
  <c r="C10" i="17"/>
  <c r="AF18" i="97"/>
  <c r="I13" i="26"/>
  <c r="I12" i="29" s="1"/>
  <c r="B48" i="13"/>
  <c r="B38" i="13"/>
  <c r="B16" i="13"/>
  <c r="F15" i="15"/>
  <c r="F15" i="17" s="1"/>
  <c r="F48" i="17" s="1"/>
  <c r="F48" i="14"/>
  <c r="AC19" i="97"/>
  <c r="F14" i="26"/>
  <c r="F13" i="29" s="1"/>
  <c r="E29" i="22"/>
  <c r="E16" i="22" s="1"/>
  <c r="E3" i="22" s="1"/>
  <c r="AH17" i="97"/>
  <c r="K12" i="26"/>
  <c r="K11" i="29" s="1"/>
  <c r="H14" i="14"/>
  <c r="U15" i="15"/>
  <c r="E15" i="15"/>
  <c r="E15" i="17" s="1"/>
  <c r="E48" i="17" s="1"/>
  <c r="E48" i="14"/>
  <c r="B14" i="29"/>
  <c r="L15" i="26"/>
  <c r="H48" i="15"/>
  <c r="H48" i="18"/>
  <c r="H48" i="20"/>
  <c r="V48" i="15"/>
  <c r="V48" i="18" s="1"/>
  <c r="V48" i="20" s="1"/>
  <c r="F29" i="22"/>
  <c r="F16" i="22" s="1"/>
  <c r="F3" i="22" s="1"/>
  <c r="W48" i="15"/>
  <c r="W48" i="18" s="1"/>
  <c r="W48" i="20" s="1"/>
  <c r="S49" i="15"/>
  <c r="S49" i="18" s="1"/>
  <c r="S49" i="20" s="1"/>
  <c r="K13" i="15"/>
  <c r="K13" i="17" s="1"/>
  <c r="K46" i="17" s="1"/>
  <c r="K46" i="14"/>
  <c r="U15" i="18" l="1"/>
  <c r="U15" i="20" s="1"/>
  <c r="I10" i="27" s="1"/>
  <c r="P11" i="32" s="1"/>
  <c r="H15" i="97" s="1"/>
  <c r="Q16" i="18"/>
  <c r="Q16" i="20" s="1"/>
  <c r="E11" i="27" s="1"/>
  <c r="L12" i="32" s="1"/>
  <c r="D16" i="97" s="1"/>
  <c r="T15" i="18"/>
  <c r="T15" i="20" s="1"/>
  <c r="H10" i="27" s="1"/>
  <c r="O11" i="32" s="1"/>
  <c r="G15" i="97" s="1"/>
  <c r="E15" i="20"/>
  <c r="E13" i="25" s="1"/>
  <c r="F15" i="20"/>
  <c r="F13" i="25" s="1"/>
  <c r="F15" i="18"/>
  <c r="C16" i="20"/>
  <c r="C14" i="25" s="1"/>
  <c r="J14" i="20"/>
  <c r="J12" i="25" s="1"/>
  <c r="J14" i="18"/>
  <c r="E15" i="18"/>
  <c r="C16" i="18"/>
  <c r="I14" i="20"/>
  <c r="I12" i="25" s="1"/>
  <c r="K13" i="18"/>
  <c r="K13" i="20"/>
  <c r="K11" i="25" s="1"/>
  <c r="I14" i="18"/>
  <c r="C44" i="17"/>
  <c r="C43" i="17"/>
  <c r="AA19" i="97"/>
  <c r="D14" i="26"/>
  <c r="D13" i="29" s="1"/>
  <c r="H14" i="15"/>
  <c r="H14" i="17" s="1"/>
  <c r="H47" i="17" s="1"/>
  <c r="H47" i="14"/>
  <c r="B49" i="13"/>
  <c r="B43" i="17" s="1"/>
  <c r="B39" i="13"/>
  <c r="B10" i="17"/>
  <c r="B11" i="17"/>
  <c r="B16" i="15"/>
  <c r="B16" i="17" s="1"/>
  <c r="B49" i="17" s="1"/>
  <c r="T48" i="15"/>
  <c r="T48" i="18" s="1"/>
  <c r="T48" i="20" s="1"/>
  <c r="E48" i="15"/>
  <c r="E48" i="18"/>
  <c r="E48" i="20"/>
  <c r="AE18" i="97"/>
  <c r="H13" i="26"/>
  <c r="H12" i="29" s="1"/>
  <c r="G14" i="15"/>
  <c r="G14" i="17" s="1"/>
  <c r="G47" i="17" s="1"/>
  <c r="G47" i="14"/>
  <c r="B9" i="17"/>
  <c r="Q49" i="15"/>
  <c r="Q49" i="18" s="1"/>
  <c r="Q49" i="20" s="1"/>
  <c r="R15" i="15"/>
  <c r="E14" i="14"/>
  <c r="AD18" i="97"/>
  <c r="G13" i="26"/>
  <c r="G12" i="29" s="1"/>
  <c r="C15" i="14"/>
  <c r="P16" i="15"/>
  <c r="F48" i="15"/>
  <c r="F48" i="18"/>
  <c r="F48" i="20"/>
  <c r="D15" i="15"/>
  <c r="D15" i="17" s="1"/>
  <c r="D48" i="17" s="1"/>
  <c r="D48" i="14"/>
  <c r="K46" i="15"/>
  <c r="K46" i="18"/>
  <c r="K46" i="20"/>
  <c r="F14" i="14"/>
  <c r="S15" i="15"/>
  <c r="C42" i="22"/>
  <c r="J13" i="14"/>
  <c r="W14" i="15"/>
  <c r="X13" i="15"/>
  <c r="K12" i="14"/>
  <c r="U48" i="15"/>
  <c r="U48" i="18" s="1"/>
  <c r="U48" i="20" s="1"/>
  <c r="C42" i="17"/>
  <c r="C49" i="18"/>
  <c r="C49" i="20"/>
  <c r="C49" i="15"/>
  <c r="I47" i="15"/>
  <c r="I47" i="20"/>
  <c r="I47" i="18"/>
  <c r="J47" i="15"/>
  <c r="J47" i="20"/>
  <c r="J47" i="18"/>
  <c r="I13" i="14"/>
  <c r="V14" i="15"/>
  <c r="D29" i="22"/>
  <c r="D16" i="22" s="1"/>
  <c r="D3" i="22" s="1"/>
  <c r="S15" i="18" l="1"/>
  <c r="S15" i="20" s="1"/>
  <c r="G10" i="27" s="1"/>
  <c r="N11" i="32" s="1"/>
  <c r="F15" i="97" s="1"/>
  <c r="B44" i="17"/>
  <c r="R15" i="18"/>
  <c r="R15" i="20" s="1"/>
  <c r="F10" i="27" s="1"/>
  <c r="M11" i="32" s="1"/>
  <c r="E15" i="97" s="1"/>
  <c r="P16" i="18"/>
  <c r="P16" i="20" s="1"/>
  <c r="D11" i="27" s="1"/>
  <c r="K12" i="32" s="1"/>
  <c r="C16" i="97" s="1"/>
  <c r="X13" i="18"/>
  <c r="X13" i="20" s="1"/>
  <c r="L8" i="27" s="1"/>
  <c r="S9" i="32" s="1"/>
  <c r="K13" i="97" s="1"/>
  <c r="W14" i="18"/>
  <c r="W14" i="20" s="1"/>
  <c r="K9" i="27" s="1"/>
  <c r="R10" i="32" s="1"/>
  <c r="J14" i="97" s="1"/>
  <c r="V14" i="18"/>
  <c r="V14" i="20" s="1"/>
  <c r="J9" i="27" s="1"/>
  <c r="Q10" i="32" s="1"/>
  <c r="I14" i="97" s="1"/>
  <c r="H14" i="18"/>
  <c r="H14" i="20"/>
  <c r="H12" i="25" s="1"/>
  <c r="D15" i="18"/>
  <c r="G14" i="18"/>
  <c r="B16" i="18"/>
  <c r="D15" i="20"/>
  <c r="D13" i="25" s="1"/>
  <c r="G14" i="20"/>
  <c r="G12" i="25" s="1"/>
  <c r="B16" i="20"/>
  <c r="B14" i="25" s="1"/>
  <c r="I46" i="14"/>
  <c r="I13" i="15"/>
  <c r="I13" i="17" s="1"/>
  <c r="I46" i="17" s="1"/>
  <c r="D48" i="15"/>
  <c r="D48" i="20"/>
  <c r="D48" i="18"/>
  <c r="F47" i="14"/>
  <c r="F14" i="15"/>
  <c r="F14" i="17" s="1"/>
  <c r="F47" i="17" s="1"/>
  <c r="Q15" i="15"/>
  <c r="D14" i="14"/>
  <c r="AG17" i="97"/>
  <c r="J12" i="26"/>
  <c r="J11" i="29" s="1"/>
  <c r="B15" i="14"/>
  <c r="O16" i="15"/>
  <c r="O16" i="18" s="1"/>
  <c r="B42" i="22"/>
  <c r="Z19" i="97"/>
  <c r="C14" i="26"/>
  <c r="C13" i="29" s="1"/>
  <c r="J13" i="15"/>
  <c r="J13" i="17" s="1"/>
  <c r="J46" i="17" s="1"/>
  <c r="J46" i="14"/>
  <c r="V47" i="15"/>
  <c r="V47" i="18" s="1"/>
  <c r="V47" i="20" s="1"/>
  <c r="AB18" i="97"/>
  <c r="E13" i="26"/>
  <c r="E12" i="29" s="1"/>
  <c r="G47" i="15"/>
  <c r="G47" i="18"/>
  <c r="G47" i="20"/>
  <c r="B49" i="20"/>
  <c r="B49" i="18"/>
  <c r="B42" i="17"/>
  <c r="B49" i="15"/>
  <c r="C29" i="22"/>
  <c r="C16" i="22" s="1"/>
  <c r="C3" i="22" s="1"/>
  <c r="AF17" i="97"/>
  <c r="I12" i="26"/>
  <c r="I11" i="29" s="1"/>
  <c r="C15" i="15"/>
  <c r="C15" i="17" s="1"/>
  <c r="C48" i="17" s="1"/>
  <c r="C48" i="14"/>
  <c r="G13" i="14"/>
  <c r="T14" i="15"/>
  <c r="K12" i="15"/>
  <c r="K12" i="17" s="1"/>
  <c r="K45" i="17" s="1"/>
  <c r="K45" i="14"/>
  <c r="X46" i="15"/>
  <c r="X46" i="18" s="1"/>
  <c r="X46" i="20" s="1"/>
  <c r="AH16" i="97"/>
  <c r="K11" i="26"/>
  <c r="K10" i="29" s="1"/>
  <c r="P49" i="15"/>
  <c r="P49" i="18" s="1"/>
  <c r="P49" i="20" s="1"/>
  <c r="AC18" i="97"/>
  <c r="F13" i="26"/>
  <c r="F12" i="29" s="1"/>
  <c r="R48" i="15"/>
  <c r="R48" i="18" s="1"/>
  <c r="R48" i="20" s="1"/>
  <c r="H47" i="15"/>
  <c r="H47" i="20"/>
  <c r="H47" i="18"/>
  <c r="W47" i="15"/>
  <c r="W47" i="18" s="1"/>
  <c r="W47" i="20" s="1"/>
  <c r="S48" i="15"/>
  <c r="S48" i="18" s="1"/>
  <c r="S48" i="20" s="1"/>
  <c r="E47" i="14"/>
  <c r="E14" i="15"/>
  <c r="E14" i="17" s="1"/>
  <c r="E47" i="17" s="1"/>
  <c r="U14" i="15"/>
  <c r="H13" i="14"/>
  <c r="U14" i="18" l="1"/>
  <c r="U14" i="20" s="1"/>
  <c r="I9" i="27" s="1"/>
  <c r="P10" i="32" s="1"/>
  <c r="H14" i="97" s="1"/>
  <c r="Q15" i="18"/>
  <c r="Q15" i="20" s="1"/>
  <c r="E10" i="27" s="1"/>
  <c r="L11" i="32" s="1"/>
  <c r="D15" i="97" s="1"/>
  <c r="K12" i="18"/>
  <c r="O16" i="20"/>
  <c r="C11" i="27" s="1"/>
  <c r="J12" i="32" s="1"/>
  <c r="B16" i="97" s="1"/>
  <c r="I13" i="20"/>
  <c r="I11" i="25" s="1"/>
  <c r="T14" i="18"/>
  <c r="T14" i="20" s="1"/>
  <c r="H9" i="27" s="1"/>
  <c r="O10" i="32" s="1"/>
  <c r="G14" i="97" s="1"/>
  <c r="F14" i="20"/>
  <c r="F12" i="25" s="1"/>
  <c r="I13" i="18"/>
  <c r="E14" i="20"/>
  <c r="E12" i="25" s="1"/>
  <c r="K12" i="20"/>
  <c r="K10" i="25" s="1"/>
  <c r="E14" i="18"/>
  <c r="C15" i="18"/>
  <c r="J13" i="20"/>
  <c r="J11" i="25" s="1"/>
  <c r="C15" i="20"/>
  <c r="C13" i="25" s="1"/>
  <c r="J13" i="18"/>
  <c r="F14" i="18"/>
  <c r="J12" i="14"/>
  <c r="W13" i="15"/>
  <c r="B15" i="15"/>
  <c r="B15" i="17" s="1"/>
  <c r="B48" i="17" s="1"/>
  <c r="B48" i="14"/>
  <c r="AD17" i="97"/>
  <c r="G12" i="26"/>
  <c r="G11" i="29" s="1"/>
  <c r="AA18" i="97"/>
  <c r="D13" i="26"/>
  <c r="D12" i="29" s="1"/>
  <c r="AE17" i="97"/>
  <c r="H12" i="26"/>
  <c r="H11" i="29" s="1"/>
  <c r="K45" i="15"/>
  <c r="K45" i="20"/>
  <c r="K45" i="18"/>
  <c r="G46" i="14"/>
  <c r="G13" i="15"/>
  <c r="G13" i="17" s="1"/>
  <c r="G46" i="17" s="1"/>
  <c r="Q48" i="15"/>
  <c r="Q48" i="18" s="1"/>
  <c r="Q48" i="20" s="1"/>
  <c r="C14" i="14"/>
  <c r="P15" i="15"/>
  <c r="F13" i="14"/>
  <c r="S14" i="15"/>
  <c r="B29" i="22"/>
  <c r="B16" i="22" s="1"/>
  <c r="B3" i="22" s="1"/>
  <c r="F47" i="15"/>
  <c r="F47" i="18"/>
  <c r="F47" i="20"/>
  <c r="E13" i="14"/>
  <c r="R14" i="15"/>
  <c r="X12" i="15"/>
  <c r="X12" i="18" s="1"/>
  <c r="K11" i="14"/>
  <c r="O49" i="15"/>
  <c r="O49" i="18" s="1"/>
  <c r="O49" i="20" s="1"/>
  <c r="I12" i="14"/>
  <c r="V13" i="15"/>
  <c r="Y19" i="97"/>
  <c r="B14" i="26"/>
  <c r="H46" i="14"/>
  <c r="H13" i="15"/>
  <c r="H13" i="17" s="1"/>
  <c r="H46" i="17" s="1"/>
  <c r="E47" i="15"/>
  <c r="E47" i="20"/>
  <c r="E47" i="18"/>
  <c r="U47" i="15"/>
  <c r="U47" i="18" s="1"/>
  <c r="U47" i="20" s="1"/>
  <c r="C48" i="15"/>
  <c r="C48" i="20"/>
  <c r="C48" i="18"/>
  <c r="T47" i="15"/>
  <c r="T47" i="18" s="1"/>
  <c r="T47" i="20" s="1"/>
  <c r="J46" i="15"/>
  <c r="J46" i="18"/>
  <c r="J46" i="20"/>
  <c r="D47" i="14"/>
  <c r="D14" i="15"/>
  <c r="D14" i="17" s="1"/>
  <c r="D47" i="17" s="1"/>
  <c r="I46" i="15"/>
  <c r="I46" i="20"/>
  <c r="I46" i="18"/>
  <c r="R14" i="18" l="1"/>
  <c r="V13" i="18"/>
  <c r="V13" i="20" s="1"/>
  <c r="J8" i="27" s="1"/>
  <c r="Q9" i="32" s="1"/>
  <c r="I13" i="97" s="1"/>
  <c r="S14" i="18"/>
  <c r="S14" i="20" s="1"/>
  <c r="G9" i="27" s="1"/>
  <c r="N10" i="32" s="1"/>
  <c r="F14" i="97" s="1"/>
  <c r="W13" i="18"/>
  <c r="W13" i="20" s="1"/>
  <c r="K8" i="27" s="1"/>
  <c r="R9" i="32" s="1"/>
  <c r="J13" i="97" s="1"/>
  <c r="P15" i="18"/>
  <c r="P15" i="20" s="1"/>
  <c r="D10" i="27" s="1"/>
  <c r="K11" i="32" s="1"/>
  <c r="C15" i="97" s="1"/>
  <c r="R14" i="20"/>
  <c r="F9" i="27" s="1"/>
  <c r="M10" i="32" s="1"/>
  <c r="E14" i="97" s="1"/>
  <c r="X12" i="20"/>
  <c r="L7" i="27" s="1"/>
  <c r="S8" i="32" s="1"/>
  <c r="K12" i="97" s="1"/>
  <c r="D14" i="20"/>
  <c r="D12" i="25" s="1"/>
  <c r="B15" i="20"/>
  <c r="B13" i="25" s="1"/>
  <c r="B15" i="18"/>
  <c r="H13" i="20"/>
  <c r="H11" i="25" s="1"/>
  <c r="G13" i="20"/>
  <c r="G11" i="25" s="1"/>
  <c r="D14" i="18"/>
  <c r="H13" i="18"/>
  <c r="G13" i="18"/>
  <c r="T13" i="15"/>
  <c r="G12" i="14"/>
  <c r="V46" i="15"/>
  <c r="V46" i="18" s="1"/>
  <c r="V46" i="20" s="1"/>
  <c r="AB17" i="97"/>
  <c r="E12" i="26"/>
  <c r="E11" i="29" s="1"/>
  <c r="K11" i="18"/>
  <c r="K11" i="15"/>
  <c r="X11" i="15" s="1"/>
  <c r="K11" i="20"/>
  <c r="C14" i="15"/>
  <c r="C14" i="17" s="1"/>
  <c r="C47" i="17" s="1"/>
  <c r="C47" i="14"/>
  <c r="G46" i="15"/>
  <c r="G46" i="20"/>
  <c r="G46" i="18"/>
  <c r="B48" i="15"/>
  <c r="B48" i="20"/>
  <c r="B48" i="18"/>
  <c r="Z18" i="97"/>
  <c r="C13" i="26"/>
  <c r="C12" i="29" s="1"/>
  <c r="H12" i="14"/>
  <c r="U13" i="15"/>
  <c r="H46" i="15"/>
  <c r="H46" i="20"/>
  <c r="H46" i="18"/>
  <c r="E13" i="15"/>
  <c r="E13" i="17" s="1"/>
  <c r="E46" i="17" s="1"/>
  <c r="E46" i="14"/>
  <c r="S47" i="15"/>
  <c r="S47" i="18" s="1"/>
  <c r="S47" i="20" s="1"/>
  <c r="AF16" i="97"/>
  <c r="I11" i="26"/>
  <c r="I10" i="29" s="1"/>
  <c r="B14" i="14"/>
  <c r="O15" i="15"/>
  <c r="Q14" i="15"/>
  <c r="D13" i="14"/>
  <c r="D47" i="15"/>
  <c r="D47" i="20"/>
  <c r="D47" i="18"/>
  <c r="P48" i="15"/>
  <c r="P48" i="18" s="1"/>
  <c r="P48" i="20" s="1"/>
  <c r="X45" i="15"/>
  <c r="X45" i="18" s="1"/>
  <c r="X45" i="20" s="1"/>
  <c r="K44" i="14"/>
  <c r="AG16" i="97"/>
  <c r="J11" i="26"/>
  <c r="J10" i="29" s="1"/>
  <c r="F13" i="15"/>
  <c r="F13" i="17" s="1"/>
  <c r="F46" i="17" s="1"/>
  <c r="F46" i="14"/>
  <c r="R47" i="15"/>
  <c r="R47" i="18" s="1"/>
  <c r="R47" i="20" s="1"/>
  <c r="AH15" i="97"/>
  <c r="K10" i="26"/>
  <c r="K9" i="29" s="1"/>
  <c r="AC17" i="97"/>
  <c r="F12" i="26"/>
  <c r="F11" i="29" s="1"/>
  <c r="B13" i="29"/>
  <c r="L14" i="26"/>
  <c r="W46" i="15"/>
  <c r="W46" i="18" s="1"/>
  <c r="W46" i="20" s="1"/>
  <c r="I45" i="14"/>
  <c r="I12" i="15"/>
  <c r="I12" i="17" s="1"/>
  <c r="I45" i="17" s="1"/>
  <c r="J45" i="14"/>
  <c r="J12" i="15"/>
  <c r="J12" i="17" s="1"/>
  <c r="J45" i="17" s="1"/>
  <c r="E13" i="18" l="1"/>
  <c r="Q14" i="18"/>
  <c r="Q14" i="20" s="1"/>
  <c r="E9" i="27" s="1"/>
  <c r="L10" i="32" s="1"/>
  <c r="D14" i="97" s="1"/>
  <c r="O15" i="18"/>
  <c r="O15" i="20" s="1"/>
  <c r="C10" i="27" s="1"/>
  <c r="J11" i="32" s="1"/>
  <c r="B15" i="97" s="1"/>
  <c r="F13" i="20"/>
  <c r="F11" i="25" s="1"/>
  <c r="T13" i="18"/>
  <c r="T13" i="20" s="1"/>
  <c r="H8" i="27" s="1"/>
  <c r="O9" i="32" s="1"/>
  <c r="G13" i="97" s="1"/>
  <c r="U13" i="18"/>
  <c r="U13" i="20" s="1"/>
  <c r="I8" i="27" s="1"/>
  <c r="P9" i="32" s="1"/>
  <c r="H13" i="97" s="1"/>
  <c r="I12" i="18"/>
  <c r="J12" i="20"/>
  <c r="J10" i="25" s="1"/>
  <c r="I12" i="20"/>
  <c r="I10" i="25" s="1"/>
  <c r="F13" i="18"/>
  <c r="C14" i="20"/>
  <c r="C12" i="25" s="1"/>
  <c r="C14" i="18"/>
  <c r="J12" i="18"/>
  <c r="E13" i="20"/>
  <c r="E11" i="25" s="1"/>
  <c r="W12" i="15"/>
  <c r="J11" i="14"/>
  <c r="AD16" i="97"/>
  <c r="G11" i="26"/>
  <c r="G10" i="29" s="1"/>
  <c r="K9" i="25"/>
  <c r="H45" i="14"/>
  <c r="H12" i="15"/>
  <c r="H12" i="17" s="1"/>
  <c r="H45" i="17" s="1"/>
  <c r="J45" i="15"/>
  <c r="J45" i="20"/>
  <c r="J45" i="18"/>
  <c r="F46" i="15"/>
  <c r="F46" i="18"/>
  <c r="F46" i="20"/>
  <c r="T46" i="15"/>
  <c r="T46" i="18" s="1"/>
  <c r="T46" i="20" s="1"/>
  <c r="X11" i="18"/>
  <c r="X11" i="20" s="1"/>
  <c r="L6" i="27" s="1"/>
  <c r="S7" i="32" s="1"/>
  <c r="K11" i="97" s="1"/>
  <c r="V12" i="15"/>
  <c r="I11" i="14"/>
  <c r="F12" i="14"/>
  <c r="S13" i="15"/>
  <c r="U46" i="15"/>
  <c r="U46" i="18" s="1"/>
  <c r="U46" i="20" s="1"/>
  <c r="G45" i="14"/>
  <c r="G12" i="15"/>
  <c r="G12" i="17" s="1"/>
  <c r="G45" i="17" s="1"/>
  <c r="I45" i="15"/>
  <c r="I45" i="20"/>
  <c r="I45" i="18"/>
  <c r="C47" i="15"/>
  <c r="C47" i="20"/>
  <c r="C47" i="18"/>
  <c r="D13" i="15"/>
  <c r="D13" i="17" s="1"/>
  <c r="D46" i="17" s="1"/>
  <c r="D46" i="14"/>
  <c r="R13" i="15"/>
  <c r="E12" i="14"/>
  <c r="Y18" i="97"/>
  <c r="B13" i="26"/>
  <c r="B47" i="14"/>
  <c r="B14" i="15"/>
  <c r="B14" i="17" s="1"/>
  <c r="B47" i="17" s="1"/>
  <c r="AA17" i="97"/>
  <c r="D12" i="26"/>
  <c r="D11" i="29" s="1"/>
  <c r="P14" i="15"/>
  <c r="C13" i="14"/>
  <c r="AE16" i="97"/>
  <c r="H11" i="26"/>
  <c r="H10" i="29" s="1"/>
  <c r="K44" i="18"/>
  <c r="K44" i="15"/>
  <c r="K44" i="20"/>
  <c r="Q47" i="15"/>
  <c r="Q47" i="18" s="1"/>
  <c r="Q47" i="20" s="1"/>
  <c r="E46" i="15"/>
  <c r="E46" i="18"/>
  <c r="E46" i="20"/>
  <c r="O48" i="15"/>
  <c r="O48" i="18" s="1"/>
  <c r="O48" i="20" s="1"/>
  <c r="V12" i="18" l="1"/>
  <c r="V12" i="20" s="1"/>
  <c r="J7" i="27" s="1"/>
  <c r="Q8" i="32" s="1"/>
  <c r="I12" i="97" s="1"/>
  <c r="S13" i="18"/>
  <c r="S13" i="20" s="1"/>
  <c r="G8" i="27" s="1"/>
  <c r="N9" i="32" s="1"/>
  <c r="F13" i="97" s="1"/>
  <c r="P14" i="18"/>
  <c r="P14" i="20" s="1"/>
  <c r="D9" i="27" s="1"/>
  <c r="K10" i="32" s="1"/>
  <c r="C14" i="97" s="1"/>
  <c r="R13" i="18"/>
  <c r="R13" i="20" s="1"/>
  <c r="F8" i="27" s="1"/>
  <c r="M9" i="32" s="1"/>
  <c r="E13" i="97" s="1"/>
  <c r="D13" i="20"/>
  <c r="D11" i="25" s="1"/>
  <c r="G12" i="20"/>
  <c r="G10" i="25" s="1"/>
  <c r="W12" i="18"/>
  <c r="W12" i="20" s="1"/>
  <c r="K7" i="27" s="1"/>
  <c r="R8" i="32" s="1"/>
  <c r="J12" i="97" s="1"/>
  <c r="D13" i="18"/>
  <c r="B14" i="18"/>
  <c r="G12" i="18"/>
  <c r="H12" i="20"/>
  <c r="H10" i="25" s="1"/>
  <c r="B14" i="20"/>
  <c r="B12" i="25" s="1"/>
  <c r="H12" i="18"/>
  <c r="AG15" i="97"/>
  <c r="J10" i="26"/>
  <c r="J9" i="29" s="1"/>
  <c r="B12" i="29"/>
  <c r="L13" i="26"/>
  <c r="D12" i="14"/>
  <c r="Q13" i="15"/>
  <c r="H45" i="15"/>
  <c r="H45" i="18"/>
  <c r="H45" i="20"/>
  <c r="D46" i="15"/>
  <c r="D46" i="20"/>
  <c r="D46" i="18"/>
  <c r="I11" i="15"/>
  <c r="V11" i="15" s="1"/>
  <c r="I11" i="18"/>
  <c r="I11" i="20"/>
  <c r="W45" i="15"/>
  <c r="W45" i="18" s="1"/>
  <c r="W45" i="20" s="1"/>
  <c r="J44" i="14"/>
  <c r="AH14" i="97"/>
  <c r="K9" i="26"/>
  <c r="K8" i="29" s="1"/>
  <c r="T12" i="15"/>
  <c r="G11" i="14"/>
  <c r="V45" i="15"/>
  <c r="V45" i="18" s="1"/>
  <c r="V45" i="20" s="1"/>
  <c r="I44" i="14"/>
  <c r="X44" i="15"/>
  <c r="X44" i="18" s="1"/>
  <c r="X44" i="20" s="1"/>
  <c r="K10" i="14"/>
  <c r="K43" i="14"/>
  <c r="O14" i="15"/>
  <c r="B13" i="14"/>
  <c r="E12" i="15"/>
  <c r="E12" i="17" s="1"/>
  <c r="E45" i="17" s="1"/>
  <c r="E45" i="14"/>
  <c r="K51" i="22"/>
  <c r="K38" i="22" s="1"/>
  <c r="K25" i="22" s="1"/>
  <c r="B47" i="15"/>
  <c r="B47" i="20"/>
  <c r="B47" i="18"/>
  <c r="P47" i="15"/>
  <c r="P47" i="18" s="1"/>
  <c r="P47" i="20" s="1"/>
  <c r="G45" i="15"/>
  <c r="G45" i="20"/>
  <c r="G45" i="18"/>
  <c r="AC16" i="97"/>
  <c r="F11" i="26"/>
  <c r="F10" i="29" s="1"/>
  <c r="Z17" i="97"/>
  <c r="C12" i="26"/>
  <c r="C11" i="29" s="1"/>
  <c r="S46" i="15"/>
  <c r="S46" i="18" s="1"/>
  <c r="S46" i="20" s="1"/>
  <c r="J11" i="18"/>
  <c r="J11" i="20"/>
  <c r="J11" i="15"/>
  <c r="W11" i="15" s="1"/>
  <c r="U12" i="15"/>
  <c r="H11" i="14"/>
  <c r="R46" i="15"/>
  <c r="R46" i="18" s="1"/>
  <c r="R46" i="20" s="1"/>
  <c r="C46" i="14"/>
  <c r="C13" i="15"/>
  <c r="C13" i="17" s="1"/>
  <c r="C46" i="17" s="1"/>
  <c r="AB16" i="97"/>
  <c r="E11" i="26"/>
  <c r="E10" i="29" s="1"/>
  <c r="F45" i="14"/>
  <c r="F12" i="15"/>
  <c r="F12" i="17" s="1"/>
  <c r="F45" i="17" s="1"/>
  <c r="AF15" i="97"/>
  <c r="I10" i="26"/>
  <c r="I9" i="29" s="1"/>
  <c r="U12" i="18" l="1"/>
  <c r="U12" i="20" s="1"/>
  <c r="I7" i="27" s="1"/>
  <c r="P8" i="32" s="1"/>
  <c r="H12" i="97" s="1"/>
  <c r="O14" i="18"/>
  <c r="O14" i="20" s="1"/>
  <c r="C9" i="27" s="1"/>
  <c r="J10" i="32" s="1"/>
  <c r="B14" i="97" s="1"/>
  <c r="F12" i="20"/>
  <c r="F10" i="25" s="1"/>
  <c r="Q13" i="18"/>
  <c r="Q13" i="20" s="1"/>
  <c r="E8" i="27" s="1"/>
  <c r="L9" i="32" s="1"/>
  <c r="D13" i="97" s="1"/>
  <c r="E12" i="20"/>
  <c r="E10" i="25" s="1"/>
  <c r="C13" i="18"/>
  <c r="T12" i="18"/>
  <c r="T12" i="20" s="1"/>
  <c r="H7" i="27" s="1"/>
  <c r="O8" i="32" s="1"/>
  <c r="G12" i="97" s="1"/>
  <c r="F12" i="18"/>
  <c r="C13" i="20"/>
  <c r="C11" i="25" s="1"/>
  <c r="E12" i="18"/>
  <c r="K63" i="22"/>
  <c r="K12" i="22"/>
  <c r="Q46" i="15"/>
  <c r="Q46" i="18" s="1"/>
  <c r="Q46" i="20" s="1"/>
  <c r="S12" i="15"/>
  <c r="F11" i="14"/>
  <c r="K43" i="15"/>
  <c r="K43" i="18"/>
  <c r="K43" i="20"/>
  <c r="D12" i="15"/>
  <c r="D12" i="17" s="1"/>
  <c r="D45" i="17" s="1"/>
  <c r="D45" i="14"/>
  <c r="H11" i="18"/>
  <c r="H11" i="15"/>
  <c r="U11" i="15" s="1"/>
  <c r="H11" i="20"/>
  <c r="C12" i="14"/>
  <c r="P13" i="15"/>
  <c r="K10" i="15"/>
  <c r="X10" i="15" s="1"/>
  <c r="K10" i="20"/>
  <c r="K10" i="18"/>
  <c r="G11" i="18"/>
  <c r="G11" i="15"/>
  <c r="T11" i="15" s="1"/>
  <c r="G11" i="20"/>
  <c r="J44" i="15"/>
  <c r="J44" i="18"/>
  <c r="J44" i="20"/>
  <c r="F45" i="15"/>
  <c r="F45" i="20"/>
  <c r="F45" i="18"/>
  <c r="C46" i="15"/>
  <c r="C46" i="20"/>
  <c r="C46" i="18"/>
  <c r="J9" i="25"/>
  <c r="E45" i="15"/>
  <c r="E45" i="20"/>
  <c r="E45" i="18"/>
  <c r="I9" i="25"/>
  <c r="U45" i="15"/>
  <c r="U45" i="18" s="1"/>
  <c r="U45" i="20" s="1"/>
  <c r="H44" i="14"/>
  <c r="W11" i="18"/>
  <c r="W11" i="20" s="1"/>
  <c r="K6" i="27" s="1"/>
  <c r="R7" i="32" s="1"/>
  <c r="J11" i="97" s="1"/>
  <c r="O47" i="15"/>
  <c r="O47" i="18" s="1"/>
  <c r="O47" i="20" s="1"/>
  <c r="V11" i="18"/>
  <c r="V11" i="20" s="1"/>
  <c r="J6" i="27" s="1"/>
  <c r="Q7" i="32" s="1"/>
  <c r="I11" i="97" s="1"/>
  <c r="R12" i="15"/>
  <c r="E11" i="14"/>
  <c r="T45" i="15"/>
  <c r="T45" i="18" s="1"/>
  <c r="T45" i="20" s="1"/>
  <c r="G44" i="14"/>
  <c r="Y17" i="97"/>
  <c r="B12" i="26"/>
  <c r="AE15" i="97"/>
  <c r="H10" i="26"/>
  <c r="H9" i="29" s="1"/>
  <c r="AA16" i="97"/>
  <c r="D11" i="26"/>
  <c r="D10" i="29" s="1"/>
  <c r="B13" i="15"/>
  <c r="B13" i="17" s="1"/>
  <c r="B46" i="17" s="1"/>
  <c r="B46" i="14"/>
  <c r="I44" i="15"/>
  <c r="I44" i="18"/>
  <c r="I44" i="20"/>
  <c r="AD15" i="97"/>
  <c r="G10" i="26"/>
  <c r="G9" i="29" s="1"/>
  <c r="P13" i="18" l="1"/>
  <c r="P13" i="20" s="1"/>
  <c r="D8" i="27" s="1"/>
  <c r="K9" i="32" s="1"/>
  <c r="C13" i="97" s="1"/>
  <c r="S12" i="18"/>
  <c r="S12" i="20" s="1"/>
  <c r="G7" i="27" s="1"/>
  <c r="N8" i="32" s="1"/>
  <c r="F12" i="97" s="1"/>
  <c r="R12" i="18"/>
  <c r="R12" i="20" s="1"/>
  <c r="F7" i="27" s="1"/>
  <c r="M8" i="32" s="1"/>
  <c r="E12" i="97" s="1"/>
  <c r="D12" i="20"/>
  <c r="D10" i="25" s="1"/>
  <c r="B13" i="20"/>
  <c r="B11" i="25" s="1"/>
  <c r="B13" i="18"/>
  <c r="D12" i="18"/>
  <c r="W44" i="15"/>
  <c r="W44" i="18" s="1"/>
  <c r="W44" i="20" s="1"/>
  <c r="J10" i="14"/>
  <c r="J43" i="14"/>
  <c r="AB15" i="97"/>
  <c r="E10" i="26"/>
  <c r="E9" i="29" s="1"/>
  <c r="F11" i="18"/>
  <c r="F11" i="15"/>
  <c r="S11" i="15" s="1"/>
  <c r="F11" i="20"/>
  <c r="K38" i="25"/>
  <c r="X11" i="22"/>
  <c r="L31" i="27" s="1"/>
  <c r="S32" i="32" s="1"/>
  <c r="K36" i="97" s="1"/>
  <c r="AG14" i="97"/>
  <c r="J9" i="26"/>
  <c r="J8" i="29" s="1"/>
  <c r="G9" i="25"/>
  <c r="D45" i="15"/>
  <c r="D45" i="18"/>
  <c r="D45" i="20"/>
  <c r="G44" i="15"/>
  <c r="G44" i="18"/>
  <c r="G44" i="20"/>
  <c r="Q12" i="15"/>
  <c r="D11" i="14"/>
  <c r="I51" i="22"/>
  <c r="I38" i="22" s="1"/>
  <c r="I25" i="22" s="1"/>
  <c r="AF14" i="97"/>
  <c r="I9" i="26"/>
  <c r="I8" i="29" s="1"/>
  <c r="T11" i="18"/>
  <c r="T11" i="20" s="1"/>
  <c r="H6" i="27" s="1"/>
  <c r="O7" i="32" s="1"/>
  <c r="G11" i="97" s="1"/>
  <c r="B12" i="14"/>
  <c r="O13" i="15"/>
  <c r="V44" i="15"/>
  <c r="V44" i="18" s="1"/>
  <c r="V44" i="20" s="1"/>
  <c r="I10" i="14"/>
  <c r="I43" i="14"/>
  <c r="AC15" i="97"/>
  <c r="F10" i="26"/>
  <c r="F9" i="29" s="1"/>
  <c r="P46" i="15"/>
  <c r="P46" i="18" s="1"/>
  <c r="P46" i="20" s="1"/>
  <c r="X10" i="18"/>
  <c r="X10" i="20" s="1"/>
  <c r="L5" i="27" s="1"/>
  <c r="S6" i="32" s="1"/>
  <c r="K10" i="97" s="1"/>
  <c r="C12" i="15"/>
  <c r="C12" i="17" s="1"/>
  <c r="C45" i="17" s="1"/>
  <c r="C45" i="14"/>
  <c r="E11" i="15"/>
  <c r="R11" i="15" s="1"/>
  <c r="E11" i="18"/>
  <c r="E11" i="20"/>
  <c r="H9" i="25"/>
  <c r="R45" i="15"/>
  <c r="R45" i="18" s="1"/>
  <c r="R45" i="20" s="1"/>
  <c r="E44" i="14"/>
  <c r="K50" i="22"/>
  <c r="K37" i="22" s="1"/>
  <c r="K24" i="22" s="1"/>
  <c r="K62" i="22" s="1"/>
  <c r="Z16" i="97"/>
  <c r="C11" i="26"/>
  <c r="C10" i="29" s="1"/>
  <c r="K8" i="25"/>
  <c r="K26" i="25"/>
  <c r="B11" i="29"/>
  <c r="L12" i="26"/>
  <c r="B46" i="15"/>
  <c r="B46" i="18"/>
  <c r="B46" i="20"/>
  <c r="H44" i="15"/>
  <c r="H44" i="18"/>
  <c r="H44" i="20"/>
  <c r="S45" i="15"/>
  <c r="S45" i="18" s="1"/>
  <c r="S45" i="20" s="1"/>
  <c r="F44" i="14"/>
  <c r="J51" i="22"/>
  <c r="J38" i="22" s="1"/>
  <c r="J25" i="22" s="1"/>
  <c r="U11" i="18"/>
  <c r="U11" i="20" s="1"/>
  <c r="I6" i="27" s="1"/>
  <c r="P7" i="32" s="1"/>
  <c r="H11" i="97" s="1"/>
  <c r="X43" i="15"/>
  <c r="X43" i="18" s="1"/>
  <c r="X43" i="20" s="1"/>
  <c r="K9" i="14"/>
  <c r="K42" i="14"/>
  <c r="O13" i="18" l="1"/>
  <c r="O13" i="20" s="1"/>
  <c r="C8" i="27" s="1"/>
  <c r="J9" i="32" s="1"/>
  <c r="B13" i="97" s="1"/>
  <c r="C12" i="20"/>
  <c r="C12" i="18"/>
  <c r="Q12" i="18"/>
  <c r="Q12" i="20" s="1"/>
  <c r="E7" i="27" s="1"/>
  <c r="L8" i="32" s="1"/>
  <c r="D12" i="97" s="1"/>
  <c r="J63" i="22"/>
  <c r="J12" i="22"/>
  <c r="I63" i="22"/>
  <c r="I12" i="22"/>
  <c r="K42" i="18"/>
  <c r="K42" i="15"/>
  <c r="K42" i="20"/>
  <c r="E44" i="15"/>
  <c r="E44" i="18"/>
  <c r="E44" i="20"/>
  <c r="AE14" i="97"/>
  <c r="H9" i="26"/>
  <c r="H8" i="29" s="1"/>
  <c r="P12" i="15"/>
  <c r="C11" i="14"/>
  <c r="AD14" i="97"/>
  <c r="G9" i="26"/>
  <c r="G8" i="29" s="1"/>
  <c r="C45" i="15"/>
  <c r="C45" i="18"/>
  <c r="C45" i="20"/>
  <c r="S11" i="18"/>
  <c r="S11" i="20" s="1"/>
  <c r="G6" i="27" s="1"/>
  <c r="N7" i="32" s="1"/>
  <c r="F11" i="97" s="1"/>
  <c r="K9" i="18"/>
  <c r="K9" i="15"/>
  <c r="X9" i="15" s="1"/>
  <c r="K9" i="20"/>
  <c r="H51" i="22"/>
  <c r="H38" i="22" s="1"/>
  <c r="H25" i="22" s="1"/>
  <c r="H63" i="22" s="1"/>
  <c r="K26" i="26"/>
  <c r="K25" i="29" s="1"/>
  <c r="AH31" i="97"/>
  <c r="B12" i="15"/>
  <c r="B12" i="17" s="1"/>
  <c r="B45" i="17" s="1"/>
  <c r="B45" i="14"/>
  <c r="AA15" i="97"/>
  <c r="D10" i="26"/>
  <c r="D9" i="29" s="1"/>
  <c r="U44" i="15"/>
  <c r="U44" i="18" s="1"/>
  <c r="U44" i="20" s="1"/>
  <c r="H10" i="14"/>
  <c r="H43" i="14"/>
  <c r="K11" i="22"/>
  <c r="E9" i="25"/>
  <c r="G51" i="22"/>
  <c r="G38" i="22" s="1"/>
  <c r="G25" i="22" s="1"/>
  <c r="R11" i="18"/>
  <c r="R11" i="20" s="1"/>
  <c r="F6" i="27" s="1"/>
  <c r="M7" i="32" s="1"/>
  <c r="E11" i="97" s="1"/>
  <c r="AH13" i="97"/>
  <c r="K8" i="26"/>
  <c r="K7" i="29" s="1"/>
  <c r="I43" i="15"/>
  <c r="I43" i="18"/>
  <c r="I43" i="20"/>
  <c r="T44" i="15"/>
  <c r="T44" i="18" s="1"/>
  <c r="T44" i="20" s="1"/>
  <c r="G10" i="14"/>
  <c r="G43" i="14"/>
  <c r="I10" i="15"/>
  <c r="V10" i="15" s="1"/>
  <c r="I10" i="18"/>
  <c r="I10" i="20"/>
  <c r="D11" i="15"/>
  <c r="Q11" i="15" s="1"/>
  <c r="D11" i="18"/>
  <c r="D11" i="20"/>
  <c r="AH43" i="97"/>
  <c r="K38" i="26"/>
  <c r="K37" i="29" s="1"/>
  <c r="J43" i="15"/>
  <c r="J43" i="18"/>
  <c r="J43" i="20"/>
  <c r="O46" i="15"/>
  <c r="O46" i="18" s="1"/>
  <c r="O46" i="20" s="1"/>
  <c r="C10" i="25"/>
  <c r="F9" i="25"/>
  <c r="J10" i="15"/>
  <c r="W10" i="15" s="1"/>
  <c r="J10" i="18"/>
  <c r="J10" i="20"/>
  <c r="K37" i="25"/>
  <c r="X10" i="22"/>
  <c r="L30" i="27" s="1"/>
  <c r="S31" i="32" s="1"/>
  <c r="K35" i="97" s="1"/>
  <c r="F44" i="15"/>
  <c r="F44" i="18"/>
  <c r="F44" i="20"/>
  <c r="Y16" i="97"/>
  <c r="B11" i="26"/>
  <c r="Q45" i="15"/>
  <c r="Q45" i="18" s="1"/>
  <c r="Q45" i="20" s="1"/>
  <c r="D44" i="14"/>
  <c r="P12" i="18" l="1"/>
  <c r="P12" i="20" s="1"/>
  <c r="D7" i="27" s="1"/>
  <c r="K8" i="32" s="1"/>
  <c r="C12" i="97" s="1"/>
  <c r="B12" i="18"/>
  <c r="B12" i="20"/>
  <c r="B10" i="25" s="1"/>
  <c r="G63" i="22"/>
  <c r="G12" i="22"/>
  <c r="AC14" i="97"/>
  <c r="F9" i="26"/>
  <c r="F8" i="29" s="1"/>
  <c r="S44" i="15"/>
  <c r="S44" i="18" s="1"/>
  <c r="S44" i="20" s="1"/>
  <c r="F10" i="14"/>
  <c r="F43" i="14"/>
  <c r="W43" i="15"/>
  <c r="W43" i="18" s="1"/>
  <c r="W43" i="20" s="1"/>
  <c r="J9" i="14"/>
  <c r="J42" i="14"/>
  <c r="V10" i="18"/>
  <c r="V10" i="20" s="1"/>
  <c r="J5" i="27" s="1"/>
  <c r="Q6" i="32" s="1"/>
  <c r="I10" i="97" s="1"/>
  <c r="V43" i="15"/>
  <c r="V43" i="18" s="1"/>
  <c r="V43" i="20" s="1"/>
  <c r="I9" i="14"/>
  <c r="I42" i="14"/>
  <c r="H12" i="22"/>
  <c r="C11" i="15"/>
  <c r="P11" i="15" s="1"/>
  <c r="C11" i="18"/>
  <c r="C11" i="20"/>
  <c r="H43" i="15"/>
  <c r="H43" i="18"/>
  <c r="H43" i="20"/>
  <c r="B45" i="15"/>
  <c r="B45" i="20"/>
  <c r="B45" i="18"/>
  <c r="K25" i="25"/>
  <c r="AH42" i="97"/>
  <c r="K37" i="26"/>
  <c r="K36" i="29" s="1"/>
  <c r="Z15" i="97"/>
  <c r="C10" i="26"/>
  <c r="C9" i="29" s="1"/>
  <c r="G43" i="15"/>
  <c r="G43" i="18"/>
  <c r="G43" i="20"/>
  <c r="H10" i="15"/>
  <c r="U10" i="15" s="1"/>
  <c r="H10" i="18"/>
  <c r="H10" i="20"/>
  <c r="X42" i="15"/>
  <c r="X42" i="18" s="1"/>
  <c r="X42" i="20" s="1"/>
  <c r="L20" i="27" s="1"/>
  <c r="S21" i="32" s="1"/>
  <c r="K25" i="97" s="1"/>
  <c r="K8" i="14"/>
  <c r="K41" i="14"/>
  <c r="G10" i="15"/>
  <c r="T10" i="15" s="1"/>
  <c r="G10" i="18"/>
  <c r="G10" i="20"/>
  <c r="O12" i="15"/>
  <c r="B11" i="14"/>
  <c r="K7" i="25"/>
  <c r="K49" i="22"/>
  <c r="K36" i="22" s="1"/>
  <c r="K23" i="22" s="1"/>
  <c r="J8" i="25"/>
  <c r="D44" i="15"/>
  <c r="D44" i="18"/>
  <c r="D44" i="20"/>
  <c r="B10" i="29"/>
  <c r="L11" i="26"/>
  <c r="W10" i="18"/>
  <c r="W10" i="20" s="1"/>
  <c r="K5" i="27" s="1"/>
  <c r="R6" i="32" s="1"/>
  <c r="J10" i="97" s="1"/>
  <c r="D9" i="25"/>
  <c r="Q11" i="18"/>
  <c r="Q11" i="20" s="1"/>
  <c r="E6" i="27" s="1"/>
  <c r="L7" i="32" s="1"/>
  <c r="D11" i="97" s="1"/>
  <c r="X9" i="18"/>
  <c r="X9" i="20" s="1"/>
  <c r="L4" i="27" s="1"/>
  <c r="S5" i="32" s="1"/>
  <c r="K9" i="97" s="1"/>
  <c r="P45" i="15"/>
  <c r="P45" i="18" s="1"/>
  <c r="P45" i="20" s="1"/>
  <c r="C44" i="14"/>
  <c r="I38" i="25"/>
  <c r="V11" i="22"/>
  <c r="J31" i="27" s="1"/>
  <c r="Q32" i="32" s="1"/>
  <c r="I36" i="97" s="1"/>
  <c r="J26" i="25"/>
  <c r="I26" i="25"/>
  <c r="E51" i="22"/>
  <c r="E38" i="22" s="1"/>
  <c r="E25" i="22" s="1"/>
  <c r="F51" i="22"/>
  <c r="F38" i="22" s="1"/>
  <c r="F25" i="22" s="1"/>
  <c r="J50" i="22"/>
  <c r="J37" i="22" s="1"/>
  <c r="J24" i="22" s="1"/>
  <c r="I8" i="25"/>
  <c r="I50" i="22"/>
  <c r="I37" i="22" s="1"/>
  <c r="I24" i="22" s="1"/>
  <c r="AB14" i="97"/>
  <c r="E9" i="26"/>
  <c r="E8" i="29" s="1"/>
  <c r="H38" i="25"/>
  <c r="U11" i="22"/>
  <c r="I31" i="27" s="1"/>
  <c r="P32" i="32" s="1"/>
  <c r="H36" i="97" s="1"/>
  <c r="R44" i="15"/>
  <c r="R44" i="18" s="1"/>
  <c r="R44" i="20" s="1"/>
  <c r="E10" i="14"/>
  <c r="E43" i="14"/>
  <c r="J38" i="25"/>
  <c r="W11" i="22"/>
  <c r="K31" i="27" s="1"/>
  <c r="R32" i="32" s="1"/>
  <c r="J36" i="97" s="1"/>
  <c r="O12" i="18" l="1"/>
  <c r="O12" i="20" s="1"/>
  <c r="C7" i="27" s="1"/>
  <c r="J8" i="32" s="1"/>
  <c r="B12" i="97" s="1"/>
  <c r="J62" i="22"/>
  <c r="J11" i="22"/>
  <c r="K61" i="22"/>
  <c r="K10" i="22"/>
  <c r="F63" i="22"/>
  <c r="F12" i="22"/>
  <c r="I62" i="22"/>
  <c r="I11" i="22"/>
  <c r="E63" i="22"/>
  <c r="E12" i="22"/>
  <c r="G26" i="25"/>
  <c r="K25" i="26"/>
  <c r="K24" i="29" s="1"/>
  <c r="AH30" i="97"/>
  <c r="P11" i="18"/>
  <c r="P11" i="20" s="1"/>
  <c r="D6" i="27" s="1"/>
  <c r="K7" i="32" s="1"/>
  <c r="C11" i="97" s="1"/>
  <c r="F43" i="15"/>
  <c r="F43" i="18"/>
  <c r="F43" i="20"/>
  <c r="AF43" i="97"/>
  <c r="I38" i="26"/>
  <c r="I37" i="29" s="1"/>
  <c r="F10" i="15"/>
  <c r="S10" i="15" s="1"/>
  <c r="F10" i="18"/>
  <c r="F10" i="20"/>
  <c r="AE43" i="97"/>
  <c r="H38" i="26"/>
  <c r="H37" i="29" s="1"/>
  <c r="AA14" i="97"/>
  <c r="D9" i="26"/>
  <c r="D8" i="29" s="1"/>
  <c r="G8" i="25"/>
  <c r="T43" i="15"/>
  <c r="T43" i="18" s="1"/>
  <c r="T43" i="20" s="1"/>
  <c r="G9" i="14"/>
  <c r="G42" i="14"/>
  <c r="AF13" i="97"/>
  <c r="I8" i="26"/>
  <c r="I7" i="29" s="1"/>
  <c r="C44" i="15"/>
  <c r="C44" i="18"/>
  <c r="C44" i="20"/>
  <c r="D51" i="22"/>
  <c r="D38" i="22" s="1"/>
  <c r="D25" i="22" s="1"/>
  <c r="T10" i="18"/>
  <c r="T10" i="20" s="1"/>
  <c r="H5" i="27" s="1"/>
  <c r="O6" i="32" s="1"/>
  <c r="G10" i="97" s="1"/>
  <c r="O45" i="15"/>
  <c r="O45" i="18" s="1"/>
  <c r="O45" i="20" s="1"/>
  <c r="B44" i="14"/>
  <c r="AG43" i="97"/>
  <c r="J38" i="26"/>
  <c r="J37" i="29" s="1"/>
  <c r="H26" i="25"/>
  <c r="Y15" i="97"/>
  <c r="B10" i="26"/>
  <c r="G50" i="22"/>
  <c r="G37" i="22" s="1"/>
  <c r="G24" i="22" s="1"/>
  <c r="I26" i="26"/>
  <c r="I25" i="29" s="1"/>
  <c r="AF31" i="97"/>
  <c r="Q44" i="15"/>
  <c r="Q44" i="18" s="1"/>
  <c r="Q44" i="20" s="1"/>
  <c r="D10" i="14"/>
  <c r="D43" i="14"/>
  <c r="E43" i="15"/>
  <c r="E43" i="18"/>
  <c r="E43" i="20"/>
  <c r="K41" i="15"/>
  <c r="K41" i="17" s="1"/>
  <c r="K41" i="18" s="1"/>
  <c r="H8" i="25"/>
  <c r="H50" i="22"/>
  <c r="H37" i="22" s="1"/>
  <c r="H24" i="22" s="1"/>
  <c r="I42" i="15"/>
  <c r="I42" i="18"/>
  <c r="I42" i="20"/>
  <c r="J42" i="15"/>
  <c r="J42" i="18"/>
  <c r="J42" i="20"/>
  <c r="E10" i="15"/>
  <c r="R10" i="15" s="1"/>
  <c r="E10" i="18"/>
  <c r="E10" i="20"/>
  <c r="J26" i="26"/>
  <c r="J25" i="29" s="1"/>
  <c r="AG31" i="97"/>
  <c r="AG13" i="97"/>
  <c r="J8" i="26"/>
  <c r="J7" i="29" s="1"/>
  <c r="AH12" i="97"/>
  <c r="K7" i="26"/>
  <c r="K6" i="29" s="1"/>
  <c r="K8" i="15"/>
  <c r="U10" i="18"/>
  <c r="U10" i="20" s="1"/>
  <c r="I5" i="27" s="1"/>
  <c r="P6" i="32" s="1"/>
  <c r="H10" i="97" s="1"/>
  <c r="U43" i="15"/>
  <c r="U43" i="18" s="1"/>
  <c r="U43" i="20" s="1"/>
  <c r="H9" i="14"/>
  <c r="H42" i="14"/>
  <c r="I9" i="15"/>
  <c r="V9" i="15" s="1"/>
  <c r="I9" i="18"/>
  <c r="I9" i="20"/>
  <c r="J9" i="15"/>
  <c r="W9" i="15" s="1"/>
  <c r="J9" i="18"/>
  <c r="J9" i="20"/>
  <c r="B11" i="15"/>
  <c r="O11" i="15" s="1"/>
  <c r="B11" i="18"/>
  <c r="B11" i="20"/>
  <c r="C9" i="25"/>
  <c r="G38" i="25"/>
  <c r="T11" i="22"/>
  <c r="H31" i="27" s="1"/>
  <c r="O32" i="32" s="1"/>
  <c r="G36" i="97" s="1"/>
  <c r="K41" i="20" l="1"/>
  <c r="K24" i="25" s="1"/>
  <c r="X8" i="15"/>
  <c r="K8" i="17"/>
  <c r="G62" i="22"/>
  <c r="G11" i="22"/>
  <c r="H62" i="22"/>
  <c r="H11" i="22"/>
  <c r="D63" i="22"/>
  <c r="D12" i="22"/>
  <c r="E8" i="25"/>
  <c r="I49" i="22"/>
  <c r="I36" i="22" s="1"/>
  <c r="I23" i="22" s="1"/>
  <c r="AE13" i="97"/>
  <c r="H8" i="26"/>
  <c r="H7" i="29" s="1"/>
  <c r="D10" i="15"/>
  <c r="Q10" i="15" s="1"/>
  <c r="D10" i="18"/>
  <c r="D10" i="20"/>
  <c r="B44" i="15"/>
  <c r="B44" i="18"/>
  <c r="B44" i="20"/>
  <c r="R10" i="18"/>
  <c r="R10" i="20" s="1"/>
  <c r="F5" i="27" s="1"/>
  <c r="M6" i="32" s="1"/>
  <c r="E10" i="97" s="1"/>
  <c r="V42" i="15"/>
  <c r="V42" i="18" s="1"/>
  <c r="V42" i="20" s="1"/>
  <c r="J20" i="27" s="1"/>
  <c r="Q21" i="32" s="1"/>
  <c r="I25" i="97" s="1"/>
  <c r="I8" i="14"/>
  <c r="I41" i="14"/>
  <c r="I37" i="25"/>
  <c r="V10" i="22"/>
  <c r="J30" i="27" s="1"/>
  <c r="Q31" i="32" s="1"/>
  <c r="I35" i="97" s="1"/>
  <c r="J7" i="25"/>
  <c r="K48" i="22"/>
  <c r="K35" i="22" s="1"/>
  <c r="K22" i="22" s="1"/>
  <c r="B9" i="29"/>
  <c r="L10" i="26"/>
  <c r="F26" i="25"/>
  <c r="AD43" i="97"/>
  <c r="G38" i="26"/>
  <c r="G37" i="29" s="1"/>
  <c r="X41" i="15"/>
  <c r="X41" i="18" s="1"/>
  <c r="K7" i="14"/>
  <c r="K40" i="14"/>
  <c r="G42" i="15"/>
  <c r="G42" i="18"/>
  <c r="G42" i="20"/>
  <c r="F50" i="22"/>
  <c r="F37" i="22" s="1"/>
  <c r="F24" i="22" s="1"/>
  <c r="F38" i="25"/>
  <c r="S11" i="22"/>
  <c r="G31" i="27" s="1"/>
  <c r="N32" i="32" s="1"/>
  <c r="F36" i="97" s="1"/>
  <c r="H9" i="18"/>
  <c r="H9" i="15"/>
  <c r="U9" i="15" s="1"/>
  <c r="H9" i="20"/>
  <c r="W9" i="18"/>
  <c r="W9" i="20" s="1"/>
  <c r="K4" i="27" s="1"/>
  <c r="R5" i="32" s="1"/>
  <c r="J9" i="97" s="1"/>
  <c r="J25" i="25"/>
  <c r="E26" i="25"/>
  <c r="G9" i="15"/>
  <c r="T9" i="15" s="1"/>
  <c r="G9" i="18"/>
  <c r="G9" i="20"/>
  <c r="S43" i="15"/>
  <c r="S43" i="18" s="1"/>
  <c r="S43" i="20" s="1"/>
  <c r="F9" i="14"/>
  <c r="F42" i="14"/>
  <c r="E50" i="22"/>
  <c r="E37" i="22" s="1"/>
  <c r="E24" i="22" s="1"/>
  <c r="H26" i="26"/>
  <c r="H25" i="29" s="1"/>
  <c r="AE31" i="97"/>
  <c r="F8" i="25"/>
  <c r="G26" i="26"/>
  <c r="G25" i="29" s="1"/>
  <c r="AD31" i="97"/>
  <c r="K36" i="25"/>
  <c r="X9" i="22"/>
  <c r="L29" i="27" s="1"/>
  <c r="S30" i="32" s="1"/>
  <c r="K34" i="97" s="1"/>
  <c r="I7" i="25"/>
  <c r="Z14" i="97"/>
  <c r="C9" i="26"/>
  <c r="C8" i="29" s="1"/>
  <c r="B9" i="25"/>
  <c r="C51" i="22"/>
  <c r="C38" i="22" s="1"/>
  <c r="C25" i="22" s="1"/>
  <c r="S10" i="18"/>
  <c r="S10" i="20" s="1"/>
  <c r="G5" i="27" s="1"/>
  <c r="N6" i="32" s="1"/>
  <c r="F10" i="97" s="1"/>
  <c r="V9" i="18"/>
  <c r="V9" i="20" s="1"/>
  <c r="J4" i="27" s="1"/>
  <c r="Q5" i="32" s="1"/>
  <c r="I9" i="97" s="1"/>
  <c r="J49" i="22"/>
  <c r="J36" i="22" s="1"/>
  <c r="J23" i="22" s="1"/>
  <c r="J61" i="22" s="1"/>
  <c r="W42" i="15"/>
  <c r="W42" i="18" s="1"/>
  <c r="W42" i="20" s="1"/>
  <c r="K20" i="27" s="1"/>
  <c r="R21" i="32" s="1"/>
  <c r="J25" i="97" s="1"/>
  <c r="J8" i="14"/>
  <c r="J41" i="14"/>
  <c r="R43" i="15"/>
  <c r="R43" i="18" s="1"/>
  <c r="R43" i="20" s="1"/>
  <c r="E9" i="14"/>
  <c r="E42" i="14"/>
  <c r="O11" i="18"/>
  <c r="O11" i="20" s="1"/>
  <c r="C6" i="27" s="1"/>
  <c r="J7" i="32" s="1"/>
  <c r="B11" i="97" s="1"/>
  <c r="H42" i="15"/>
  <c r="H42" i="18"/>
  <c r="H42" i="20"/>
  <c r="I25" i="25"/>
  <c r="D43" i="15"/>
  <c r="D43" i="18"/>
  <c r="D43" i="20"/>
  <c r="P44" i="15"/>
  <c r="P44" i="18" s="1"/>
  <c r="P44" i="20" s="1"/>
  <c r="C10" i="14"/>
  <c r="C43" i="14"/>
  <c r="AD13" i="97"/>
  <c r="G8" i="26"/>
  <c r="G7" i="29" s="1"/>
  <c r="E38" i="25"/>
  <c r="R11" i="22"/>
  <c r="F31" i="27" s="1"/>
  <c r="M32" i="32" s="1"/>
  <c r="E36" i="97" s="1"/>
  <c r="J37" i="25"/>
  <c r="W10" i="22"/>
  <c r="K30" i="27" s="1"/>
  <c r="R31" i="32" s="1"/>
  <c r="J35" i="97" s="1"/>
  <c r="X41" i="20" l="1"/>
  <c r="L19" i="27" s="1"/>
  <c r="S20" i="32" s="1"/>
  <c r="K24" i="97" s="1"/>
  <c r="K8" i="18"/>
  <c r="X8" i="18" s="1"/>
  <c r="K8" i="20"/>
  <c r="I61" i="22"/>
  <c r="I10" i="22"/>
  <c r="F62" i="22"/>
  <c r="F11" i="22"/>
  <c r="E62" i="22"/>
  <c r="E11" i="22"/>
  <c r="C63" i="22"/>
  <c r="C12" i="22"/>
  <c r="K60" i="22"/>
  <c r="K9" i="22"/>
  <c r="AG42" i="97"/>
  <c r="J37" i="26"/>
  <c r="J36" i="29" s="1"/>
  <c r="G49" i="22"/>
  <c r="G36" i="22" s="1"/>
  <c r="G23" i="22" s="1"/>
  <c r="F26" i="26"/>
  <c r="F25" i="29" s="1"/>
  <c r="AC31" i="97"/>
  <c r="D26" i="25"/>
  <c r="H49" i="22"/>
  <c r="H36" i="22" s="1"/>
  <c r="H23" i="22" s="1"/>
  <c r="E9" i="18"/>
  <c r="E9" i="20"/>
  <c r="E9" i="15"/>
  <c r="R9" i="15" s="1"/>
  <c r="J10" i="22"/>
  <c r="AH41" i="97"/>
  <c r="K36" i="26"/>
  <c r="K35" i="29" s="1"/>
  <c r="G7" i="25"/>
  <c r="AC43" i="97"/>
  <c r="F38" i="26"/>
  <c r="F37" i="29" s="1"/>
  <c r="T42" i="15"/>
  <c r="T42" i="18" s="1"/>
  <c r="T42" i="20" s="1"/>
  <c r="H20" i="27" s="1"/>
  <c r="O21" i="32" s="1"/>
  <c r="G25" i="97" s="1"/>
  <c r="G8" i="14"/>
  <c r="G41" i="14"/>
  <c r="AG12" i="97"/>
  <c r="J7" i="26"/>
  <c r="J6" i="29" s="1"/>
  <c r="AB13" i="97"/>
  <c r="E8" i="26"/>
  <c r="E7" i="29" s="1"/>
  <c r="J36" i="25"/>
  <c r="W9" i="22"/>
  <c r="K29" i="27" s="1"/>
  <c r="R30" i="32" s="1"/>
  <c r="J34" i="97" s="1"/>
  <c r="AB43" i="97"/>
  <c r="E38" i="26"/>
  <c r="E37" i="29" s="1"/>
  <c r="D50" i="22"/>
  <c r="D37" i="22" s="1"/>
  <c r="D24" i="22" s="1"/>
  <c r="U42" i="15"/>
  <c r="U42" i="18" s="1"/>
  <c r="U42" i="20" s="1"/>
  <c r="I20" i="27" s="1"/>
  <c r="P21" i="32" s="1"/>
  <c r="H25" i="97" s="1"/>
  <c r="H8" i="14"/>
  <c r="H41" i="14"/>
  <c r="T9" i="18"/>
  <c r="T9" i="20" s="1"/>
  <c r="H4" i="27" s="1"/>
  <c r="O5" i="32" s="1"/>
  <c r="G9" i="97" s="1"/>
  <c r="K40" i="15"/>
  <c r="K40" i="17" s="1"/>
  <c r="K40" i="20" s="1"/>
  <c r="H25" i="25"/>
  <c r="J41" i="15"/>
  <c r="J41" i="17" s="1"/>
  <c r="J41" i="18" s="1"/>
  <c r="K7" i="15"/>
  <c r="AF42" i="97"/>
  <c r="I37" i="26"/>
  <c r="I36" i="29" s="1"/>
  <c r="D38" i="25"/>
  <c r="Q11" i="22"/>
  <c r="E31" i="27" s="1"/>
  <c r="L32" i="32" s="1"/>
  <c r="D36" i="97" s="1"/>
  <c r="E42" i="15"/>
  <c r="E42" i="18"/>
  <c r="E42" i="20"/>
  <c r="Q43" i="15"/>
  <c r="Q43" i="18" s="1"/>
  <c r="Q43" i="20" s="1"/>
  <c r="D9" i="14"/>
  <c r="D42" i="14"/>
  <c r="J8" i="15"/>
  <c r="B51" i="22"/>
  <c r="B38" i="22" s="1"/>
  <c r="B25" i="22" s="1"/>
  <c r="Y14" i="97"/>
  <c r="B9" i="26"/>
  <c r="C43" i="15"/>
  <c r="C43" i="18"/>
  <c r="C43" i="20"/>
  <c r="I25" i="26"/>
  <c r="I24" i="29" s="1"/>
  <c r="AF30" i="97"/>
  <c r="AC13" i="97"/>
  <c r="F8" i="26"/>
  <c r="F7" i="29" s="1"/>
  <c r="E26" i="26"/>
  <c r="E25" i="29" s="1"/>
  <c r="AB31" i="97"/>
  <c r="H7" i="25"/>
  <c r="K24" i="26"/>
  <c r="K23" i="29" s="1"/>
  <c r="AH29" i="97"/>
  <c r="O44" i="15"/>
  <c r="O44" i="18" s="1"/>
  <c r="O44" i="20" s="1"/>
  <c r="B10" i="14"/>
  <c r="B43" i="14"/>
  <c r="H37" i="25"/>
  <c r="U10" i="22"/>
  <c r="I30" i="27" s="1"/>
  <c r="P31" i="32" s="1"/>
  <c r="H35" i="97" s="1"/>
  <c r="C10" i="15"/>
  <c r="P10" i="15" s="1"/>
  <c r="C10" i="18"/>
  <c r="C10" i="20"/>
  <c r="F42" i="15"/>
  <c r="F42" i="18"/>
  <c r="F42" i="20"/>
  <c r="I41" i="15"/>
  <c r="I41" i="17" s="1"/>
  <c r="I41" i="18" s="1"/>
  <c r="D8" i="25"/>
  <c r="AF12" i="97"/>
  <c r="I7" i="26"/>
  <c r="I6" i="29" s="1"/>
  <c r="F9" i="15"/>
  <c r="S9" i="15" s="1"/>
  <c r="F9" i="18"/>
  <c r="F9" i="20"/>
  <c r="J25" i="26"/>
  <c r="J24" i="29" s="1"/>
  <c r="AG30" i="97"/>
  <c r="U9" i="18"/>
  <c r="U9" i="20" s="1"/>
  <c r="I4" i="27" s="1"/>
  <c r="P5" i="32" s="1"/>
  <c r="H9" i="97" s="1"/>
  <c r="G25" i="25"/>
  <c r="I8" i="15"/>
  <c r="Q10" i="18"/>
  <c r="Q10" i="20" s="1"/>
  <c r="E5" i="27" s="1"/>
  <c r="L6" i="32" s="1"/>
  <c r="D10" i="97" s="1"/>
  <c r="G37" i="25"/>
  <c r="T10" i="22"/>
  <c r="H30" i="27" s="1"/>
  <c r="O31" i="32" s="1"/>
  <c r="G35" i="97" s="1"/>
  <c r="J41" i="20" l="1"/>
  <c r="J24" i="25" s="1"/>
  <c r="W8" i="15"/>
  <c r="J8" i="17"/>
  <c r="K40" i="18"/>
  <c r="V8" i="15"/>
  <c r="I8" i="17"/>
  <c r="I41" i="20"/>
  <c r="I24" i="25" s="1"/>
  <c r="X7" i="15"/>
  <c r="K7" i="17"/>
  <c r="K6" i="25"/>
  <c r="X8" i="20"/>
  <c r="L3" i="27" s="1"/>
  <c r="S4" i="32" s="1"/>
  <c r="K8" i="97" s="1"/>
  <c r="B63" i="22"/>
  <c r="B12" i="22"/>
  <c r="D62" i="22"/>
  <c r="D11" i="22"/>
  <c r="G61" i="22"/>
  <c r="G10" i="22"/>
  <c r="H61" i="22"/>
  <c r="H10" i="22"/>
  <c r="G25" i="26"/>
  <c r="G24" i="29" s="1"/>
  <c r="AD30" i="97"/>
  <c r="S9" i="18"/>
  <c r="V41" i="15"/>
  <c r="V41" i="18" s="1"/>
  <c r="I7" i="14"/>
  <c r="I40" i="14"/>
  <c r="AE42" i="97"/>
  <c r="H37" i="26"/>
  <c r="H36" i="29" s="1"/>
  <c r="AE12" i="97"/>
  <c r="H7" i="26"/>
  <c r="H6" i="29" s="1"/>
  <c r="C50" i="22"/>
  <c r="C37" i="22" s="1"/>
  <c r="C24" i="22" s="1"/>
  <c r="C62" i="22" s="1"/>
  <c r="E49" i="22"/>
  <c r="E36" i="22" s="1"/>
  <c r="E23" i="22" s="1"/>
  <c r="K47" i="22"/>
  <c r="K34" i="22" s="1"/>
  <c r="K21" i="22" s="1"/>
  <c r="H8" i="15"/>
  <c r="G8" i="15"/>
  <c r="R42" i="15"/>
  <c r="R42" i="18" s="1"/>
  <c r="R42" i="20" s="1"/>
  <c r="F20" i="27" s="1"/>
  <c r="M21" i="32" s="1"/>
  <c r="E25" i="97" s="1"/>
  <c r="E8" i="14"/>
  <c r="E41" i="14"/>
  <c r="X40" i="15"/>
  <c r="K6" i="14"/>
  <c r="K39" i="14"/>
  <c r="F49" i="22"/>
  <c r="F36" i="22" s="1"/>
  <c r="F23" i="22" s="1"/>
  <c r="B10" i="15"/>
  <c r="O10" i="15" s="1"/>
  <c r="B10" i="18"/>
  <c r="B10" i="20"/>
  <c r="B8" i="29"/>
  <c r="L9" i="26"/>
  <c r="AG41" i="97"/>
  <c r="J36" i="26"/>
  <c r="J35" i="29" s="1"/>
  <c r="E7" i="25"/>
  <c r="D26" i="26"/>
  <c r="D25" i="29" s="1"/>
  <c r="AA31" i="97"/>
  <c r="C38" i="25"/>
  <c r="P11" i="22"/>
  <c r="D31" i="27" s="1"/>
  <c r="K32" i="32" s="1"/>
  <c r="C36" i="97" s="1"/>
  <c r="S42" i="15"/>
  <c r="S42" i="18" s="1"/>
  <c r="S42" i="20" s="1"/>
  <c r="G20" i="27" s="1"/>
  <c r="N21" i="32" s="1"/>
  <c r="F25" i="97" s="1"/>
  <c r="F8" i="14"/>
  <c r="F41" i="14"/>
  <c r="AA43" i="97"/>
  <c r="D38" i="26"/>
  <c r="D37" i="29" s="1"/>
  <c r="W41" i="15"/>
  <c r="W41" i="18" s="1"/>
  <c r="J7" i="14"/>
  <c r="J40" i="14"/>
  <c r="R9" i="18"/>
  <c r="R9" i="20" s="1"/>
  <c r="F4" i="27" s="1"/>
  <c r="M5" i="32" s="1"/>
  <c r="E9" i="97" s="1"/>
  <c r="E37" i="25"/>
  <c r="R10" i="22"/>
  <c r="F30" i="27" s="1"/>
  <c r="M31" i="32" s="1"/>
  <c r="E35" i="97" s="1"/>
  <c r="C8" i="25"/>
  <c r="D42" i="15"/>
  <c r="D42" i="18"/>
  <c r="D42" i="20"/>
  <c r="J48" i="22"/>
  <c r="J35" i="22" s="1"/>
  <c r="J22" i="22" s="1"/>
  <c r="AD42" i="97"/>
  <c r="G37" i="26"/>
  <c r="G36" i="29" s="1"/>
  <c r="AA13" i="97"/>
  <c r="D8" i="26"/>
  <c r="D7" i="29" s="1"/>
  <c r="D9" i="18"/>
  <c r="D9" i="15"/>
  <c r="Q9" i="15" s="1"/>
  <c r="D9" i="20"/>
  <c r="AD12" i="97"/>
  <c r="G7" i="26"/>
  <c r="G6" i="29" s="1"/>
  <c r="F37" i="25"/>
  <c r="S10" i="22"/>
  <c r="G30" i="27" s="1"/>
  <c r="N31" i="32" s="1"/>
  <c r="F35" i="97" s="1"/>
  <c r="B43" i="15"/>
  <c r="B43" i="18"/>
  <c r="B43" i="20"/>
  <c r="P43" i="15"/>
  <c r="P43" i="18" s="1"/>
  <c r="P43" i="20" s="1"/>
  <c r="C9" i="14"/>
  <c r="C42" i="14"/>
  <c r="P10" i="18"/>
  <c r="P10" i="20" s="1"/>
  <c r="D5" i="27" s="1"/>
  <c r="K6" i="32" s="1"/>
  <c r="C10" i="97" s="1"/>
  <c r="H25" i="26"/>
  <c r="H24" i="29" s="1"/>
  <c r="AE30" i="97"/>
  <c r="F25" i="25"/>
  <c r="F7" i="25"/>
  <c r="S9" i="20"/>
  <c r="G4" i="27" s="1"/>
  <c r="N5" i="32" s="1"/>
  <c r="F9" i="97" s="1"/>
  <c r="I48" i="22"/>
  <c r="I35" i="22" s="1"/>
  <c r="I22" i="22" s="1"/>
  <c r="C26" i="25"/>
  <c r="E25" i="25"/>
  <c r="K23" i="25"/>
  <c r="H41" i="15"/>
  <c r="H41" i="17" s="1"/>
  <c r="H41" i="18" s="1"/>
  <c r="G41" i="15"/>
  <c r="G41" i="17" s="1"/>
  <c r="G41" i="18" s="1"/>
  <c r="K35" i="25"/>
  <c r="X8" i="22"/>
  <c r="L28" i="27" s="1"/>
  <c r="S29" i="32" s="1"/>
  <c r="K33" i="97" s="1"/>
  <c r="I36" i="25"/>
  <c r="V9" i="22"/>
  <c r="J29" i="27" s="1"/>
  <c r="Q30" i="32" s="1"/>
  <c r="I34" i="97" s="1"/>
  <c r="V41" i="20" l="1"/>
  <c r="J19" i="27" s="1"/>
  <c r="Q20" i="32" s="1"/>
  <c r="I24" i="97" s="1"/>
  <c r="W41" i="20"/>
  <c r="K19" i="27" s="1"/>
  <c r="R20" i="32" s="1"/>
  <c r="J24" i="97" s="1"/>
  <c r="X40" i="18"/>
  <c r="X40" i="20" s="1"/>
  <c r="L18" i="27" s="1"/>
  <c r="S19" i="32" s="1"/>
  <c r="K23" i="97" s="1"/>
  <c r="G41" i="20"/>
  <c r="G24" i="25" s="1"/>
  <c r="H41" i="20"/>
  <c r="H24" i="25" s="1"/>
  <c r="T8" i="15"/>
  <c r="G8" i="17"/>
  <c r="K7" i="18"/>
  <c r="X7" i="18" s="1"/>
  <c r="K7" i="20"/>
  <c r="U8" i="15"/>
  <c r="H8" i="17"/>
  <c r="J8" i="20"/>
  <c r="J6" i="25" s="1"/>
  <c r="AG11" i="97" s="1"/>
  <c r="J8" i="18"/>
  <c r="W8" i="18" s="1"/>
  <c r="AH11" i="97"/>
  <c r="K6" i="26"/>
  <c r="K5" i="29" s="1"/>
  <c r="I8" i="18"/>
  <c r="V8" i="18" s="1"/>
  <c r="I8" i="20"/>
  <c r="I6" i="25" s="1"/>
  <c r="AF11" i="97" s="1"/>
  <c r="K59" i="22"/>
  <c r="K8" i="22"/>
  <c r="J60" i="22"/>
  <c r="J9" i="22"/>
  <c r="F61" i="22"/>
  <c r="F10" i="22"/>
  <c r="E61" i="22"/>
  <c r="E10" i="22"/>
  <c r="I60" i="22"/>
  <c r="I9" i="22"/>
  <c r="B50" i="22"/>
  <c r="B37" i="22" s="1"/>
  <c r="B24" i="22" s="1"/>
  <c r="T41" i="15"/>
  <c r="T41" i="18" s="1"/>
  <c r="G7" i="14"/>
  <c r="G40" i="14"/>
  <c r="AF29" i="97"/>
  <c r="I24" i="26"/>
  <c r="I23" i="29" s="1"/>
  <c r="O43" i="15"/>
  <c r="O43" i="18" s="1"/>
  <c r="O43" i="20" s="1"/>
  <c r="B9" i="14"/>
  <c r="B42" i="14"/>
  <c r="F8" i="15"/>
  <c r="E25" i="26"/>
  <c r="E24" i="29" s="1"/>
  <c r="AB30" i="97"/>
  <c r="D25" i="25"/>
  <c r="H36" i="25"/>
  <c r="U9" i="22"/>
  <c r="I29" i="27" s="1"/>
  <c r="P30" i="32" s="1"/>
  <c r="H34" i="97" s="1"/>
  <c r="AC12" i="97"/>
  <c r="F7" i="26"/>
  <c r="F6" i="29" s="1"/>
  <c r="AC42" i="97"/>
  <c r="F37" i="26"/>
  <c r="F36" i="29" s="1"/>
  <c r="D49" i="22"/>
  <c r="D36" i="22" s="1"/>
  <c r="D23" i="22" s="1"/>
  <c r="B8" i="25"/>
  <c r="K39" i="15"/>
  <c r="K39" i="17" s="1"/>
  <c r="K39" i="20" s="1"/>
  <c r="G48" i="22"/>
  <c r="G35" i="22" s="1"/>
  <c r="G22" i="22" s="1"/>
  <c r="C42" i="15"/>
  <c r="C42" i="18"/>
  <c r="C42" i="20"/>
  <c r="Q42" i="15"/>
  <c r="Q42" i="18" s="1"/>
  <c r="Q42" i="20" s="1"/>
  <c r="E20" i="27" s="1"/>
  <c r="L21" i="32" s="1"/>
  <c r="D25" i="97" s="1"/>
  <c r="D8" i="14"/>
  <c r="D41" i="14"/>
  <c r="AB12" i="97"/>
  <c r="E7" i="26"/>
  <c r="E6" i="29" s="1"/>
  <c r="O10" i="18"/>
  <c r="O10" i="20" s="1"/>
  <c r="C5" i="27" s="1"/>
  <c r="J6" i="32" s="1"/>
  <c r="B10" i="97" s="1"/>
  <c r="K6" i="15"/>
  <c r="G36" i="25"/>
  <c r="T9" i="22"/>
  <c r="H29" i="27" s="1"/>
  <c r="O30" i="32" s="1"/>
  <c r="G34" i="97" s="1"/>
  <c r="F25" i="26"/>
  <c r="F24" i="29" s="1"/>
  <c r="AC30" i="97"/>
  <c r="H48" i="22"/>
  <c r="H35" i="22" s="1"/>
  <c r="H22" i="22" s="1"/>
  <c r="U41" i="15"/>
  <c r="U41" i="18" s="1"/>
  <c r="H7" i="14"/>
  <c r="H40" i="14"/>
  <c r="C9" i="18"/>
  <c r="C9" i="15"/>
  <c r="P9" i="15" s="1"/>
  <c r="C9" i="20"/>
  <c r="AH40" i="97"/>
  <c r="K35" i="26"/>
  <c r="K34" i="29" s="1"/>
  <c r="K23" i="26"/>
  <c r="K22" i="29" s="1"/>
  <c r="AH28" i="97"/>
  <c r="D7" i="25"/>
  <c r="Z13" i="97"/>
  <c r="C8" i="26"/>
  <c r="C7" i="29" s="1"/>
  <c r="J40" i="15"/>
  <c r="J40" i="17" s="1"/>
  <c r="J40" i="18" s="1"/>
  <c r="Z43" i="97"/>
  <c r="C38" i="26"/>
  <c r="C37" i="29" s="1"/>
  <c r="E41" i="15"/>
  <c r="E41" i="17" s="1"/>
  <c r="E41" i="20" s="1"/>
  <c r="D37" i="25"/>
  <c r="Q10" i="22"/>
  <c r="E30" i="27" s="1"/>
  <c r="L31" i="32" s="1"/>
  <c r="D35" i="97" s="1"/>
  <c r="AF41" i="97"/>
  <c r="I36" i="26"/>
  <c r="I35" i="29" s="1"/>
  <c r="C26" i="26"/>
  <c r="C25" i="29" s="1"/>
  <c r="Z31" i="97"/>
  <c r="B26" i="25"/>
  <c r="J7" i="15"/>
  <c r="E8" i="15"/>
  <c r="C11" i="22"/>
  <c r="I40" i="15"/>
  <c r="I40" i="17" s="1"/>
  <c r="I40" i="18" s="1"/>
  <c r="Q9" i="18"/>
  <c r="Q9" i="20" s="1"/>
  <c r="E4" i="27" s="1"/>
  <c r="L5" i="32" s="1"/>
  <c r="D9" i="97" s="1"/>
  <c r="AB42" i="97"/>
  <c r="E37" i="26"/>
  <c r="E36" i="29" s="1"/>
  <c r="F41" i="15"/>
  <c r="F41" i="17" s="1"/>
  <c r="F41" i="20" s="1"/>
  <c r="J24" i="26"/>
  <c r="J23" i="29" s="1"/>
  <c r="AG29" i="97"/>
  <c r="C37" i="25"/>
  <c r="P10" i="22"/>
  <c r="D30" i="27" s="1"/>
  <c r="K31" i="32" s="1"/>
  <c r="C35" i="97" s="1"/>
  <c r="I7" i="15"/>
  <c r="B38" i="25"/>
  <c r="O11" i="22"/>
  <c r="C31" i="27" s="1"/>
  <c r="J32" i="32" s="1"/>
  <c r="B36" i="97" s="1"/>
  <c r="U41" i="20" l="1"/>
  <c r="I19" i="27" s="1"/>
  <c r="P20" i="32" s="1"/>
  <c r="H24" i="97" s="1"/>
  <c r="I6" i="26"/>
  <c r="I5" i="29" s="1"/>
  <c r="J6" i="26"/>
  <c r="J5" i="29" s="1"/>
  <c r="T41" i="20"/>
  <c r="H19" i="27" s="1"/>
  <c r="O20" i="32" s="1"/>
  <c r="G24" i="97" s="1"/>
  <c r="E41" i="18"/>
  <c r="E48" i="22" s="1"/>
  <c r="E35" i="22" s="1"/>
  <c r="E22" i="22" s="1"/>
  <c r="E60" i="22" s="1"/>
  <c r="J40" i="20"/>
  <c r="J23" i="25" s="1"/>
  <c r="I40" i="20"/>
  <c r="I23" i="25" s="1"/>
  <c r="W8" i="20"/>
  <c r="K3" i="27" s="1"/>
  <c r="R4" i="32" s="1"/>
  <c r="J8" i="97" s="1"/>
  <c r="V7" i="15"/>
  <c r="I7" i="17"/>
  <c r="F41" i="18"/>
  <c r="K39" i="18"/>
  <c r="K46" i="22" s="1"/>
  <c r="K33" i="22" s="1"/>
  <c r="K20" i="22" s="1"/>
  <c r="X7" i="20"/>
  <c r="K5" i="25"/>
  <c r="S8" i="15"/>
  <c r="F8" i="17"/>
  <c r="V8" i="20"/>
  <c r="J3" i="27" s="1"/>
  <c r="Q4" i="32" s="1"/>
  <c r="I8" i="97" s="1"/>
  <c r="R8" i="15"/>
  <c r="E8" i="17"/>
  <c r="H8" i="18"/>
  <c r="U8" i="18" s="1"/>
  <c r="H8" i="20"/>
  <c r="H6" i="25" s="1"/>
  <c r="H6" i="26" s="1"/>
  <c r="H5" i="29" s="1"/>
  <c r="G8" i="18"/>
  <c r="T8" i="18" s="1"/>
  <c r="G8" i="20"/>
  <c r="G6" i="25" s="1"/>
  <c r="AD11" i="97" s="1"/>
  <c r="W7" i="15"/>
  <c r="J7" i="17"/>
  <c r="X6" i="15"/>
  <c r="K6" i="17"/>
  <c r="D61" i="22"/>
  <c r="D10" i="22"/>
  <c r="B62" i="22"/>
  <c r="B11" i="22"/>
  <c r="G60" i="22"/>
  <c r="G9" i="22"/>
  <c r="H60" i="22"/>
  <c r="H9" i="22"/>
  <c r="C49" i="22"/>
  <c r="C36" i="22" s="1"/>
  <c r="C23" i="22" s="1"/>
  <c r="C61" i="22" s="1"/>
  <c r="B9" i="15"/>
  <c r="O9" i="15" s="1"/>
  <c r="B9" i="18"/>
  <c r="B9" i="20"/>
  <c r="F24" i="25"/>
  <c r="V40" i="15"/>
  <c r="V40" i="18" s="1"/>
  <c r="I6" i="14"/>
  <c r="I39" i="14"/>
  <c r="B26" i="26"/>
  <c r="Y31" i="97"/>
  <c r="AA42" i="97"/>
  <c r="D37" i="26"/>
  <c r="D36" i="29" s="1"/>
  <c r="R41" i="15"/>
  <c r="E7" i="14"/>
  <c r="E40" i="14"/>
  <c r="P9" i="18"/>
  <c r="P9" i="20" s="1"/>
  <c r="D4" i="27" s="1"/>
  <c r="K5" i="32" s="1"/>
  <c r="C9" i="97" s="1"/>
  <c r="P42" i="15"/>
  <c r="P42" i="18" s="1"/>
  <c r="P42" i="20" s="1"/>
  <c r="D20" i="27" s="1"/>
  <c r="K21" i="32" s="1"/>
  <c r="C25" i="97" s="1"/>
  <c r="C8" i="14"/>
  <c r="C41" i="14"/>
  <c r="X39" i="15"/>
  <c r="K5" i="14"/>
  <c r="K38" i="14"/>
  <c r="H24" i="26"/>
  <c r="H23" i="29" s="1"/>
  <c r="AE29" i="97"/>
  <c r="E36" i="25"/>
  <c r="R9" i="22"/>
  <c r="F29" i="27" s="1"/>
  <c r="M30" i="32" s="1"/>
  <c r="E34" i="97" s="1"/>
  <c r="AA12" i="97"/>
  <c r="D7" i="26"/>
  <c r="D6" i="29" s="1"/>
  <c r="H40" i="15"/>
  <c r="H40" i="17" s="1"/>
  <c r="H40" i="20" s="1"/>
  <c r="Z42" i="97"/>
  <c r="C37" i="26"/>
  <c r="C36" i="29" s="1"/>
  <c r="Y43" i="97"/>
  <c r="B38" i="26"/>
  <c r="G24" i="26"/>
  <c r="G23" i="29" s="1"/>
  <c r="AD29" i="97"/>
  <c r="H7" i="15"/>
  <c r="Y13" i="97"/>
  <c r="B8" i="26"/>
  <c r="F36" i="25"/>
  <c r="S9" i="22"/>
  <c r="G29" i="27" s="1"/>
  <c r="N30" i="32" s="1"/>
  <c r="F34" i="97" s="1"/>
  <c r="D41" i="15"/>
  <c r="D41" i="17" s="1"/>
  <c r="D41" i="18" s="1"/>
  <c r="G40" i="15"/>
  <c r="G40" i="17" s="1"/>
  <c r="G40" i="18" s="1"/>
  <c r="F48" i="22"/>
  <c r="F35" i="22" s="1"/>
  <c r="F22" i="22" s="1"/>
  <c r="W40" i="15"/>
  <c r="W40" i="18" s="1"/>
  <c r="J6" i="14"/>
  <c r="J39" i="14"/>
  <c r="AD41" i="97"/>
  <c r="G36" i="26"/>
  <c r="G35" i="29" s="1"/>
  <c r="D8" i="15"/>
  <c r="D25" i="26"/>
  <c r="D24" i="29" s="1"/>
  <c r="AA30" i="97"/>
  <c r="G7" i="15"/>
  <c r="J35" i="25"/>
  <c r="W8" i="22"/>
  <c r="K28" i="27" s="1"/>
  <c r="R29" i="32" s="1"/>
  <c r="J33" i="97" s="1"/>
  <c r="S41" i="15"/>
  <c r="F7" i="14"/>
  <c r="F40" i="14"/>
  <c r="J47" i="22"/>
  <c r="J34" i="22" s="1"/>
  <c r="J21" i="22" s="1"/>
  <c r="AE41" i="97"/>
  <c r="H36" i="26"/>
  <c r="H35" i="29" s="1"/>
  <c r="I47" i="22"/>
  <c r="I34" i="22" s="1"/>
  <c r="I21" i="22" s="1"/>
  <c r="E24" i="25"/>
  <c r="C7" i="25"/>
  <c r="C25" i="25"/>
  <c r="K22" i="25"/>
  <c r="B42" i="15"/>
  <c r="B42" i="18"/>
  <c r="B42" i="20"/>
  <c r="I35" i="25"/>
  <c r="V8" i="22"/>
  <c r="J28" i="27" s="1"/>
  <c r="Q29" i="32" s="1"/>
  <c r="I33" i="97" s="1"/>
  <c r="K34" i="25"/>
  <c r="X7" i="22"/>
  <c r="L27" i="27" s="1"/>
  <c r="S28" i="32" s="1"/>
  <c r="K32" i="97" s="1"/>
  <c r="S41" i="18" l="1"/>
  <c r="S41" i="20" s="1"/>
  <c r="G19" i="27" s="1"/>
  <c r="N20" i="32" s="1"/>
  <c r="F24" i="97" s="1"/>
  <c r="V40" i="20"/>
  <c r="J18" i="27" s="1"/>
  <c r="Q19" i="32" s="1"/>
  <c r="I23" i="97" s="1"/>
  <c r="G6" i="26"/>
  <c r="G5" i="29" s="1"/>
  <c r="R41" i="18"/>
  <c r="R41" i="20" s="1"/>
  <c r="F19" i="27" s="1"/>
  <c r="M20" i="32" s="1"/>
  <c r="E24" i="97" s="1"/>
  <c r="AE11" i="97"/>
  <c r="W40" i="20"/>
  <c r="K18" i="27" s="1"/>
  <c r="R19" i="32" s="1"/>
  <c r="J23" i="97" s="1"/>
  <c r="X39" i="18"/>
  <c r="X39" i="20" s="1"/>
  <c r="L17" i="27" s="1"/>
  <c r="S18" i="32" s="1"/>
  <c r="K22" i="97" s="1"/>
  <c r="D41" i="20"/>
  <c r="D24" i="25" s="1"/>
  <c r="G40" i="20"/>
  <c r="G23" i="25" s="1"/>
  <c r="Q8" i="15"/>
  <c r="D8" i="17"/>
  <c r="H40" i="18"/>
  <c r="H47" i="22" s="1"/>
  <c r="H34" i="22" s="1"/>
  <c r="H21" i="22" s="1"/>
  <c r="U8" i="20"/>
  <c r="I3" i="27" s="1"/>
  <c r="P4" i="32" s="1"/>
  <c r="H8" i="97" s="1"/>
  <c r="F8" i="18"/>
  <c r="S8" i="18" s="1"/>
  <c r="F8" i="20"/>
  <c r="F6" i="25" s="1"/>
  <c r="AC11" i="97" s="1"/>
  <c r="U7" i="15"/>
  <c r="H7" i="17"/>
  <c r="K6" i="18"/>
  <c r="X6" i="18" s="1"/>
  <c r="K6" i="20"/>
  <c r="K4" i="25" s="1"/>
  <c r="AH9" i="97" s="1"/>
  <c r="E8" i="18"/>
  <c r="R8" i="18" s="1"/>
  <c r="E8" i="20"/>
  <c r="T8" i="20"/>
  <c r="H3" i="27" s="1"/>
  <c r="O4" i="32" s="1"/>
  <c r="G8" i="97" s="1"/>
  <c r="AH10" i="97"/>
  <c r="K5" i="26"/>
  <c r="K4" i="29" s="1"/>
  <c r="I7" i="18"/>
  <c r="V7" i="18" s="1"/>
  <c r="I7" i="20"/>
  <c r="I5" i="25" s="1"/>
  <c r="AF10" i="97" s="1"/>
  <c r="T7" i="15"/>
  <c r="G7" i="17"/>
  <c r="J7" i="18"/>
  <c r="W7" i="18" s="1"/>
  <c r="J7" i="20"/>
  <c r="J5" i="25" s="1"/>
  <c r="J5" i="26" s="1"/>
  <c r="J4" i="29" s="1"/>
  <c r="K58" i="22"/>
  <c r="K7" i="22"/>
  <c r="F60" i="22"/>
  <c r="F9" i="22"/>
  <c r="I59" i="22"/>
  <c r="I8" i="22"/>
  <c r="J59" i="22"/>
  <c r="J8" i="22"/>
  <c r="K38" i="15"/>
  <c r="K38" i="17" s="1"/>
  <c r="K38" i="18" s="1"/>
  <c r="AC29" i="97"/>
  <c r="F24" i="26"/>
  <c r="F23" i="29" s="1"/>
  <c r="E35" i="25"/>
  <c r="R8" i="22"/>
  <c r="F28" i="27" s="1"/>
  <c r="M29" i="32" s="1"/>
  <c r="E33" i="97" s="1"/>
  <c r="B25" i="25"/>
  <c r="B49" i="22"/>
  <c r="B36" i="22" s="1"/>
  <c r="B23" i="22" s="1"/>
  <c r="C25" i="26"/>
  <c r="C24" i="29" s="1"/>
  <c r="Z30" i="97"/>
  <c r="F7" i="15"/>
  <c r="AF40" i="97"/>
  <c r="I35" i="26"/>
  <c r="I34" i="29" s="1"/>
  <c r="G47" i="22"/>
  <c r="G34" i="22" s="1"/>
  <c r="G21" i="22" s="1"/>
  <c r="J23" i="26"/>
  <c r="J22" i="29" s="1"/>
  <c r="AG28" i="97"/>
  <c r="K5" i="15"/>
  <c r="B7" i="25"/>
  <c r="H35" i="25"/>
  <c r="U8" i="22"/>
  <c r="I28" i="27" s="1"/>
  <c r="P29" i="32" s="1"/>
  <c r="H33" i="97" s="1"/>
  <c r="T40" i="15"/>
  <c r="T40" i="18" s="1"/>
  <c r="G6" i="14"/>
  <c r="G39" i="14"/>
  <c r="O9" i="18"/>
  <c r="O9" i="20" s="1"/>
  <c r="C4" i="27" s="1"/>
  <c r="J5" i="32" s="1"/>
  <c r="B9" i="97" s="1"/>
  <c r="C36" i="25"/>
  <c r="P9" i="22"/>
  <c r="D29" i="27" s="1"/>
  <c r="K30" i="32" s="1"/>
  <c r="C34" i="97" s="1"/>
  <c r="AG40" i="97"/>
  <c r="J35" i="26"/>
  <c r="J34" i="29" s="1"/>
  <c r="AC41" i="97"/>
  <c r="F36" i="26"/>
  <c r="F35" i="29" s="1"/>
  <c r="C41" i="15"/>
  <c r="C41" i="17" s="1"/>
  <c r="C41" i="18" s="1"/>
  <c r="B25" i="29"/>
  <c r="L26" i="26"/>
  <c r="G35" i="25"/>
  <c r="T8" i="22"/>
  <c r="H28" i="27" s="1"/>
  <c r="O29" i="32" s="1"/>
  <c r="G33" i="97" s="1"/>
  <c r="O42" i="15"/>
  <c r="O42" i="18" s="1"/>
  <c r="O42" i="20" s="1"/>
  <c r="C20" i="27" s="1"/>
  <c r="J21" i="32" s="1"/>
  <c r="B25" i="97" s="1"/>
  <c r="B8" i="14"/>
  <c r="B41" i="14"/>
  <c r="C8" i="15"/>
  <c r="I39" i="15"/>
  <c r="I39" i="17" s="1"/>
  <c r="I39" i="18" s="1"/>
  <c r="C10" i="22"/>
  <c r="H23" i="25"/>
  <c r="AB41" i="97"/>
  <c r="E36" i="26"/>
  <c r="E35" i="29" s="1"/>
  <c r="E40" i="15"/>
  <c r="E40" i="17" s="1"/>
  <c r="E40" i="18" s="1"/>
  <c r="I6" i="15"/>
  <c r="B37" i="25"/>
  <c r="O10" i="22"/>
  <c r="C30" i="27" s="1"/>
  <c r="J31" i="32" s="1"/>
  <c r="B35" i="97" s="1"/>
  <c r="Z12" i="97"/>
  <c r="C7" i="26"/>
  <c r="C6" i="29" s="1"/>
  <c r="K22" i="26"/>
  <c r="K21" i="29" s="1"/>
  <c r="AH27" i="97"/>
  <c r="AB29" i="97"/>
  <c r="E24" i="26"/>
  <c r="E23" i="29" s="1"/>
  <c r="I23" i="26"/>
  <c r="I22" i="29" s="1"/>
  <c r="AF28" i="97"/>
  <c r="J39" i="15"/>
  <c r="J39" i="17" s="1"/>
  <c r="J39" i="20" s="1"/>
  <c r="D48" i="22"/>
  <c r="D35" i="22" s="1"/>
  <c r="D22" i="22" s="1"/>
  <c r="B7" i="29"/>
  <c r="L8" i="26"/>
  <c r="E7" i="15"/>
  <c r="AH39" i="97"/>
  <c r="K34" i="26"/>
  <c r="K33" i="29" s="1"/>
  <c r="F40" i="15"/>
  <c r="F40" i="17" s="1"/>
  <c r="F40" i="18" s="1"/>
  <c r="J6" i="15"/>
  <c r="Q41" i="15"/>
  <c r="Q41" i="18" s="1"/>
  <c r="D7" i="14"/>
  <c r="D40" i="14"/>
  <c r="B37" i="29"/>
  <c r="L38" i="26"/>
  <c r="U40" i="15"/>
  <c r="H6" i="14"/>
  <c r="H39" i="14"/>
  <c r="E9" i="22"/>
  <c r="D36" i="25"/>
  <c r="Q9" i="22"/>
  <c r="E29" i="27" s="1"/>
  <c r="L30" i="32" s="1"/>
  <c r="D34" i="97" s="1"/>
  <c r="Q41" i="20" l="1"/>
  <c r="E19" i="27" s="1"/>
  <c r="L20" i="32" s="1"/>
  <c r="D24" i="97" s="1"/>
  <c r="U40" i="18"/>
  <c r="U40" i="20" s="1"/>
  <c r="I18" i="27" s="1"/>
  <c r="P19" i="32" s="1"/>
  <c r="H23" i="97" s="1"/>
  <c r="I5" i="26"/>
  <c r="I4" i="29" s="1"/>
  <c r="AG10" i="97"/>
  <c r="E40" i="20"/>
  <c r="E23" i="25" s="1"/>
  <c r="J39" i="18"/>
  <c r="J46" i="22" s="1"/>
  <c r="J33" i="22" s="1"/>
  <c r="J20" i="22" s="1"/>
  <c r="T40" i="20"/>
  <c r="H18" i="27" s="1"/>
  <c r="O19" i="32" s="1"/>
  <c r="G23" i="97" s="1"/>
  <c r="F40" i="20"/>
  <c r="F23" i="25" s="1"/>
  <c r="W7" i="20"/>
  <c r="V7" i="20"/>
  <c r="K4" i="26"/>
  <c r="K3" i="29" s="1"/>
  <c r="F6" i="26"/>
  <c r="F5" i="29" s="1"/>
  <c r="E6" i="25"/>
  <c r="R8" i="20"/>
  <c r="F3" i="27" s="1"/>
  <c r="M4" i="32" s="1"/>
  <c r="E8" i="97" s="1"/>
  <c r="H7" i="20"/>
  <c r="H5" i="25" s="1"/>
  <c r="H5" i="26" s="1"/>
  <c r="H4" i="29" s="1"/>
  <c r="H7" i="18"/>
  <c r="U7" i="18" s="1"/>
  <c r="W6" i="15"/>
  <c r="J6" i="17"/>
  <c r="R7" i="15"/>
  <c r="E7" i="17"/>
  <c r="I39" i="20"/>
  <c r="I22" i="25" s="1"/>
  <c r="C41" i="20"/>
  <c r="C24" i="25" s="1"/>
  <c r="S7" i="15"/>
  <c r="F7" i="17"/>
  <c r="G7" i="18"/>
  <c r="T7" i="18" s="1"/>
  <c r="G7" i="20"/>
  <c r="G5" i="25" s="1"/>
  <c r="AD10" i="97" s="1"/>
  <c r="P8" i="15"/>
  <c r="C8" i="17"/>
  <c r="X5" i="15"/>
  <c r="K5" i="17"/>
  <c r="K38" i="20"/>
  <c r="K21" i="25" s="1"/>
  <c r="D8" i="20"/>
  <c r="D6" i="25" s="1"/>
  <c r="D6" i="26" s="1"/>
  <c r="D5" i="29" s="1"/>
  <c r="D8" i="18"/>
  <c r="Q8" i="18" s="1"/>
  <c r="V6" i="15"/>
  <c r="I6" i="17"/>
  <c r="X6" i="20"/>
  <c r="S8" i="20"/>
  <c r="G3" i="27" s="1"/>
  <c r="N4" i="32" s="1"/>
  <c r="F8" i="97" s="1"/>
  <c r="G59" i="22"/>
  <c r="G8" i="22"/>
  <c r="B61" i="22"/>
  <c r="B10" i="22"/>
  <c r="D60" i="22"/>
  <c r="D9" i="22"/>
  <c r="H59" i="22"/>
  <c r="H8" i="22"/>
  <c r="H6" i="15"/>
  <c r="J22" i="25"/>
  <c r="H23" i="26"/>
  <c r="H22" i="29" s="1"/>
  <c r="AE28" i="97"/>
  <c r="G6" i="15"/>
  <c r="Z41" i="97"/>
  <c r="C36" i="26"/>
  <c r="C35" i="29" s="1"/>
  <c r="J34" i="25"/>
  <c r="W7" i="22"/>
  <c r="K27" i="27" s="1"/>
  <c r="R28" i="32" s="1"/>
  <c r="J32" i="97" s="1"/>
  <c r="W39" i="15"/>
  <c r="J5" i="14"/>
  <c r="J38" i="14"/>
  <c r="D24" i="26"/>
  <c r="D23" i="29" s="1"/>
  <c r="AA29" i="97"/>
  <c r="I46" i="22"/>
  <c r="I33" i="22" s="1"/>
  <c r="I20" i="22" s="1"/>
  <c r="K45" i="22"/>
  <c r="K32" i="22" s="1"/>
  <c r="K19" i="22" s="1"/>
  <c r="F47" i="22"/>
  <c r="F34" i="22" s="1"/>
  <c r="F21" i="22" s="1"/>
  <c r="E47" i="22"/>
  <c r="E34" i="22" s="1"/>
  <c r="E21" i="22" s="1"/>
  <c r="I34" i="25"/>
  <c r="V7" i="22"/>
  <c r="J27" i="27" s="1"/>
  <c r="Q28" i="32" s="1"/>
  <c r="I32" i="97" s="1"/>
  <c r="V39" i="15"/>
  <c r="V39" i="18" s="1"/>
  <c r="I5" i="14"/>
  <c r="I38" i="14"/>
  <c r="C48" i="22"/>
  <c r="C35" i="22" s="1"/>
  <c r="C22" i="22" s="1"/>
  <c r="D40" i="15"/>
  <c r="D40" i="17" s="1"/>
  <c r="D40" i="20" s="1"/>
  <c r="S40" i="15"/>
  <c r="S40" i="18" s="1"/>
  <c r="F6" i="14"/>
  <c r="F39" i="14"/>
  <c r="B8" i="15"/>
  <c r="P41" i="15"/>
  <c r="P41" i="18" s="1"/>
  <c r="C7" i="14"/>
  <c r="C40" i="14"/>
  <c r="B25" i="26"/>
  <c r="Y30" i="97"/>
  <c r="AA41" i="97"/>
  <c r="D36" i="26"/>
  <c r="D35" i="29" s="1"/>
  <c r="B41" i="15"/>
  <c r="B41" i="17" s="1"/>
  <c r="B41" i="18" s="1"/>
  <c r="AE40" i="97"/>
  <c r="H35" i="26"/>
  <c r="H34" i="29" s="1"/>
  <c r="X38" i="15"/>
  <c r="X38" i="18" s="1"/>
  <c r="K4" i="14"/>
  <c r="K37" i="14"/>
  <c r="R40" i="15"/>
  <c r="R40" i="18" s="1"/>
  <c r="E6" i="14"/>
  <c r="E39" i="14"/>
  <c r="D7" i="15"/>
  <c r="Y12" i="97"/>
  <c r="B7" i="26"/>
  <c r="F35" i="25"/>
  <c r="S8" i="22"/>
  <c r="G28" i="27" s="1"/>
  <c r="N29" i="32" s="1"/>
  <c r="F33" i="97" s="1"/>
  <c r="Y42" i="97"/>
  <c r="B37" i="26"/>
  <c r="AB40" i="97"/>
  <c r="E35" i="26"/>
  <c r="E34" i="29" s="1"/>
  <c r="H39" i="15"/>
  <c r="H39" i="17" s="1"/>
  <c r="H39" i="18" s="1"/>
  <c r="AD40" i="97"/>
  <c r="G35" i="26"/>
  <c r="G34" i="29" s="1"/>
  <c r="G39" i="15"/>
  <c r="G39" i="17" s="1"/>
  <c r="G39" i="18" s="1"/>
  <c r="AD28" i="97"/>
  <c r="G23" i="26"/>
  <c r="G22" i="29" s="1"/>
  <c r="K33" i="25"/>
  <c r="X6" i="22"/>
  <c r="L26" i="27" s="1"/>
  <c r="S27" i="32" s="1"/>
  <c r="K31" i="97" s="1"/>
  <c r="AE10" i="97" l="1"/>
  <c r="AA11" i="97"/>
  <c r="V39" i="20"/>
  <c r="J17" i="27" s="1"/>
  <c r="Q18" i="32" s="1"/>
  <c r="I22" i="97" s="1"/>
  <c r="X38" i="20"/>
  <c r="L16" i="27" s="1"/>
  <c r="S17" i="32" s="1"/>
  <c r="K21" i="97" s="1"/>
  <c r="R40" i="20"/>
  <c r="F18" i="27" s="1"/>
  <c r="M19" i="32" s="1"/>
  <c r="E23" i="97" s="1"/>
  <c r="W39" i="18"/>
  <c r="W39" i="20" s="1"/>
  <c r="K17" i="27" s="1"/>
  <c r="R18" i="32" s="1"/>
  <c r="J22" i="97" s="1"/>
  <c r="S40" i="20"/>
  <c r="G18" i="27" s="1"/>
  <c r="N19" i="32" s="1"/>
  <c r="F23" i="97" s="1"/>
  <c r="G5" i="26"/>
  <c r="G4" i="29" s="1"/>
  <c r="U7" i="20"/>
  <c r="P41" i="20"/>
  <c r="D19" i="27" s="1"/>
  <c r="K20" i="32" s="1"/>
  <c r="C24" i="97" s="1"/>
  <c r="D40" i="18"/>
  <c r="D47" i="22" s="1"/>
  <c r="D34" i="22" s="1"/>
  <c r="D21" i="22" s="1"/>
  <c r="H39" i="20"/>
  <c r="H22" i="25" s="1"/>
  <c r="B41" i="20"/>
  <c r="B24" i="25" s="1"/>
  <c r="C8" i="18"/>
  <c r="P8" i="18" s="1"/>
  <c r="C8" i="20"/>
  <c r="C6" i="25" s="1"/>
  <c r="Z11" i="97" s="1"/>
  <c r="F7" i="20"/>
  <c r="F5" i="25" s="1"/>
  <c r="AC10" i="97" s="1"/>
  <c r="F7" i="18"/>
  <c r="S7" i="18" s="1"/>
  <c r="E7" i="18"/>
  <c r="R7" i="18" s="1"/>
  <c r="E7" i="20"/>
  <c r="U6" i="15"/>
  <c r="H6" i="17"/>
  <c r="I6" i="18"/>
  <c r="V6" i="18" s="1"/>
  <c r="I6" i="20"/>
  <c r="T6" i="15"/>
  <c r="G6" i="17"/>
  <c r="K5" i="18"/>
  <c r="X5" i="18" s="1"/>
  <c r="K5" i="20"/>
  <c r="K3" i="25" s="1"/>
  <c r="AH8" i="97" s="1"/>
  <c r="J6" i="18"/>
  <c r="W6" i="18" s="1"/>
  <c r="J6" i="20"/>
  <c r="J4" i="25" s="1"/>
  <c r="AG9" i="97" s="1"/>
  <c r="G39" i="20"/>
  <c r="G22" i="25" s="1"/>
  <c r="Q7" i="15"/>
  <c r="D7" i="17"/>
  <c r="O8" i="15"/>
  <c r="B8" i="17"/>
  <c r="Q8" i="20"/>
  <c r="E3" i="27" s="1"/>
  <c r="L4" i="32" s="1"/>
  <c r="D8" i="97" s="1"/>
  <c r="T7" i="20"/>
  <c r="AB11" i="97"/>
  <c r="E6" i="26"/>
  <c r="E5" i="29" s="1"/>
  <c r="K57" i="22"/>
  <c r="K6" i="22"/>
  <c r="C60" i="22"/>
  <c r="C9" i="22"/>
  <c r="E59" i="22"/>
  <c r="E8" i="22"/>
  <c r="I58" i="22"/>
  <c r="I7" i="22"/>
  <c r="F59" i="22"/>
  <c r="F8" i="22"/>
  <c r="J58" i="22"/>
  <c r="J7" i="22"/>
  <c r="T39" i="15"/>
  <c r="T39" i="18" s="1"/>
  <c r="G5" i="14"/>
  <c r="G38" i="14"/>
  <c r="C40" i="15"/>
  <c r="C40" i="17" s="1"/>
  <c r="C40" i="20" s="1"/>
  <c r="F39" i="15"/>
  <c r="F39" i="17" s="1"/>
  <c r="F39" i="20" s="1"/>
  <c r="B6" i="29"/>
  <c r="L7" i="26"/>
  <c r="B36" i="29"/>
  <c r="L37" i="26"/>
  <c r="E39" i="15"/>
  <c r="E39" i="17" s="1"/>
  <c r="E39" i="18" s="1"/>
  <c r="C7" i="15"/>
  <c r="F6" i="15"/>
  <c r="AF39" i="97"/>
  <c r="I34" i="26"/>
  <c r="I33" i="29" s="1"/>
  <c r="AG39" i="97"/>
  <c r="J34" i="26"/>
  <c r="J33" i="29" s="1"/>
  <c r="AF27" i="97"/>
  <c r="I22" i="26"/>
  <c r="I21" i="29" s="1"/>
  <c r="D35" i="25"/>
  <c r="Q8" i="22"/>
  <c r="E28" i="27" s="1"/>
  <c r="L29" i="32" s="1"/>
  <c r="D33" i="97" s="1"/>
  <c r="B48" i="22"/>
  <c r="B35" i="22" s="1"/>
  <c r="B22" i="22" s="1"/>
  <c r="E23" i="26"/>
  <c r="E22" i="29" s="1"/>
  <c r="AB28" i="97"/>
  <c r="J22" i="26"/>
  <c r="J21" i="29" s="1"/>
  <c r="AG27" i="97"/>
  <c r="B24" i="29"/>
  <c r="L25" i="26"/>
  <c r="C24" i="26"/>
  <c r="C23" i="29" s="1"/>
  <c r="Z29" i="97"/>
  <c r="F23" i="26"/>
  <c r="F22" i="29" s="1"/>
  <c r="AC28" i="97"/>
  <c r="U39" i="15"/>
  <c r="U39" i="18" s="1"/>
  <c r="H5" i="14"/>
  <c r="H38" i="14"/>
  <c r="E6" i="15"/>
  <c r="O41" i="15"/>
  <c r="O41" i="18" s="1"/>
  <c r="B7" i="14"/>
  <c r="B40" i="14"/>
  <c r="D23" i="25"/>
  <c r="I38" i="15"/>
  <c r="I38" i="17" s="1"/>
  <c r="I38" i="18" s="1"/>
  <c r="J38" i="15"/>
  <c r="J38" i="17" s="1"/>
  <c r="J38" i="20" s="1"/>
  <c r="AH26" i="97"/>
  <c r="K21" i="26"/>
  <c r="K20" i="29" s="1"/>
  <c r="B36" i="25"/>
  <c r="O9" i="22"/>
  <c r="C29" i="27" s="1"/>
  <c r="J30" i="32" s="1"/>
  <c r="B34" i="97" s="1"/>
  <c r="H46" i="22"/>
  <c r="H33" i="22" s="1"/>
  <c r="H20" i="22" s="1"/>
  <c r="AC40" i="97"/>
  <c r="F35" i="26"/>
  <c r="F34" i="29" s="1"/>
  <c r="K37" i="15"/>
  <c r="K37" i="17" s="1"/>
  <c r="K37" i="20" s="1"/>
  <c r="I5" i="15"/>
  <c r="J5" i="15"/>
  <c r="G46" i="22"/>
  <c r="G33" i="22" s="1"/>
  <c r="G20" i="22" s="1"/>
  <c r="H34" i="25"/>
  <c r="U7" i="22"/>
  <c r="I27" i="27" s="1"/>
  <c r="P28" i="32" s="1"/>
  <c r="H32" i="97" s="1"/>
  <c r="AH38" i="97"/>
  <c r="K33" i="26"/>
  <c r="K32" i="29" s="1"/>
  <c r="K4" i="15"/>
  <c r="Q40" i="15"/>
  <c r="D6" i="14"/>
  <c r="D39" i="14"/>
  <c r="G34" i="25"/>
  <c r="T7" i="22"/>
  <c r="H27" i="27" s="1"/>
  <c r="O28" i="32" s="1"/>
  <c r="G32" i="97" s="1"/>
  <c r="C6" i="26" l="1"/>
  <c r="C5" i="29" s="1"/>
  <c r="J4" i="26"/>
  <c r="J3" i="29" s="1"/>
  <c r="F5" i="26"/>
  <c r="F4" i="29" s="1"/>
  <c r="T39" i="20"/>
  <c r="H17" i="27" s="1"/>
  <c r="O18" i="32" s="1"/>
  <c r="G22" i="97" s="1"/>
  <c r="U39" i="20"/>
  <c r="I17" i="27" s="1"/>
  <c r="P18" i="32" s="1"/>
  <c r="H22" i="97" s="1"/>
  <c r="Q40" i="18"/>
  <c r="Q40" i="20" s="1"/>
  <c r="E18" i="27" s="1"/>
  <c r="L19" i="32" s="1"/>
  <c r="D23" i="97" s="1"/>
  <c r="K3" i="26"/>
  <c r="K2" i="29" s="1"/>
  <c r="X5" i="20"/>
  <c r="P8" i="20"/>
  <c r="D3" i="27" s="1"/>
  <c r="K4" i="32" s="1"/>
  <c r="C8" i="97" s="1"/>
  <c r="F39" i="18"/>
  <c r="F46" i="22" s="1"/>
  <c r="F33" i="22" s="1"/>
  <c r="F20" i="22" s="1"/>
  <c r="S7" i="20"/>
  <c r="J38" i="18"/>
  <c r="J45" i="22" s="1"/>
  <c r="J32" i="22" s="1"/>
  <c r="J19" i="22" s="1"/>
  <c r="E39" i="20"/>
  <c r="E22" i="25" s="1"/>
  <c r="O41" i="20"/>
  <c r="C19" i="27" s="1"/>
  <c r="J20" i="32" s="1"/>
  <c r="B24" i="97" s="1"/>
  <c r="K37" i="18"/>
  <c r="K44" i="22" s="1"/>
  <c r="K31" i="22" s="1"/>
  <c r="K18" i="22" s="1"/>
  <c r="V5" i="15"/>
  <c r="I5" i="17"/>
  <c r="X4" i="15"/>
  <c r="K4" i="17"/>
  <c r="C40" i="18"/>
  <c r="C47" i="22" s="1"/>
  <c r="C34" i="22" s="1"/>
  <c r="C21" i="22" s="1"/>
  <c r="V6" i="20"/>
  <c r="I4" i="25"/>
  <c r="E5" i="25"/>
  <c r="R7" i="20"/>
  <c r="R6" i="15"/>
  <c r="E6" i="17"/>
  <c r="B8" i="20"/>
  <c r="B6" i="25" s="1"/>
  <c r="Y11" i="97" s="1"/>
  <c r="B8" i="18"/>
  <c r="O8" i="18" s="1"/>
  <c r="W5" i="15"/>
  <c r="J5" i="17"/>
  <c r="I38" i="20"/>
  <c r="I21" i="25" s="1"/>
  <c r="P7" i="15"/>
  <c r="C7" i="17"/>
  <c r="G6" i="18"/>
  <c r="T6" i="18" s="1"/>
  <c r="G6" i="20"/>
  <c r="G4" i="25" s="1"/>
  <c r="AD9" i="97" s="1"/>
  <c r="H6" i="18"/>
  <c r="U6" i="18" s="1"/>
  <c r="H6" i="20"/>
  <c r="H4" i="25" s="1"/>
  <c r="AE9" i="97" s="1"/>
  <c r="S6" i="15"/>
  <c r="F6" i="17"/>
  <c r="D7" i="18"/>
  <c r="Q7" i="18" s="1"/>
  <c r="D7" i="20"/>
  <c r="D5" i="25" s="1"/>
  <c r="AA10" i="97" s="1"/>
  <c r="W6" i="20"/>
  <c r="H58" i="22"/>
  <c r="H7" i="22"/>
  <c r="D59" i="22"/>
  <c r="D8" i="22"/>
  <c r="G58" i="22"/>
  <c r="G7" i="22"/>
  <c r="B60" i="22"/>
  <c r="B9" i="22"/>
  <c r="I45" i="22"/>
  <c r="I32" i="22" s="1"/>
  <c r="I19" i="22" s="1"/>
  <c r="G5" i="15"/>
  <c r="P40" i="15"/>
  <c r="C6" i="14"/>
  <c r="C39" i="14"/>
  <c r="I33" i="25"/>
  <c r="V6" i="22"/>
  <c r="J26" i="27" s="1"/>
  <c r="Q27" i="32" s="1"/>
  <c r="I31" i="97" s="1"/>
  <c r="D23" i="26"/>
  <c r="D22" i="29" s="1"/>
  <c r="AA28" i="97"/>
  <c r="E34" i="25"/>
  <c r="R7" i="22"/>
  <c r="F27" i="27" s="1"/>
  <c r="M28" i="32" s="1"/>
  <c r="E32" i="97" s="1"/>
  <c r="K20" i="25"/>
  <c r="J21" i="25"/>
  <c r="Y29" i="97"/>
  <c r="B24" i="26"/>
  <c r="F22" i="25"/>
  <c r="AE39" i="97"/>
  <c r="H34" i="26"/>
  <c r="H33" i="29" s="1"/>
  <c r="G22" i="26"/>
  <c r="G21" i="29" s="1"/>
  <c r="AD27" i="97"/>
  <c r="W38" i="15"/>
  <c r="J4" i="14"/>
  <c r="J37" i="14"/>
  <c r="H22" i="26"/>
  <c r="H21" i="29" s="1"/>
  <c r="AE27" i="97"/>
  <c r="J33" i="25"/>
  <c r="W6" i="22"/>
  <c r="K26" i="27" s="1"/>
  <c r="R27" i="32" s="1"/>
  <c r="J31" i="97" s="1"/>
  <c r="C35" i="25"/>
  <c r="P8" i="22"/>
  <c r="D28" i="27" s="1"/>
  <c r="K29" i="32" s="1"/>
  <c r="C33" i="97" s="1"/>
  <c r="D6" i="15"/>
  <c r="X37" i="15"/>
  <c r="K3" i="14"/>
  <c r="K36" i="14"/>
  <c r="B40" i="15"/>
  <c r="B40" i="17" s="1"/>
  <c r="B40" i="18" s="1"/>
  <c r="H38" i="15"/>
  <c r="H38" i="17" s="1"/>
  <c r="H38" i="20" s="1"/>
  <c r="E46" i="22"/>
  <c r="E33" i="22" s="1"/>
  <c r="E20" i="22" s="1"/>
  <c r="S39" i="15"/>
  <c r="F5" i="14"/>
  <c r="F38" i="14"/>
  <c r="V38" i="15"/>
  <c r="V38" i="18" s="1"/>
  <c r="I4" i="14"/>
  <c r="I37" i="14"/>
  <c r="AA40" i="97"/>
  <c r="D35" i="26"/>
  <c r="D34" i="29" s="1"/>
  <c r="AD39" i="97"/>
  <c r="G34" i="26"/>
  <c r="G33" i="29" s="1"/>
  <c r="D39" i="15"/>
  <c r="D39" i="17" s="1"/>
  <c r="D39" i="18" s="1"/>
  <c r="Y41" i="97"/>
  <c r="B36" i="26"/>
  <c r="B7" i="15"/>
  <c r="H5" i="15"/>
  <c r="R39" i="15"/>
  <c r="R39" i="18" s="1"/>
  <c r="E5" i="14"/>
  <c r="E38" i="14"/>
  <c r="C23" i="25"/>
  <c r="G38" i="15"/>
  <c r="G38" i="17" s="1"/>
  <c r="G38" i="18" s="1"/>
  <c r="F34" i="25"/>
  <c r="S7" i="22"/>
  <c r="G27" i="27" s="1"/>
  <c r="N28" i="32" s="1"/>
  <c r="F32" i="97" s="1"/>
  <c r="K32" i="25"/>
  <c r="X5" i="22"/>
  <c r="L25" i="27" s="1"/>
  <c r="S26" i="32" s="1"/>
  <c r="K30" i="97" s="1"/>
  <c r="V38" i="20" l="1"/>
  <c r="J16" i="27" s="1"/>
  <c r="Q17" i="32" s="1"/>
  <c r="I21" i="97" s="1"/>
  <c r="G4" i="26"/>
  <c r="G3" i="29" s="1"/>
  <c r="P40" i="18"/>
  <c r="P40" i="20" s="1"/>
  <c r="D18" i="27" s="1"/>
  <c r="K19" i="32" s="1"/>
  <c r="C23" i="97" s="1"/>
  <c r="W38" i="18"/>
  <c r="W38" i="20" s="1"/>
  <c r="K16" i="27" s="1"/>
  <c r="R17" i="32" s="1"/>
  <c r="J21" i="97" s="1"/>
  <c r="H38" i="18"/>
  <c r="S39" i="18"/>
  <c r="S39" i="20" s="1"/>
  <c r="G17" i="27" s="1"/>
  <c r="N18" i="32" s="1"/>
  <c r="F22" i="97" s="1"/>
  <c r="R39" i="20"/>
  <c r="F17" i="27" s="1"/>
  <c r="M18" i="32" s="1"/>
  <c r="E22" i="97" s="1"/>
  <c r="D5" i="26"/>
  <c r="D4" i="29" s="1"/>
  <c r="H4" i="26"/>
  <c r="H3" i="29" s="1"/>
  <c r="B6" i="26"/>
  <c r="B5" i="29" s="1"/>
  <c r="D39" i="20"/>
  <c r="D22" i="25" s="1"/>
  <c r="X37" i="18"/>
  <c r="X37" i="20" s="1"/>
  <c r="L15" i="27" s="1"/>
  <c r="S16" i="32" s="1"/>
  <c r="K20" i="97" s="1"/>
  <c r="T5" i="15"/>
  <c r="G5" i="17"/>
  <c r="F6" i="20"/>
  <c r="F4" i="25" s="1"/>
  <c r="F4" i="26" s="1"/>
  <c r="F3" i="29" s="1"/>
  <c r="F6" i="18"/>
  <c r="S6" i="18" s="1"/>
  <c r="AB10" i="97"/>
  <c r="E5" i="26"/>
  <c r="E4" i="29" s="1"/>
  <c r="K4" i="18"/>
  <c r="X4" i="18" s="1"/>
  <c r="K4" i="20"/>
  <c r="U5" i="15"/>
  <c r="H5" i="17"/>
  <c r="T6" i="20"/>
  <c r="J5" i="18"/>
  <c r="W5" i="18" s="1"/>
  <c r="J5" i="20"/>
  <c r="J3" i="25" s="1"/>
  <c r="J3" i="26" s="1"/>
  <c r="E6" i="18"/>
  <c r="R6" i="18" s="1"/>
  <c r="E6" i="20"/>
  <c r="E4" i="25" s="1"/>
  <c r="E4" i="26" s="1"/>
  <c r="E3" i="29" s="1"/>
  <c r="AF9" i="97"/>
  <c r="I4" i="26"/>
  <c r="I3" i="29" s="1"/>
  <c r="G38" i="20"/>
  <c r="G21" i="25" s="1"/>
  <c r="B40" i="20"/>
  <c r="B23" i="25" s="1"/>
  <c r="C7" i="18"/>
  <c r="P7" i="18" s="1"/>
  <c r="C7" i="20"/>
  <c r="C5" i="25" s="1"/>
  <c r="Z10" i="97" s="1"/>
  <c r="I5" i="20"/>
  <c r="I3" i="25" s="1"/>
  <c r="AF8" i="97" s="1"/>
  <c r="I5" i="18"/>
  <c r="V5" i="18" s="1"/>
  <c r="O7" i="15"/>
  <c r="B7" i="17"/>
  <c r="Q6" i="15"/>
  <c r="D6" i="17"/>
  <c r="Q7" i="20"/>
  <c r="U6" i="20"/>
  <c r="O8" i="20"/>
  <c r="C3" i="27" s="1"/>
  <c r="J4" i="32" s="1"/>
  <c r="B8" i="97" s="1"/>
  <c r="E58" i="22"/>
  <c r="E7" i="22"/>
  <c r="J57" i="22"/>
  <c r="J6" i="22"/>
  <c r="C59" i="22"/>
  <c r="C8" i="22"/>
  <c r="K56" i="22"/>
  <c r="K5" i="22"/>
  <c r="F58" i="22"/>
  <c r="F7" i="22"/>
  <c r="I57" i="22"/>
  <c r="I6" i="22"/>
  <c r="J37" i="15"/>
  <c r="J37" i="17" s="1"/>
  <c r="J37" i="18" s="1"/>
  <c r="F38" i="15"/>
  <c r="F38" i="17" s="1"/>
  <c r="F38" i="18" s="1"/>
  <c r="H21" i="25"/>
  <c r="J4" i="15"/>
  <c r="Q39" i="15"/>
  <c r="Q39" i="18" s="1"/>
  <c r="Q39" i="20" s="1"/>
  <c r="E17" i="27" s="1"/>
  <c r="L18" i="32" s="1"/>
  <c r="D22" i="97" s="1"/>
  <c r="D5" i="14"/>
  <c r="D38" i="14"/>
  <c r="AH37" i="97"/>
  <c r="K32" i="26"/>
  <c r="K31" i="29" s="1"/>
  <c r="F5" i="15"/>
  <c r="F22" i="26"/>
  <c r="F21" i="29" s="1"/>
  <c r="AC27" i="97"/>
  <c r="AF38" i="97"/>
  <c r="I33" i="26"/>
  <c r="I32" i="29" s="1"/>
  <c r="B35" i="25"/>
  <c r="O8" i="22"/>
  <c r="C28" i="27" s="1"/>
  <c r="J29" i="32" s="1"/>
  <c r="B33" i="97" s="1"/>
  <c r="Z28" i="97"/>
  <c r="C23" i="26"/>
  <c r="C22" i="29" s="1"/>
  <c r="I21" i="26"/>
  <c r="I20" i="29" s="1"/>
  <c r="AF26" i="97"/>
  <c r="U38" i="15"/>
  <c r="H4" i="14"/>
  <c r="H37" i="14"/>
  <c r="Z40" i="97"/>
  <c r="C35" i="26"/>
  <c r="C34" i="29" s="1"/>
  <c r="B23" i="29"/>
  <c r="L24" i="26"/>
  <c r="C39" i="15"/>
  <c r="C39" i="17" s="1"/>
  <c r="C39" i="20" s="1"/>
  <c r="C6" i="15"/>
  <c r="G33" i="25"/>
  <c r="T6" i="22"/>
  <c r="H26" i="27" s="1"/>
  <c r="O27" i="32" s="1"/>
  <c r="G31" i="97" s="1"/>
  <c r="AC39" i="97"/>
  <c r="F34" i="26"/>
  <c r="F33" i="29" s="1"/>
  <c r="AB39" i="97"/>
  <c r="E34" i="26"/>
  <c r="E33" i="29" s="1"/>
  <c r="I37" i="15"/>
  <c r="I37" i="17" s="1"/>
  <c r="I37" i="18" s="1"/>
  <c r="B47" i="22"/>
  <c r="B34" i="22" s="1"/>
  <c r="B21" i="22" s="1"/>
  <c r="K3" i="15"/>
  <c r="AG38" i="97"/>
  <c r="J33" i="26"/>
  <c r="J32" i="29" s="1"/>
  <c r="B35" i="29"/>
  <c r="L36" i="26"/>
  <c r="K36" i="15"/>
  <c r="K36" i="17" s="1"/>
  <c r="K36" i="18" s="1"/>
  <c r="E5" i="15"/>
  <c r="I4" i="15"/>
  <c r="O40" i="15"/>
  <c r="O40" i="18" s="1"/>
  <c r="B6" i="14"/>
  <c r="B39" i="14"/>
  <c r="E22" i="26"/>
  <c r="E21" i="29" s="1"/>
  <c r="AB27" i="97"/>
  <c r="J21" i="26"/>
  <c r="J20" i="29" s="1"/>
  <c r="AG26" i="97"/>
  <c r="D34" i="25"/>
  <c r="Q7" i="22"/>
  <c r="E27" i="27" s="1"/>
  <c r="L28" i="32" s="1"/>
  <c r="D32" i="97" s="1"/>
  <c r="H45" i="22"/>
  <c r="H32" i="22" s="1"/>
  <c r="H19" i="22" s="1"/>
  <c r="E38" i="15"/>
  <c r="E38" i="17" s="1"/>
  <c r="E38" i="18" s="1"/>
  <c r="G45" i="22"/>
  <c r="G32" i="22" s="1"/>
  <c r="G19" i="22" s="1"/>
  <c r="T38" i="15"/>
  <c r="T38" i="18" s="1"/>
  <c r="G4" i="14"/>
  <c r="G37" i="14"/>
  <c r="D46" i="22"/>
  <c r="D33" i="22" s="1"/>
  <c r="D20" i="22" s="1"/>
  <c r="D58" i="22" s="1"/>
  <c r="K20" i="26"/>
  <c r="K19" i="29" s="1"/>
  <c r="AH25" i="97"/>
  <c r="H33" i="25"/>
  <c r="U6" i="22"/>
  <c r="I26" i="27" s="1"/>
  <c r="P27" i="32" s="1"/>
  <c r="H31" i="97" s="1"/>
  <c r="AC9" i="97" l="1"/>
  <c r="U38" i="18"/>
  <c r="U38" i="20" s="1"/>
  <c r="I16" i="27" s="1"/>
  <c r="P17" i="32" s="1"/>
  <c r="H21" i="97" s="1"/>
  <c r="C39" i="18"/>
  <c r="C46" i="22" s="1"/>
  <c r="C33" i="22" s="1"/>
  <c r="C20" i="22" s="1"/>
  <c r="AB9" i="97"/>
  <c r="O40" i="20"/>
  <c r="C18" i="27" s="1"/>
  <c r="J19" i="32" s="1"/>
  <c r="B23" i="97" s="1"/>
  <c r="AG8" i="97"/>
  <c r="I3" i="26"/>
  <c r="I2" i="29" s="1"/>
  <c r="L6" i="26"/>
  <c r="S6" i="20"/>
  <c r="T38" i="20"/>
  <c r="H16" i="27" s="1"/>
  <c r="O17" i="32" s="1"/>
  <c r="G21" i="97" s="1"/>
  <c r="J37" i="20"/>
  <c r="J20" i="25" s="1"/>
  <c r="C5" i="26"/>
  <c r="C4" i="29" s="1"/>
  <c r="P7" i="20"/>
  <c r="W5" i="20"/>
  <c r="E38" i="20"/>
  <c r="E21" i="25" s="1"/>
  <c r="V5" i="20"/>
  <c r="K36" i="20"/>
  <c r="K19" i="25" s="1"/>
  <c r="R5" i="15"/>
  <c r="E5" i="17"/>
  <c r="I37" i="20"/>
  <c r="I20" i="25" s="1"/>
  <c r="P6" i="15"/>
  <c r="C6" i="17"/>
  <c r="D6" i="18"/>
  <c r="Q6" i="18" s="1"/>
  <c r="D6" i="20"/>
  <c r="X4" i="20"/>
  <c r="V4" i="15"/>
  <c r="I4" i="17"/>
  <c r="X3" i="15"/>
  <c r="K3" i="17"/>
  <c r="S5" i="15"/>
  <c r="F5" i="17"/>
  <c r="F38" i="20"/>
  <c r="F21" i="25" s="1"/>
  <c r="R6" i="20"/>
  <c r="H5" i="20"/>
  <c r="H3" i="25" s="1"/>
  <c r="AE8" i="97" s="1"/>
  <c r="H5" i="18"/>
  <c r="U5" i="18" s="1"/>
  <c r="G5" i="20"/>
  <c r="G3" i="25" s="1"/>
  <c r="AD8" i="97" s="1"/>
  <c r="G5" i="18"/>
  <c r="T5" i="18" s="1"/>
  <c r="W4" i="15"/>
  <c r="J4" i="17"/>
  <c r="B7" i="20"/>
  <c r="B5" i="25" s="1"/>
  <c r="Y10" i="97" s="1"/>
  <c r="B7" i="18"/>
  <c r="O7" i="18" s="1"/>
  <c r="G57" i="22"/>
  <c r="G6" i="22"/>
  <c r="B59" i="22"/>
  <c r="B8" i="22"/>
  <c r="H57" i="22"/>
  <c r="H6" i="22"/>
  <c r="D33" i="25"/>
  <c r="Q6" i="22"/>
  <c r="E26" i="27" s="1"/>
  <c r="L27" i="32" s="1"/>
  <c r="D31" i="97" s="1"/>
  <c r="B23" i="26"/>
  <c r="Y28" i="97"/>
  <c r="E45" i="22"/>
  <c r="E32" i="22" s="1"/>
  <c r="E19" i="22" s="1"/>
  <c r="AA39" i="97"/>
  <c r="D34" i="26"/>
  <c r="D33" i="29" s="1"/>
  <c r="B6" i="15"/>
  <c r="V37" i="15"/>
  <c r="V37" i="18" s="1"/>
  <c r="V37" i="20" s="1"/>
  <c r="J15" i="27" s="1"/>
  <c r="Q16" i="32" s="1"/>
  <c r="I20" i="97" s="1"/>
  <c r="I3" i="14"/>
  <c r="I36" i="14"/>
  <c r="D38" i="15"/>
  <c r="D38" i="17" s="1"/>
  <c r="D38" i="18" s="1"/>
  <c r="B39" i="15"/>
  <c r="B39" i="17" s="1"/>
  <c r="B39" i="20" s="1"/>
  <c r="R38" i="15"/>
  <c r="R38" i="18" s="1"/>
  <c r="E4" i="14"/>
  <c r="E37" i="14"/>
  <c r="X36" i="15"/>
  <c r="X36" i="18" s="1"/>
  <c r="K2" i="14"/>
  <c r="K35" i="14"/>
  <c r="I44" i="22"/>
  <c r="I31" i="22" s="1"/>
  <c r="I18" i="22" s="1"/>
  <c r="D5" i="15"/>
  <c r="H21" i="26"/>
  <c r="H20" i="29" s="1"/>
  <c r="AE26" i="97"/>
  <c r="C34" i="25"/>
  <c r="P7" i="22"/>
  <c r="D27" i="27" s="1"/>
  <c r="K28" i="32" s="1"/>
  <c r="C32" i="97" s="1"/>
  <c r="K31" i="25"/>
  <c r="X4" i="22"/>
  <c r="L24" i="27" s="1"/>
  <c r="S25" i="32" s="1"/>
  <c r="K29" i="97" s="1"/>
  <c r="K43" i="22"/>
  <c r="K30" i="22" s="1"/>
  <c r="K17" i="22" s="1"/>
  <c r="H37" i="15"/>
  <c r="H37" i="17" s="1"/>
  <c r="H37" i="20" s="1"/>
  <c r="Y40" i="97"/>
  <c r="B35" i="26"/>
  <c r="AE38" i="97"/>
  <c r="H33" i="26"/>
  <c r="H32" i="29" s="1"/>
  <c r="G37" i="15"/>
  <c r="G37" i="17" s="1"/>
  <c r="G37" i="18" s="1"/>
  <c r="AD26" i="97"/>
  <c r="G21" i="26"/>
  <c r="G20" i="29" s="1"/>
  <c r="AD38" i="97"/>
  <c r="G33" i="26"/>
  <c r="G32" i="29" s="1"/>
  <c r="C22" i="25"/>
  <c r="H4" i="15"/>
  <c r="J2" i="29"/>
  <c r="F45" i="22"/>
  <c r="F32" i="22" s="1"/>
  <c r="F19" i="22" s="1"/>
  <c r="F57" i="22" s="1"/>
  <c r="W37" i="15"/>
  <c r="W37" i="18" s="1"/>
  <c r="J3" i="14"/>
  <c r="J36" i="14"/>
  <c r="I32" i="25"/>
  <c r="V5" i="22"/>
  <c r="J25" i="27" s="1"/>
  <c r="Q26" i="32" s="1"/>
  <c r="I30" i="97" s="1"/>
  <c r="J32" i="25"/>
  <c r="W5" i="22"/>
  <c r="K25" i="27" s="1"/>
  <c r="R26" i="32" s="1"/>
  <c r="J30" i="97" s="1"/>
  <c r="G4" i="15"/>
  <c r="S38" i="15"/>
  <c r="S38" i="18" s="1"/>
  <c r="F4" i="14"/>
  <c r="F37" i="14"/>
  <c r="J44" i="22"/>
  <c r="J31" i="22" s="1"/>
  <c r="J18" i="22" s="1"/>
  <c r="D22" i="26"/>
  <c r="D21" i="29" s="1"/>
  <c r="AA27" i="97"/>
  <c r="D7" i="22"/>
  <c r="P39" i="15"/>
  <c r="C5" i="14"/>
  <c r="C38" i="14"/>
  <c r="F33" i="25"/>
  <c r="S6" i="22"/>
  <c r="G26" i="27" s="1"/>
  <c r="N27" i="32" s="1"/>
  <c r="F31" i="97" s="1"/>
  <c r="E33" i="25"/>
  <c r="R6" i="22"/>
  <c r="F26" i="27" s="1"/>
  <c r="M27" i="32" s="1"/>
  <c r="E31" i="97" s="1"/>
  <c r="G3" i="26" l="1"/>
  <c r="G2" i="29" s="1"/>
  <c r="B5" i="26"/>
  <c r="B4" i="29" s="1"/>
  <c r="S38" i="20"/>
  <c r="G16" i="27" s="1"/>
  <c r="N17" i="32" s="1"/>
  <c r="F21" i="97" s="1"/>
  <c r="X36" i="20"/>
  <c r="L14" i="27" s="1"/>
  <c r="S15" i="32" s="1"/>
  <c r="K19" i="97" s="1"/>
  <c r="H3" i="26"/>
  <c r="H2" i="29" s="1"/>
  <c r="P39" i="18"/>
  <c r="P39" i="20" s="1"/>
  <c r="D17" i="27" s="1"/>
  <c r="K18" i="32" s="1"/>
  <c r="C22" i="97" s="1"/>
  <c r="W37" i="20"/>
  <c r="K15" i="27" s="1"/>
  <c r="R16" i="32" s="1"/>
  <c r="J20" i="97" s="1"/>
  <c r="U5" i="20"/>
  <c r="H37" i="18"/>
  <c r="B39" i="18"/>
  <c r="O7" i="20"/>
  <c r="T5" i="20"/>
  <c r="R38" i="20"/>
  <c r="F16" i="27" s="1"/>
  <c r="M17" i="32" s="1"/>
  <c r="E21" i="97" s="1"/>
  <c r="G37" i="20"/>
  <c r="G20" i="25" s="1"/>
  <c r="K3" i="20"/>
  <c r="K3" i="18"/>
  <c r="X3" i="18" s="1"/>
  <c r="O6" i="15"/>
  <c r="B6" i="17"/>
  <c r="Q6" i="20"/>
  <c r="D4" i="25"/>
  <c r="U4" i="15"/>
  <c r="H4" i="17"/>
  <c r="J4" i="20"/>
  <c r="J4" i="18"/>
  <c r="W4" i="18" s="1"/>
  <c r="E5" i="18"/>
  <c r="R5" i="18" s="1"/>
  <c r="E5" i="20"/>
  <c r="Q5" i="15"/>
  <c r="D5" i="17"/>
  <c r="D38" i="20"/>
  <c r="D21" i="25" s="1"/>
  <c r="F5" i="18"/>
  <c r="S5" i="18" s="1"/>
  <c r="F5" i="20"/>
  <c r="F3" i="25" s="1"/>
  <c r="AC8" i="97" s="1"/>
  <c r="I4" i="20"/>
  <c r="I4" i="18"/>
  <c r="V4" i="18" s="1"/>
  <c r="T4" i="15"/>
  <c r="G4" i="17"/>
  <c r="C6" i="20"/>
  <c r="C6" i="18"/>
  <c r="P6" i="18" s="1"/>
  <c r="C58" i="22"/>
  <c r="C33" i="25" s="1"/>
  <c r="C7" i="22"/>
  <c r="I56" i="22"/>
  <c r="I5" i="22"/>
  <c r="E57" i="22"/>
  <c r="E6" i="22"/>
  <c r="K55" i="22"/>
  <c r="K4" i="22"/>
  <c r="J56" i="22"/>
  <c r="J5" i="22"/>
  <c r="AB38" i="97"/>
  <c r="E33" i="26"/>
  <c r="E32" i="29" s="1"/>
  <c r="E21" i="26"/>
  <c r="E20" i="29" s="1"/>
  <c r="AB26" i="97"/>
  <c r="F21" i="26"/>
  <c r="F20" i="29" s="1"/>
  <c r="AC26" i="97"/>
  <c r="J3" i="15"/>
  <c r="T37" i="15"/>
  <c r="G3" i="14"/>
  <c r="G36" i="14"/>
  <c r="F6" i="22"/>
  <c r="B34" i="29"/>
  <c r="L35" i="26"/>
  <c r="AA38" i="97"/>
  <c r="D33" i="26"/>
  <c r="D32" i="29" s="1"/>
  <c r="F37" i="15"/>
  <c r="F37" i="17" s="1"/>
  <c r="F37" i="18" s="1"/>
  <c r="AC38" i="97"/>
  <c r="F33" i="26"/>
  <c r="F32" i="29" s="1"/>
  <c r="AG37" i="97"/>
  <c r="J32" i="26"/>
  <c r="J31" i="29" s="1"/>
  <c r="K35" i="15"/>
  <c r="K35" i="17" s="1"/>
  <c r="K35" i="18" s="1"/>
  <c r="B22" i="25"/>
  <c r="I36" i="15"/>
  <c r="I36" i="17" s="1"/>
  <c r="I36" i="20" s="1"/>
  <c r="I20" i="26"/>
  <c r="I19" i="29" s="1"/>
  <c r="AF25" i="97"/>
  <c r="F32" i="25"/>
  <c r="S5" i="22"/>
  <c r="G25" i="27" s="1"/>
  <c r="N26" i="32" s="1"/>
  <c r="F30" i="97" s="1"/>
  <c r="U37" i="15"/>
  <c r="H3" i="14"/>
  <c r="H36" i="14"/>
  <c r="K2" i="15"/>
  <c r="B46" i="22"/>
  <c r="B33" i="22" s="1"/>
  <c r="B20" i="22" s="1"/>
  <c r="I3" i="15"/>
  <c r="H32" i="25"/>
  <c r="U5" i="22"/>
  <c r="I25" i="27" s="1"/>
  <c r="P26" i="32" s="1"/>
  <c r="H30" i="97" s="1"/>
  <c r="F4" i="15"/>
  <c r="AF37" i="97"/>
  <c r="I32" i="26"/>
  <c r="I31" i="29" s="1"/>
  <c r="O39" i="15"/>
  <c r="B5" i="14"/>
  <c r="B38" i="14"/>
  <c r="C38" i="15"/>
  <c r="C38" i="17" s="1"/>
  <c r="C38" i="20" s="1"/>
  <c r="H20" i="25"/>
  <c r="C5" i="15"/>
  <c r="J36" i="15"/>
  <c r="J36" i="17" s="1"/>
  <c r="J36" i="20" s="1"/>
  <c r="C22" i="26"/>
  <c r="C21" i="29" s="1"/>
  <c r="Z27" i="97"/>
  <c r="T37" i="18"/>
  <c r="G44" i="22"/>
  <c r="G31" i="22" s="1"/>
  <c r="G18" i="22" s="1"/>
  <c r="H44" i="22"/>
  <c r="H31" i="22" s="1"/>
  <c r="H18" i="22" s="1"/>
  <c r="AH36" i="97"/>
  <c r="K31" i="26"/>
  <c r="K30" i="29" s="1"/>
  <c r="E37" i="15"/>
  <c r="E37" i="17" s="1"/>
  <c r="E37" i="20" s="1"/>
  <c r="B22" i="29"/>
  <c r="L23" i="26"/>
  <c r="B34" i="25"/>
  <c r="O7" i="22"/>
  <c r="C27" i="27" s="1"/>
  <c r="J28" i="32" s="1"/>
  <c r="B32" i="97" s="1"/>
  <c r="E4" i="15"/>
  <c r="D45" i="22"/>
  <c r="D32" i="22" s="1"/>
  <c r="D19" i="22" s="1"/>
  <c r="J20" i="26"/>
  <c r="J19" i="29" s="1"/>
  <c r="AG25" i="97"/>
  <c r="Z39" i="97"/>
  <c r="C34" i="26"/>
  <c r="C33" i="29" s="1"/>
  <c r="Q38" i="15"/>
  <c r="Q38" i="18" s="1"/>
  <c r="D4" i="14"/>
  <c r="D37" i="14"/>
  <c r="AH24" i="97"/>
  <c r="K19" i="26"/>
  <c r="G32" i="25"/>
  <c r="T5" i="22"/>
  <c r="H25" i="27" s="1"/>
  <c r="O26" i="32" s="1"/>
  <c r="G30" i="97" s="1"/>
  <c r="U37" i="18" l="1"/>
  <c r="U37" i="20" s="1"/>
  <c r="I15" i="27" s="1"/>
  <c r="P16" i="32" s="1"/>
  <c r="H20" i="97" s="1"/>
  <c r="Q38" i="20"/>
  <c r="E16" i="27" s="1"/>
  <c r="L17" i="32" s="1"/>
  <c r="D21" i="97" s="1"/>
  <c r="L5" i="26"/>
  <c r="S5" i="20"/>
  <c r="T37" i="20"/>
  <c r="H15" i="27" s="1"/>
  <c r="O16" i="32" s="1"/>
  <c r="G20" i="97" s="1"/>
  <c r="O39" i="18"/>
  <c r="O39" i="20" s="1"/>
  <c r="C17" i="27" s="1"/>
  <c r="J18" i="32" s="1"/>
  <c r="B22" i="97" s="1"/>
  <c r="F3" i="26"/>
  <c r="F2" i="29" s="1"/>
  <c r="K35" i="20"/>
  <c r="K54" i="22" s="1"/>
  <c r="I36" i="18"/>
  <c r="F37" i="20"/>
  <c r="F20" i="25" s="1"/>
  <c r="E37" i="18"/>
  <c r="E44" i="22" s="1"/>
  <c r="E31" i="22" s="1"/>
  <c r="E18" i="22" s="1"/>
  <c r="J36" i="18"/>
  <c r="J43" i="22" s="1"/>
  <c r="J30" i="22" s="1"/>
  <c r="J17" i="22" s="1"/>
  <c r="C38" i="18"/>
  <c r="E3" i="25"/>
  <c r="R5" i="20"/>
  <c r="H4" i="20"/>
  <c r="H4" i="18"/>
  <c r="U4" i="18" s="1"/>
  <c r="B6" i="18"/>
  <c r="O6" i="18" s="1"/>
  <c r="B6" i="20"/>
  <c r="B4" i="25" s="1"/>
  <c r="Y9" i="97" s="1"/>
  <c r="S4" i="15"/>
  <c r="F4" i="17"/>
  <c r="V4" i="20"/>
  <c r="V3" i="15"/>
  <c r="I3" i="17"/>
  <c r="X2" i="15"/>
  <c r="K2" i="17"/>
  <c r="W3" i="15"/>
  <c r="J3" i="17"/>
  <c r="P6" i="20"/>
  <c r="C4" i="25"/>
  <c r="D5" i="18"/>
  <c r="Q5" i="18" s="1"/>
  <c r="D5" i="20"/>
  <c r="D3" i="25" s="1"/>
  <c r="AA8" i="97" s="1"/>
  <c r="AA9" i="97"/>
  <c r="D4" i="26"/>
  <c r="D3" i="29" s="1"/>
  <c r="P5" i="15"/>
  <c r="C5" i="17"/>
  <c r="R4" i="15"/>
  <c r="E4" i="17"/>
  <c r="G4" i="20"/>
  <c r="G4" i="18"/>
  <c r="T4" i="18" s="1"/>
  <c r="W4" i="20"/>
  <c r="X3" i="20"/>
  <c r="P6" i="22"/>
  <c r="D26" i="27" s="1"/>
  <c r="K27" i="32" s="1"/>
  <c r="C31" i="97" s="1"/>
  <c r="G56" i="22"/>
  <c r="G5" i="22"/>
  <c r="D57" i="22"/>
  <c r="D6" i="22"/>
  <c r="H56" i="22"/>
  <c r="H5" i="22"/>
  <c r="B58" i="22"/>
  <c r="B7" i="22"/>
  <c r="C21" i="25"/>
  <c r="AE37" i="97"/>
  <c r="H32" i="26"/>
  <c r="H31" i="29" s="1"/>
  <c r="V36" i="15"/>
  <c r="I2" i="14"/>
  <c r="I35" i="14"/>
  <c r="D4" i="15"/>
  <c r="C45" i="22"/>
  <c r="C32" i="22" s="1"/>
  <c r="C19" i="22" s="1"/>
  <c r="H36" i="15"/>
  <c r="H36" i="17" s="1"/>
  <c r="H36" i="20" s="1"/>
  <c r="I43" i="22"/>
  <c r="I30" i="22" s="1"/>
  <c r="I17" i="22" s="1"/>
  <c r="F44" i="22"/>
  <c r="F31" i="22" s="1"/>
  <c r="F18" i="22" s="1"/>
  <c r="J31" i="25"/>
  <c r="W4" i="22"/>
  <c r="K24" i="27" s="1"/>
  <c r="R25" i="32" s="1"/>
  <c r="J29" i="97" s="1"/>
  <c r="P38" i="15"/>
  <c r="C4" i="14"/>
  <c r="C37" i="14"/>
  <c r="H3" i="15"/>
  <c r="S37" i="15"/>
  <c r="S37" i="18" s="1"/>
  <c r="F3" i="14"/>
  <c r="F36" i="14"/>
  <c r="G36" i="15"/>
  <c r="G36" i="17" s="1"/>
  <c r="G36" i="20" s="1"/>
  <c r="D21" i="26"/>
  <c r="D20" i="29" s="1"/>
  <c r="AA26" i="97"/>
  <c r="B38" i="15"/>
  <c r="B38" i="17" s="1"/>
  <c r="B38" i="18" s="1"/>
  <c r="B22" i="26"/>
  <c r="Y27" i="97"/>
  <c r="G3" i="15"/>
  <c r="K30" i="25"/>
  <c r="X3" i="22"/>
  <c r="L23" i="27" s="1"/>
  <c r="S24" i="32" s="1"/>
  <c r="K28" i="97" s="1"/>
  <c r="AD37" i="97"/>
  <c r="G32" i="26"/>
  <c r="G31" i="29" s="1"/>
  <c r="E20" i="25"/>
  <c r="B5" i="15"/>
  <c r="X35" i="15"/>
  <c r="X35" i="18" s="1"/>
  <c r="K34" i="14"/>
  <c r="J19" i="25"/>
  <c r="E32" i="25"/>
  <c r="R5" i="22"/>
  <c r="F25" i="27" s="1"/>
  <c r="M26" i="32" s="1"/>
  <c r="E30" i="97" s="1"/>
  <c r="K18" i="29"/>
  <c r="R37" i="15"/>
  <c r="E3" i="14"/>
  <c r="E36" i="14"/>
  <c r="H20" i="26"/>
  <c r="H19" i="29" s="1"/>
  <c r="AE25" i="97"/>
  <c r="D37" i="15"/>
  <c r="D37" i="17" s="1"/>
  <c r="D37" i="18" s="1"/>
  <c r="Y39" i="97"/>
  <c r="B34" i="26"/>
  <c r="W36" i="15"/>
  <c r="J2" i="14"/>
  <c r="J35" i="14"/>
  <c r="G20" i="26"/>
  <c r="G19" i="29" s="1"/>
  <c r="AD25" i="97"/>
  <c r="AC37" i="97"/>
  <c r="F32" i="26"/>
  <c r="F31" i="29" s="1"/>
  <c r="I19" i="25"/>
  <c r="Z38" i="97"/>
  <c r="C33" i="26"/>
  <c r="C32" i="29" s="1"/>
  <c r="I31" i="25"/>
  <c r="V4" i="22"/>
  <c r="J24" i="27" s="1"/>
  <c r="Q25" i="32" s="1"/>
  <c r="I29" i="97" s="1"/>
  <c r="P38" i="18" l="1"/>
  <c r="P38" i="20" s="1"/>
  <c r="D16" i="27" s="1"/>
  <c r="K17" i="32" s="1"/>
  <c r="C21" i="97" s="1"/>
  <c r="V36" i="18"/>
  <c r="V36" i="20" s="1"/>
  <c r="J14" i="27" s="1"/>
  <c r="Q15" i="32" s="1"/>
  <c r="I19" i="97" s="1"/>
  <c r="X35" i="20"/>
  <c r="S37" i="20"/>
  <c r="G15" i="27" s="1"/>
  <c r="N16" i="32" s="1"/>
  <c r="F20" i="97" s="1"/>
  <c r="R37" i="18"/>
  <c r="R37" i="20" s="1"/>
  <c r="F15" i="27" s="1"/>
  <c r="M16" i="32" s="1"/>
  <c r="E20" i="97" s="1"/>
  <c r="B4" i="26"/>
  <c r="B3" i="29" s="1"/>
  <c r="D3" i="26"/>
  <c r="D2" i="29" s="1"/>
  <c r="Q5" i="20"/>
  <c r="W36" i="18"/>
  <c r="W36" i="20" s="1"/>
  <c r="K14" i="27" s="1"/>
  <c r="R15" i="32" s="1"/>
  <c r="J19" i="97" s="1"/>
  <c r="B38" i="20"/>
  <c r="B21" i="25" s="1"/>
  <c r="D37" i="20"/>
  <c r="D20" i="25" s="1"/>
  <c r="O5" i="15"/>
  <c r="B5" i="17"/>
  <c r="G36" i="18"/>
  <c r="H36" i="18"/>
  <c r="H43" i="22" s="1"/>
  <c r="H30" i="22" s="1"/>
  <c r="H17" i="22" s="1"/>
  <c r="F4" i="18"/>
  <c r="S4" i="18" s="1"/>
  <c r="F4" i="20"/>
  <c r="U4" i="20"/>
  <c r="U3" i="15"/>
  <c r="H3" i="17"/>
  <c r="T3" i="15"/>
  <c r="G3" i="17"/>
  <c r="Q4" i="15"/>
  <c r="D4" i="17"/>
  <c r="T4" i="20"/>
  <c r="C5" i="18"/>
  <c r="P5" i="18" s="1"/>
  <c r="C5" i="20"/>
  <c r="C3" i="25" s="1"/>
  <c r="Z8" i="97" s="1"/>
  <c r="J3" i="20"/>
  <c r="J3" i="18"/>
  <c r="W3" i="18" s="1"/>
  <c r="I3" i="18"/>
  <c r="V3" i="18" s="1"/>
  <c r="I3" i="20"/>
  <c r="E4" i="20"/>
  <c r="E4" i="18"/>
  <c r="R4" i="18" s="1"/>
  <c r="Z9" i="97"/>
  <c r="C4" i="26"/>
  <c r="C3" i="29" s="1"/>
  <c r="K2" i="20"/>
  <c r="K2" i="18"/>
  <c r="X2" i="18" s="1"/>
  <c r="O6" i="20"/>
  <c r="E3" i="26"/>
  <c r="E2" i="29" s="1"/>
  <c r="AB8" i="97"/>
  <c r="F56" i="22"/>
  <c r="F31" i="25" s="1"/>
  <c r="F5" i="22"/>
  <c r="J55" i="22"/>
  <c r="J4" i="22"/>
  <c r="C57" i="22"/>
  <c r="C6" i="22"/>
  <c r="E56" i="22"/>
  <c r="E5" i="22"/>
  <c r="I55" i="22"/>
  <c r="I4" i="22"/>
  <c r="E36" i="15"/>
  <c r="E36" i="17" s="1"/>
  <c r="E36" i="20" s="1"/>
  <c r="K29" i="25"/>
  <c r="X2" i="22"/>
  <c r="L22" i="27" s="1"/>
  <c r="S23" i="32" s="1"/>
  <c r="K27" i="97" s="1"/>
  <c r="H19" i="25"/>
  <c r="B33" i="29"/>
  <c r="L34" i="26"/>
  <c r="G19" i="25"/>
  <c r="I35" i="15"/>
  <c r="I35" i="17" s="1"/>
  <c r="I35" i="18" s="1"/>
  <c r="B33" i="25"/>
  <c r="O6" i="22"/>
  <c r="C26" i="27" s="1"/>
  <c r="J27" i="32" s="1"/>
  <c r="B31" i="97" s="1"/>
  <c r="K34" i="15"/>
  <c r="K30" i="26"/>
  <c r="K29" i="29" s="1"/>
  <c r="AH35" i="97"/>
  <c r="U36" i="15"/>
  <c r="H2" i="14"/>
  <c r="H35" i="14"/>
  <c r="I2" i="15"/>
  <c r="B45" i="22"/>
  <c r="B32" i="22" s="1"/>
  <c r="B19" i="22" s="1"/>
  <c r="T36" i="15"/>
  <c r="G2" i="14"/>
  <c r="G35" i="14"/>
  <c r="AG36" i="97"/>
  <c r="J31" i="26"/>
  <c r="J30" i="29" s="1"/>
  <c r="H31" i="25"/>
  <c r="U4" i="22"/>
  <c r="I24" i="27" s="1"/>
  <c r="P25" i="32" s="1"/>
  <c r="H29" i="97" s="1"/>
  <c r="I19" i="26"/>
  <c r="AF24" i="97"/>
  <c r="J19" i="26"/>
  <c r="AG24" i="97"/>
  <c r="O38" i="15"/>
  <c r="O38" i="18" s="1"/>
  <c r="B4" i="14"/>
  <c r="B37" i="14"/>
  <c r="F36" i="15"/>
  <c r="F36" i="17" s="1"/>
  <c r="F36" i="18" s="1"/>
  <c r="Q37" i="15"/>
  <c r="Q37" i="18" s="1"/>
  <c r="D3" i="14"/>
  <c r="D36" i="14"/>
  <c r="AB25" i="97"/>
  <c r="E20" i="26"/>
  <c r="E19" i="29" s="1"/>
  <c r="F3" i="15"/>
  <c r="C37" i="15"/>
  <c r="C37" i="17" s="1"/>
  <c r="C37" i="18" s="1"/>
  <c r="D32" i="25"/>
  <c r="Q5" i="22"/>
  <c r="E25" i="27" s="1"/>
  <c r="L26" i="32" s="1"/>
  <c r="D30" i="97" s="1"/>
  <c r="E3" i="15"/>
  <c r="D44" i="22"/>
  <c r="D31" i="22" s="1"/>
  <c r="D18" i="22" s="1"/>
  <c r="AF36" i="97"/>
  <c r="I31" i="26"/>
  <c r="I30" i="29" s="1"/>
  <c r="J35" i="15"/>
  <c r="J35" i="17" s="1"/>
  <c r="J35" i="18" s="1"/>
  <c r="C4" i="15"/>
  <c r="F20" i="26"/>
  <c r="F19" i="29" s="1"/>
  <c r="AC25" i="97"/>
  <c r="J2" i="15"/>
  <c r="AB37" i="97"/>
  <c r="E32" i="26"/>
  <c r="E31" i="29" s="1"/>
  <c r="B21" i="29"/>
  <c r="L22" i="26"/>
  <c r="Z26" i="97"/>
  <c r="C21" i="26"/>
  <c r="C20" i="29" s="1"/>
  <c r="G31" i="25"/>
  <c r="T4" i="22"/>
  <c r="H24" i="27" s="1"/>
  <c r="O25" i="32" s="1"/>
  <c r="G29" i="97" s="1"/>
  <c r="C3" i="26" l="1"/>
  <c r="C2" i="29" s="1"/>
  <c r="O38" i="20"/>
  <c r="C16" i="27" s="1"/>
  <c r="J17" i="32" s="1"/>
  <c r="B21" i="97" s="1"/>
  <c r="L4" i="26"/>
  <c r="X2" i="20"/>
  <c r="J35" i="20"/>
  <c r="J54" i="22" s="1"/>
  <c r="V3" i="20"/>
  <c r="P5" i="20"/>
  <c r="T36" i="18"/>
  <c r="T36" i="20" s="1"/>
  <c r="H14" i="27" s="1"/>
  <c r="O15" i="32" s="1"/>
  <c r="G19" i="97" s="1"/>
  <c r="F36" i="20"/>
  <c r="F19" i="25" s="1"/>
  <c r="Q37" i="20"/>
  <c r="E15" i="27" s="1"/>
  <c r="L16" i="32" s="1"/>
  <c r="D20" i="97" s="1"/>
  <c r="U36" i="18"/>
  <c r="U36" i="20" s="1"/>
  <c r="I14" i="27" s="1"/>
  <c r="P15" i="32" s="1"/>
  <c r="H19" i="97" s="1"/>
  <c r="S3" i="15"/>
  <c r="F3" i="17"/>
  <c r="G43" i="22"/>
  <c r="G30" i="22" s="1"/>
  <c r="G17" i="22" s="1"/>
  <c r="G4" i="22" s="1"/>
  <c r="I35" i="20"/>
  <c r="I54" i="22" s="1"/>
  <c r="E36" i="18"/>
  <c r="E43" i="22" s="1"/>
  <c r="E30" i="22" s="1"/>
  <c r="E17" i="22" s="1"/>
  <c r="R4" i="20"/>
  <c r="W3" i="20"/>
  <c r="B5" i="18"/>
  <c r="O5" i="18" s="1"/>
  <c r="B5" i="20"/>
  <c r="B3" i="25" s="1"/>
  <c r="G3" i="20"/>
  <c r="G3" i="18"/>
  <c r="T3" i="18" s="1"/>
  <c r="W2" i="15"/>
  <c r="J2" i="17"/>
  <c r="C37" i="20"/>
  <c r="C20" i="25" s="1"/>
  <c r="D4" i="18"/>
  <c r="Q4" i="18" s="1"/>
  <c r="D4" i="20"/>
  <c r="H3" i="18"/>
  <c r="U3" i="18" s="1"/>
  <c r="H3" i="20"/>
  <c r="S4" i="20"/>
  <c r="X34" i="15"/>
  <c r="K34" i="17"/>
  <c r="P4" i="15"/>
  <c r="C4" i="17"/>
  <c r="R3" i="15"/>
  <c r="E3" i="17"/>
  <c r="V2" i="15"/>
  <c r="I2" i="17"/>
  <c r="S4" i="22"/>
  <c r="G24" i="27" s="1"/>
  <c r="N25" i="32" s="1"/>
  <c r="F29" i="97" s="1"/>
  <c r="D56" i="22"/>
  <c r="D5" i="22"/>
  <c r="H55" i="22"/>
  <c r="H4" i="22"/>
  <c r="B57" i="22"/>
  <c r="B6" i="22"/>
  <c r="B4" i="15"/>
  <c r="H35" i="15"/>
  <c r="H35" i="17" s="1"/>
  <c r="H35" i="18" s="1"/>
  <c r="Y38" i="97"/>
  <c r="B33" i="26"/>
  <c r="H19" i="26"/>
  <c r="AE24" i="97"/>
  <c r="D20" i="26"/>
  <c r="D19" i="29" s="1"/>
  <c r="AA25" i="97"/>
  <c r="B37" i="15"/>
  <c r="B37" i="17" s="1"/>
  <c r="B37" i="18" s="1"/>
  <c r="I18" i="29"/>
  <c r="AE36" i="97"/>
  <c r="H31" i="26"/>
  <c r="H30" i="29" s="1"/>
  <c r="H2" i="15"/>
  <c r="B21" i="26"/>
  <c r="Y26" i="97"/>
  <c r="I30" i="25"/>
  <c r="V3" i="22"/>
  <c r="J23" i="27" s="1"/>
  <c r="Q24" i="32" s="1"/>
  <c r="I28" i="97" s="1"/>
  <c r="V35" i="15"/>
  <c r="V35" i="18" s="1"/>
  <c r="I34" i="14"/>
  <c r="F31" i="26"/>
  <c r="F30" i="29" s="1"/>
  <c r="AC36" i="97"/>
  <c r="E31" i="25"/>
  <c r="R4" i="22"/>
  <c r="F24" i="27" s="1"/>
  <c r="M25" i="32" s="1"/>
  <c r="E29" i="97" s="1"/>
  <c r="AA37" i="97"/>
  <c r="D32" i="26"/>
  <c r="D31" i="29" s="1"/>
  <c r="AD24" i="97"/>
  <c r="G19" i="26"/>
  <c r="AH34" i="97"/>
  <c r="K29" i="26"/>
  <c r="W35" i="15"/>
  <c r="W35" i="18" s="1"/>
  <c r="J34" i="14"/>
  <c r="D36" i="15"/>
  <c r="D36" i="17" s="1"/>
  <c r="D36" i="18" s="1"/>
  <c r="F43" i="22"/>
  <c r="F30" i="22" s="1"/>
  <c r="F17" i="22" s="1"/>
  <c r="J18" i="29"/>
  <c r="G35" i="15"/>
  <c r="G35" i="17" s="1"/>
  <c r="G35" i="20" s="1"/>
  <c r="E19" i="25"/>
  <c r="C32" i="25"/>
  <c r="P5" i="22"/>
  <c r="D25" i="27" s="1"/>
  <c r="K26" i="32" s="1"/>
  <c r="C30" i="97" s="1"/>
  <c r="AD36" i="97"/>
  <c r="G31" i="26"/>
  <c r="G30" i="29" s="1"/>
  <c r="C44" i="22"/>
  <c r="C31" i="22" s="1"/>
  <c r="C18" i="22" s="1"/>
  <c r="C56" i="22" s="1"/>
  <c r="D3" i="15"/>
  <c r="S36" i="15"/>
  <c r="S36" i="18" s="1"/>
  <c r="F2" i="14"/>
  <c r="F35" i="14"/>
  <c r="G2" i="15"/>
  <c r="R36" i="15"/>
  <c r="E2" i="14"/>
  <c r="E35" i="14"/>
  <c r="P37" i="15"/>
  <c r="P37" i="18" s="1"/>
  <c r="C3" i="14"/>
  <c r="C36" i="14"/>
  <c r="J30" i="25"/>
  <c r="W3" i="22"/>
  <c r="K23" i="27" s="1"/>
  <c r="R24" i="32" s="1"/>
  <c r="J28" i="97" s="1"/>
  <c r="N9" i="25" l="1"/>
  <c r="G55" i="22"/>
  <c r="G30" i="25" s="1"/>
  <c r="B3" i="26"/>
  <c r="D43" i="26" s="1"/>
  <c r="S36" i="20"/>
  <c r="G14" i="27" s="1"/>
  <c r="N15" i="32" s="1"/>
  <c r="F19" i="97" s="1"/>
  <c r="W35" i="20"/>
  <c r="P37" i="20"/>
  <c r="D15" i="27" s="1"/>
  <c r="K16" i="32" s="1"/>
  <c r="C20" i="97" s="1"/>
  <c r="B37" i="20"/>
  <c r="B20" i="25" s="1"/>
  <c r="R36" i="18"/>
  <c r="R36" i="20" s="1"/>
  <c r="F14" i="27" s="1"/>
  <c r="M15" i="32" s="1"/>
  <c r="E19" i="97" s="1"/>
  <c r="Y8" i="97"/>
  <c r="O5" i="20"/>
  <c r="O9" i="25"/>
  <c r="G35" i="18"/>
  <c r="D36" i="20"/>
  <c r="D19" i="25" s="1"/>
  <c r="H35" i="20"/>
  <c r="H54" i="22" s="1"/>
  <c r="U3" i="20"/>
  <c r="U2" i="15"/>
  <c r="H2" i="17"/>
  <c r="O4" i="15"/>
  <c r="B4" i="17"/>
  <c r="I2" i="20"/>
  <c r="I2" i="18"/>
  <c r="V2" i="18" s="1"/>
  <c r="C4" i="20"/>
  <c r="C4" i="18"/>
  <c r="P4" i="18" s="1"/>
  <c r="Q4" i="20"/>
  <c r="T3" i="20"/>
  <c r="Q3" i="15"/>
  <c r="D3" i="17"/>
  <c r="F3" i="18"/>
  <c r="S3" i="18" s="1"/>
  <c r="F3" i="20"/>
  <c r="T2" i="15"/>
  <c r="G2" i="17"/>
  <c r="V35" i="20"/>
  <c r="E3" i="20"/>
  <c r="E3" i="18"/>
  <c r="R3" i="18" s="1"/>
  <c r="K34" i="20"/>
  <c r="K34" i="18"/>
  <c r="X34" i="18" s="1"/>
  <c r="J2" i="20"/>
  <c r="J2" i="18"/>
  <c r="W2" i="18" s="1"/>
  <c r="E55" i="22"/>
  <c r="E4" i="22"/>
  <c r="F55" i="22"/>
  <c r="F4" i="22"/>
  <c r="C36" i="15"/>
  <c r="C36" i="17" s="1"/>
  <c r="C36" i="18" s="1"/>
  <c r="G54" i="22"/>
  <c r="B20" i="29"/>
  <c r="L21" i="26"/>
  <c r="B32" i="29"/>
  <c r="L33" i="26"/>
  <c r="Q36" i="15"/>
  <c r="Q36" i="18" s="1"/>
  <c r="D2" i="14"/>
  <c r="D35" i="14"/>
  <c r="G18" i="29"/>
  <c r="C3" i="15"/>
  <c r="J30" i="26"/>
  <c r="J29" i="29" s="1"/>
  <c r="AG35" i="97"/>
  <c r="F35" i="15"/>
  <c r="F35" i="17" s="1"/>
  <c r="F35" i="18" s="1"/>
  <c r="Z37" i="97"/>
  <c r="C32" i="26"/>
  <c r="C31" i="29" s="1"/>
  <c r="D43" i="22"/>
  <c r="D30" i="22" s="1"/>
  <c r="D17" i="22" s="1"/>
  <c r="AB36" i="97"/>
  <c r="E31" i="26"/>
  <c r="E30" i="29" s="1"/>
  <c r="B44" i="22"/>
  <c r="B31" i="22" s="1"/>
  <c r="B18" i="22" s="1"/>
  <c r="U35" i="15"/>
  <c r="U35" i="18" s="1"/>
  <c r="H34" i="14"/>
  <c r="C31" i="25"/>
  <c r="P4" i="22"/>
  <c r="D24" i="27" s="1"/>
  <c r="K25" i="32" s="1"/>
  <c r="C29" i="97" s="1"/>
  <c r="E35" i="15"/>
  <c r="E35" i="17" s="1"/>
  <c r="E35" i="20" s="1"/>
  <c r="F2" i="15"/>
  <c r="C5" i="22"/>
  <c r="I29" i="25"/>
  <c r="V2" i="22"/>
  <c r="J22" i="27" s="1"/>
  <c r="Q23" i="32" s="1"/>
  <c r="I27" i="97" s="1"/>
  <c r="I30" i="26"/>
  <c r="I29" i="29" s="1"/>
  <c r="AF35" i="97"/>
  <c r="O37" i="15"/>
  <c r="O37" i="18" s="1"/>
  <c r="B3" i="14"/>
  <c r="B36" i="14"/>
  <c r="B32" i="25"/>
  <c r="O5" i="22"/>
  <c r="C25" i="27" s="1"/>
  <c r="J26" i="32" s="1"/>
  <c r="B30" i="97" s="1"/>
  <c r="E19" i="26"/>
  <c r="AB24" i="97"/>
  <c r="C20" i="26"/>
  <c r="C19" i="29" s="1"/>
  <c r="Z25" i="97"/>
  <c r="F19" i="26"/>
  <c r="AC24" i="97"/>
  <c r="E2" i="15"/>
  <c r="J29" i="25"/>
  <c r="W2" i="22"/>
  <c r="K22" i="27" s="1"/>
  <c r="R23" i="32" s="1"/>
  <c r="J27" i="97" s="1"/>
  <c r="J34" i="15"/>
  <c r="I34" i="15"/>
  <c r="H30" i="25"/>
  <c r="U3" i="22"/>
  <c r="I23" i="27" s="1"/>
  <c r="P24" i="32" s="1"/>
  <c r="H28" i="97" s="1"/>
  <c r="T35" i="15"/>
  <c r="G34" i="14"/>
  <c r="K28" i="29"/>
  <c r="K39" i="26"/>
  <c r="H18" i="29"/>
  <c r="D31" i="25"/>
  <c r="Q4" i="22"/>
  <c r="E24" i="27" s="1"/>
  <c r="L25" i="32" s="1"/>
  <c r="D29" i="97" s="1"/>
  <c r="P9" i="25" l="1"/>
  <c r="L3" i="26"/>
  <c r="B2" i="29"/>
  <c r="T3" i="22"/>
  <c r="H23" i="27" s="1"/>
  <c r="O24" i="32" s="1"/>
  <c r="G28" i="97" s="1"/>
  <c r="T35" i="18"/>
  <c r="T35" i="20" s="1"/>
  <c r="U35" i="20"/>
  <c r="O37" i="20"/>
  <c r="C15" i="27" s="1"/>
  <c r="J16" i="32" s="1"/>
  <c r="B20" i="97" s="1"/>
  <c r="P4" i="20"/>
  <c r="F35" i="20"/>
  <c r="F54" i="22" s="1"/>
  <c r="Q36" i="20"/>
  <c r="E14" i="27" s="1"/>
  <c r="L15" i="32" s="1"/>
  <c r="D19" i="97" s="1"/>
  <c r="E35" i="18"/>
  <c r="R3" i="20"/>
  <c r="V34" i="15"/>
  <c r="I34" i="17"/>
  <c r="C36" i="20"/>
  <c r="C19" i="25" s="1"/>
  <c r="G2" i="18"/>
  <c r="T2" i="18" s="1"/>
  <c r="G2" i="20"/>
  <c r="D3" i="20"/>
  <c r="D3" i="18"/>
  <c r="Q3" i="18" s="1"/>
  <c r="B4" i="20"/>
  <c r="B4" i="18"/>
  <c r="O4" i="18" s="1"/>
  <c r="R2" i="15"/>
  <c r="E2" i="17"/>
  <c r="S2" i="15"/>
  <c r="F2" i="17"/>
  <c r="W2" i="20"/>
  <c r="H2" i="20"/>
  <c r="H2" i="18"/>
  <c r="U2" i="18" s="1"/>
  <c r="W34" i="15"/>
  <c r="J34" i="17"/>
  <c r="P3" i="15"/>
  <c r="C3" i="17"/>
  <c r="X34" i="20"/>
  <c r="S3" i="20"/>
  <c r="V2" i="20"/>
  <c r="B56" i="22"/>
  <c r="B5" i="22"/>
  <c r="D55" i="22"/>
  <c r="D4" i="22"/>
  <c r="B20" i="26"/>
  <c r="Y25" i="97"/>
  <c r="K41" i="29"/>
  <c r="K39" i="29"/>
  <c r="K40" i="29" s="1"/>
  <c r="E18" i="29"/>
  <c r="G34" i="15"/>
  <c r="H29" i="25"/>
  <c r="U2" i="22"/>
  <c r="I22" i="27" s="1"/>
  <c r="P23" i="32" s="1"/>
  <c r="H27" i="97" s="1"/>
  <c r="Y37" i="97"/>
  <c r="B32" i="26"/>
  <c r="R35" i="15"/>
  <c r="E34" i="14"/>
  <c r="E54" i="22"/>
  <c r="P36" i="15"/>
  <c r="P36" i="18" s="1"/>
  <c r="C2" i="14"/>
  <c r="C35" i="14"/>
  <c r="D31" i="26"/>
  <c r="D30" i="29" s="1"/>
  <c r="AA36" i="97"/>
  <c r="F18" i="29"/>
  <c r="B36" i="15"/>
  <c r="B36" i="17" s="1"/>
  <c r="B36" i="18" s="1"/>
  <c r="I29" i="26"/>
  <c r="AF34" i="97"/>
  <c r="C43" i="22"/>
  <c r="C30" i="22" s="1"/>
  <c r="C17" i="22" s="1"/>
  <c r="J29" i="26"/>
  <c r="AG34" i="97"/>
  <c r="Z36" i="97"/>
  <c r="C31" i="26"/>
  <c r="C30" i="29" s="1"/>
  <c r="H34" i="15"/>
  <c r="S35" i="15"/>
  <c r="S35" i="18" s="1"/>
  <c r="F34" i="14"/>
  <c r="D2" i="15"/>
  <c r="G29" i="25"/>
  <c r="T2" i="22"/>
  <c r="H22" i="27" s="1"/>
  <c r="O23" i="32" s="1"/>
  <c r="G27" i="97" s="1"/>
  <c r="F30" i="25"/>
  <c r="S3" i="22"/>
  <c r="G23" i="27" s="1"/>
  <c r="N24" i="32" s="1"/>
  <c r="F28" i="97" s="1"/>
  <c r="B3" i="15"/>
  <c r="D35" i="15"/>
  <c r="D35" i="17" s="1"/>
  <c r="D35" i="20" s="1"/>
  <c r="D19" i="26"/>
  <c r="AA24" i="97"/>
  <c r="H30" i="26"/>
  <c r="H29" i="29" s="1"/>
  <c r="AE35" i="97"/>
  <c r="G30" i="26"/>
  <c r="G29" i="29" s="1"/>
  <c r="AD35" i="97"/>
  <c r="E30" i="25"/>
  <c r="R3" i="22"/>
  <c r="F23" i="27" s="1"/>
  <c r="M24" i="32" s="1"/>
  <c r="E28" i="97" s="1"/>
  <c r="R35" i="18" l="1"/>
  <c r="R35" i="20" s="1"/>
  <c r="S35" i="20"/>
  <c r="P36" i="20"/>
  <c r="D14" i="27" s="1"/>
  <c r="K15" i="32" s="1"/>
  <c r="C19" i="97" s="1"/>
  <c r="D35" i="18"/>
  <c r="U2" i="20"/>
  <c r="T2" i="20"/>
  <c r="B36" i="20"/>
  <c r="B19" i="25" s="1"/>
  <c r="T34" i="15"/>
  <c r="G34" i="17"/>
  <c r="C3" i="18"/>
  <c r="P3" i="18" s="1"/>
  <c r="C3" i="20"/>
  <c r="Q2" i="15"/>
  <c r="D2" i="17"/>
  <c r="E2" i="20"/>
  <c r="E2" i="18"/>
  <c r="R2" i="18" s="1"/>
  <c r="Q3" i="20"/>
  <c r="U34" i="15"/>
  <c r="H34" i="17"/>
  <c r="J34" i="18"/>
  <c r="W34" i="18" s="1"/>
  <c r="J34" i="20"/>
  <c r="I34" i="20"/>
  <c r="I34" i="18"/>
  <c r="V34" i="18" s="1"/>
  <c r="O3" i="15"/>
  <c r="B3" i="17"/>
  <c r="F2" i="18"/>
  <c r="S2" i="18" s="1"/>
  <c r="F2" i="20"/>
  <c r="O4" i="20"/>
  <c r="C55" i="22"/>
  <c r="C4" i="22"/>
  <c r="AB35" i="97"/>
  <c r="E30" i="26"/>
  <c r="E29" i="29" s="1"/>
  <c r="J28" i="29"/>
  <c r="J39" i="26"/>
  <c r="C19" i="26"/>
  <c r="Z24" i="97"/>
  <c r="AE34" i="97"/>
  <c r="H29" i="26"/>
  <c r="F29" i="25"/>
  <c r="S2" i="22"/>
  <c r="G22" i="27" s="1"/>
  <c r="N23" i="32" s="1"/>
  <c r="F27" i="97" s="1"/>
  <c r="E34" i="15"/>
  <c r="K42" i="29"/>
  <c r="K44" i="29"/>
  <c r="K43" i="29"/>
  <c r="D18" i="29"/>
  <c r="F30" i="26"/>
  <c r="F29" i="29" s="1"/>
  <c r="AC35" i="97"/>
  <c r="B43" i="22"/>
  <c r="B30" i="22" s="1"/>
  <c r="B17" i="22" s="1"/>
  <c r="C35" i="15"/>
  <c r="C35" i="17" s="1"/>
  <c r="C35" i="20" s="1"/>
  <c r="O36" i="15"/>
  <c r="O36" i="18" s="1"/>
  <c r="B2" i="14"/>
  <c r="B35" i="14"/>
  <c r="C2" i="15"/>
  <c r="B31" i="29"/>
  <c r="L32" i="26"/>
  <c r="B19" i="29"/>
  <c r="L20" i="26"/>
  <c r="F34" i="15"/>
  <c r="I28" i="29"/>
  <c r="I39" i="26"/>
  <c r="Q35" i="15"/>
  <c r="Q35" i="18" s="1"/>
  <c r="Q35" i="20" s="1"/>
  <c r="D34" i="14"/>
  <c r="AD34" i="97"/>
  <c r="G29" i="26"/>
  <c r="D30" i="25"/>
  <c r="Q3" i="22"/>
  <c r="E23" i="27" s="1"/>
  <c r="L24" i="32" s="1"/>
  <c r="D28" i="97" s="1"/>
  <c r="D54" i="22"/>
  <c r="E29" i="25"/>
  <c r="R2" i="22"/>
  <c r="F22" i="27" s="1"/>
  <c r="M23" i="32" s="1"/>
  <c r="E27" i="97" s="1"/>
  <c r="B31" i="25"/>
  <c r="O4" i="22"/>
  <c r="C24" i="27" s="1"/>
  <c r="J25" i="32" s="1"/>
  <c r="B29" i="97" s="1"/>
  <c r="V34" i="20" l="1"/>
  <c r="O36" i="20"/>
  <c r="C14" i="27" s="1"/>
  <c r="J15" i="32" s="1"/>
  <c r="B19" i="97" s="1"/>
  <c r="W34" i="20"/>
  <c r="P3" i="20"/>
  <c r="C35" i="18"/>
  <c r="P2" i="15"/>
  <c r="C2" i="17"/>
  <c r="R34" i="15"/>
  <c r="E34" i="17"/>
  <c r="S2" i="20"/>
  <c r="D2" i="20"/>
  <c r="D2" i="18"/>
  <c r="Q2" i="18" s="1"/>
  <c r="G34" i="20"/>
  <c r="G34" i="18"/>
  <c r="T34" i="18" s="1"/>
  <c r="B3" i="20"/>
  <c r="B3" i="18"/>
  <c r="O3" i="18" s="1"/>
  <c r="H34" i="18"/>
  <c r="U34" i="18" s="1"/>
  <c r="H34" i="20"/>
  <c r="S34" i="15"/>
  <c r="F34" i="17"/>
  <c r="R2" i="20"/>
  <c r="B55" i="22"/>
  <c r="B4" i="22"/>
  <c r="AA35" i="97"/>
  <c r="D30" i="26"/>
  <c r="D29" i="29" s="1"/>
  <c r="C30" i="25"/>
  <c r="P3" i="22"/>
  <c r="D23" i="27" s="1"/>
  <c r="K24" i="32" s="1"/>
  <c r="C28" i="97" s="1"/>
  <c r="B31" i="26"/>
  <c r="Y36" i="97"/>
  <c r="G28" i="29"/>
  <c r="G39" i="26"/>
  <c r="C54" i="22"/>
  <c r="C18" i="29"/>
  <c r="P35" i="15"/>
  <c r="C34" i="14"/>
  <c r="B35" i="15"/>
  <c r="B35" i="17" s="1"/>
  <c r="B35" i="18" s="1"/>
  <c r="E29" i="26"/>
  <c r="AB34" i="97"/>
  <c r="D34" i="15"/>
  <c r="B2" i="15"/>
  <c r="B19" i="26"/>
  <c r="N10" i="25"/>
  <c r="O10" i="25"/>
  <c r="Y24" i="97"/>
  <c r="J39" i="29"/>
  <c r="J40" i="29" s="1"/>
  <c r="J41" i="29"/>
  <c r="F29" i="26"/>
  <c r="AC34" i="97"/>
  <c r="D29" i="25"/>
  <c r="Q2" i="22"/>
  <c r="E22" i="27" s="1"/>
  <c r="L23" i="32" s="1"/>
  <c r="D27" i="97" s="1"/>
  <c r="I39" i="29"/>
  <c r="I40" i="29" s="1"/>
  <c r="I41" i="29"/>
  <c r="H28" i="29"/>
  <c r="H39" i="26"/>
  <c r="P35" i="18" l="1"/>
  <c r="P35" i="20" s="1"/>
  <c r="U34" i="20"/>
  <c r="B35" i="20"/>
  <c r="B54" i="22" s="1"/>
  <c r="F34" i="18"/>
  <c r="S34" i="18" s="1"/>
  <c r="F34" i="20"/>
  <c r="O3" i="20"/>
  <c r="Q2" i="20"/>
  <c r="O2" i="15"/>
  <c r="B2" i="17"/>
  <c r="E34" i="20"/>
  <c r="E34" i="18"/>
  <c r="R34" i="18" s="1"/>
  <c r="C2" i="18"/>
  <c r="P2" i="18" s="1"/>
  <c r="C2" i="20"/>
  <c r="Q34" i="15"/>
  <c r="D34" i="17"/>
  <c r="T34" i="20"/>
  <c r="O35" i="15"/>
  <c r="O35" i="18" s="1"/>
  <c r="B34" i="14"/>
  <c r="Z35" i="97"/>
  <c r="C30" i="26"/>
  <c r="C29" i="29" s="1"/>
  <c r="H41" i="29"/>
  <c r="H39" i="29"/>
  <c r="H40" i="29" s="1"/>
  <c r="C34" i="15"/>
  <c r="J44" i="29"/>
  <c r="J43" i="29"/>
  <c r="J42" i="29"/>
  <c r="I42" i="29"/>
  <c r="I43" i="29"/>
  <c r="I44" i="29"/>
  <c r="F28" i="29"/>
  <c r="F39" i="26"/>
  <c r="G41" i="29"/>
  <c r="G39" i="29"/>
  <c r="G40" i="29" s="1"/>
  <c r="P10" i="25"/>
  <c r="D29" i="26"/>
  <c r="AA34" i="97"/>
  <c r="D44" i="26"/>
  <c r="B18" i="29"/>
  <c r="L19" i="26"/>
  <c r="E28" i="29"/>
  <c r="E39" i="26"/>
  <c r="B30" i="29"/>
  <c r="L31" i="26"/>
  <c r="C29" i="25"/>
  <c r="P2" i="22"/>
  <c r="D22" i="27" s="1"/>
  <c r="K23" i="32" s="1"/>
  <c r="C27" i="97" s="1"/>
  <c r="B30" i="25"/>
  <c r="O3" i="22"/>
  <c r="C23" i="27" s="1"/>
  <c r="J24" i="32" s="1"/>
  <c r="B28" i="97" s="1"/>
  <c r="O35" i="20" l="1"/>
  <c r="B2" i="20"/>
  <c r="B2" i="18"/>
  <c r="O2" i="18" s="1"/>
  <c r="S34" i="20"/>
  <c r="P2" i="20"/>
  <c r="P34" i="15"/>
  <c r="C34" i="17"/>
  <c r="D34" i="20"/>
  <c r="D34" i="18"/>
  <c r="Q34" i="18" s="1"/>
  <c r="R34" i="20"/>
  <c r="C29" i="26"/>
  <c r="Z34" i="97"/>
  <c r="H44" i="29"/>
  <c r="H43" i="29"/>
  <c r="H42" i="29"/>
  <c r="G42" i="29"/>
  <c r="G43" i="29"/>
  <c r="G44" i="29"/>
  <c r="B29" i="25"/>
  <c r="N3" i="25" s="1"/>
  <c r="O2" i="22"/>
  <c r="C22" i="27" s="1"/>
  <c r="J23" i="32" s="1"/>
  <c r="B27" i="97" s="1"/>
  <c r="Y35" i="97"/>
  <c r="B30" i="26"/>
  <c r="E39" i="29"/>
  <c r="E40" i="29" s="1"/>
  <c r="E41" i="29"/>
  <c r="D28" i="29"/>
  <c r="D39" i="26"/>
  <c r="F41" i="29"/>
  <c r="F39" i="29"/>
  <c r="F40" i="29" s="1"/>
  <c r="B34" i="15"/>
  <c r="Q34" i="20" l="1"/>
  <c r="O2" i="20"/>
  <c r="C34" i="18"/>
  <c r="P34" i="18" s="1"/>
  <c r="C34" i="20"/>
  <c r="O34" i="15"/>
  <c r="B34" i="17"/>
  <c r="C28" i="29"/>
  <c r="C39" i="26"/>
  <c r="B29" i="29"/>
  <c r="L30" i="26"/>
  <c r="F44" i="29"/>
  <c r="F43" i="29"/>
  <c r="F42" i="29"/>
  <c r="E43" i="29"/>
  <c r="E44" i="29"/>
  <c r="E42" i="29"/>
  <c r="D41" i="29"/>
  <c r="D39" i="29"/>
  <c r="D40" i="29" s="1"/>
  <c r="O11" i="25"/>
  <c r="O12" i="25" s="1"/>
  <c r="N11" i="25"/>
  <c r="B29" i="26"/>
  <c r="Y34" i="97"/>
  <c r="P4" i="25"/>
  <c r="P5" i="25"/>
  <c r="O3" i="25"/>
  <c r="P3" i="25"/>
  <c r="O4" i="25"/>
  <c r="O5" i="25"/>
  <c r="N4" i="25"/>
  <c r="R14" i="29" s="1"/>
  <c r="B34" i="18" l="1"/>
  <c r="O34" i="18" s="1"/>
  <c r="B34" i="20"/>
  <c r="P34" i="20"/>
  <c r="N5" i="25"/>
  <c r="Q3" i="25" s="1"/>
  <c r="P14" i="29"/>
  <c r="D45" i="26"/>
  <c r="B28" i="29"/>
  <c r="L29" i="26"/>
  <c r="L39" i="26" s="1"/>
  <c r="L44" i="26"/>
  <c r="R13" i="29" s="1"/>
  <c r="L43" i="26"/>
  <c r="B39" i="26"/>
  <c r="C39" i="29"/>
  <c r="C40" i="29" s="1"/>
  <c r="C41" i="29"/>
  <c r="P11" i="25"/>
  <c r="P12" i="25" s="1"/>
  <c r="N12" i="25"/>
  <c r="D42" i="29"/>
  <c r="D44" i="29"/>
  <c r="D43" i="29"/>
  <c r="O34" i="20" l="1"/>
  <c r="B39" i="29"/>
  <c r="B40" i="29" s="1"/>
  <c r="B41" i="29"/>
  <c r="O5" i="29"/>
  <c r="O4" i="29"/>
  <c r="L45" i="26"/>
  <c r="P13" i="29"/>
  <c r="N13" i="29" s="1"/>
  <c r="J43" i="26"/>
  <c r="H46" i="26"/>
  <c r="Q4" i="25"/>
  <c r="Q5" i="25" s="1"/>
  <c r="C44" i="29"/>
  <c r="C42" i="29"/>
  <c r="C43" i="29"/>
  <c r="P15" i="29" l="1"/>
  <c r="R15" i="29"/>
  <c r="Q4" i="29"/>
  <c r="R4" i="29" s="1"/>
  <c r="P4" i="29"/>
  <c r="O6" i="29"/>
  <c r="O7" i="29"/>
  <c r="Q5" i="29"/>
  <c r="R5" i="29" s="1"/>
  <c r="P5" i="29"/>
  <c r="B43" i="29"/>
  <c r="L43" i="29" s="1"/>
  <c r="B44" i="29"/>
  <c r="B42" i="29"/>
  <c r="C21" i="32"/>
  <c r="B32" i="27"/>
  <c r="B33" i="27"/>
  <c r="H47" i="26"/>
  <c r="F20" i="32" l="1"/>
  <c r="E20" i="32"/>
  <c r="C20" i="32"/>
  <c r="B20" i="32"/>
  <c r="Q6" i="29"/>
  <c r="R6" i="29" s="1"/>
  <c r="P6" i="29"/>
  <c r="K2" i="35"/>
  <c r="E21" i="32"/>
  <c r="L44" i="29"/>
  <c r="C47" i="29"/>
  <c r="C48" i="29" s="1"/>
  <c r="A38" i="97"/>
  <c r="I34" i="32"/>
  <c r="E2" i="35"/>
  <c r="D51" i="35" s="1"/>
  <c r="M3" i="97"/>
  <c r="R16" i="29"/>
  <c r="P7" i="29"/>
  <c r="A37" i="97"/>
  <c r="I33" i="32"/>
  <c r="C2" i="35"/>
  <c r="B51" i="35" s="1"/>
  <c r="E3" i="97"/>
  <c r="P16" i="29"/>
  <c r="S15" i="29"/>
  <c r="F61" i="35" l="1"/>
  <c r="E61" i="35" s="1"/>
  <c r="D61" i="35" s="1"/>
  <c r="C61" i="35" s="1"/>
  <c r="F56" i="35"/>
  <c r="E56" i="35" s="1"/>
  <c r="D56" i="35" s="1"/>
  <c r="C56" i="35" s="1"/>
  <c r="F59" i="35"/>
  <c r="E59" i="35" s="1"/>
  <c r="D59" i="35" s="1"/>
  <c r="C59" i="35" s="1"/>
  <c r="F62" i="35"/>
  <c r="E62" i="35" s="1"/>
  <c r="D62" i="35" s="1"/>
  <c r="C62" i="35" s="1"/>
  <c r="F55" i="35"/>
  <c r="E55" i="35" s="1"/>
  <c r="D55" i="35" s="1"/>
  <c r="C55" i="35" s="1"/>
  <c r="F54" i="35"/>
  <c r="E54" i="35" s="1"/>
  <c r="D54" i="35" s="1"/>
  <c r="C54" i="35" s="1"/>
  <c r="F60" i="35"/>
  <c r="E60" i="35" s="1"/>
  <c r="D60" i="35" s="1"/>
  <c r="C60" i="35" s="1"/>
  <c r="F58" i="35"/>
  <c r="E58" i="35" s="1"/>
  <c r="D58" i="35" s="1"/>
  <c r="C58" i="35" s="1"/>
  <c r="F57" i="35"/>
  <c r="E57" i="35" s="1"/>
  <c r="D57" i="35" s="1"/>
  <c r="C57" i="35" s="1"/>
  <c r="F63" i="35"/>
  <c r="E63" i="35" s="1"/>
  <c r="D63" i="35" s="1"/>
  <c r="C63" i="35" s="1"/>
  <c r="G21" i="32"/>
  <c r="B36" i="35"/>
  <c r="B21" i="35"/>
  <c r="B5" i="35"/>
  <c r="G2" i="35"/>
  <c r="F51" i="35" s="1"/>
  <c r="R3" i="97"/>
  <c r="J36" i="35"/>
  <c r="J21" i="35"/>
  <c r="J5" i="35"/>
  <c r="S16" i="29"/>
  <c r="D5" i="35"/>
  <c r="T8" i="35" s="1"/>
  <c r="D36" i="35"/>
  <c r="D21" i="35"/>
  <c r="B58" i="35" l="1"/>
  <c r="C2" i="116" s="1"/>
  <c r="B55" i="35"/>
  <c r="B62" i="35"/>
  <c r="C2" i="120" s="1"/>
  <c r="B60" i="35"/>
  <c r="C2" i="118" s="1"/>
  <c r="B59" i="35"/>
  <c r="C2" i="117" s="1"/>
  <c r="B63" i="35"/>
  <c r="C2" i="121" s="1"/>
  <c r="B56" i="35"/>
  <c r="S54" i="35"/>
  <c r="T54" i="35"/>
  <c r="B54" i="35"/>
  <c r="B57" i="35"/>
  <c r="C2" i="115" s="1"/>
  <c r="B61" i="35"/>
  <c r="C2" i="119" s="1"/>
  <c r="G58" i="35"/>
  <c r="G60" i="35"/>
  <c r="G59" i="35"/>
  <c r="G57" i="35"/>
  <c r="G61" i="35"/>
  <c r="G56" i="35"/>
  <c r="G54" i="35"/>
  <c r="G62" i="35"/>
  <c r="G63" i="35"/>
  <c r="G55" i="35"/>
  <c r="S55" i="35" s="1"/>
  <c r="F5" i="35"/>
  <c r="S8" i="35" s="1"/>
  <c r="F21" i="35"/>
  <c r="AB3" i="97"/>
  <c r="F36" i="35"/>
  <c r="E40" i="35"/>
  <c r="E39" i="35"/>
  <c r="C9" i="35"/>
  <c r="B8" i="35"/>
  <c r="C17" i="35"/>
  <c r="C11" i="35"/>
  <c r="C16" i="35"/>
  <c r="C10" i="35"/>
  <c r="C14" i="35"/>
  <c r="C13" i="35"/>
  <c r="C15" i="35"/>
  <c r="C12" i="35"/>
  <c r="D8" i="35"/>
  <c r="W8" i="35" s="1"/>
  <c r="D30" i="35"/>
  <c r="D29" i="35"/>
  <c r="D31" i="35"/>
  <c r="D33" i="35"/>
  <c r="D26" i="35"/>
  <c r="D32" i="35"/>
  <c r="D27" i="35"/>
  <c r="D28" i="35"/>
  <c r="D25" i="35"/>
  <c r="D24" i="35"/>
  <c r="E47" i="35"/>
  <c r="E44" i="35"/>
  <c r="E43" i="35"/>
  <c r="E42" i="35"/>
  <c r="E46" i="35"/>
  <c r="E45" i="35"/>
  <c r="E48" i="35"/>
  <c r="E41" i="35"/>
  <c r="B4" i="115" l="1"/>
  <c r="B4" i="120"/>
  <c r="B4" i="119"/>
  <c r="B4" i="121"/>
  <c r="B4" i="118"/>
  <c r="B4" i="117"/>
  <c r="B4" i="116"/>
  <c r="Q54" i="35"/>
  <c r="T55" i="35"/>
  <c r="H62" i="35"/>
  <c r="I62" i="35" s="1"/>
  <c r="J62" i="35" s="1"/>
  <c r="K62" i="35" s="1"/>
  <c r="L62" i="35" s="1"/>
  <c r="M62" i="35" s="1"/>
  <c r="N62" i="35" s="1"/>
  <c r="O62" i="35" s="1"/>
  <c r="W54" i="35"/>
  <c r="H59" i="35"/>
  <c r="R54" i="35"/>
  <c r="H55" i="35"/>
  <c r="H56" i="35"/>
  <c r="H60" i="35"/>
  <c r="H57" i="35"/>
  <c r="H63" i="35"/>
  <c r="I63" i="35" s="1"/>
  <c r="J63" i="35" s="1"/>
  <c r="K63" i="35" s="1"/>
  <c r="L63" i="35" s="1"/>
  <c r="M63" i="35" s="1"/>
  <c r="N63" i="35" s="1"/>
  <c r="O63" i="35" s="1"/>
  <c r="P63" i="35" s="1"/>
  <c r="H61" i="35"/>
  <c r="H58" i="35"/>
  <c r="I58" i="35" s="1"/>
  <c r="J58" i="35" s="1"/>
  <c r="K58" i="35" s="1"/>
  <c r="U8" i="35"/>
  <c r="V8" i="35" s="1"/>
  <c r="E28" i="35"/>
  <c r="C28" i="35"/>
  <c r="B13" i="35"/>
  <c r="D13" i="35"/>
  <c r="D39" i="35"/>
  <c r="C39" i="35" s="1"/>
  <c r="F39" i="35"/>
  <c r="C31" i="35"/>
  <c r="E31" i="35"/>
  <c r="B17" i="35"/>
  <c r="D17" i="35"/>
  <c r="F43" i="35"/>
  <c r="D43" i="35"/>
  <c r="C43" i="35" s="1"/>
  <c r="D44" i="35"/>
  <c r="C44" i="35" s="1"/>
  <c r="F44" i="35"/>
  <c r="D14" i="35"/>
  <c r="B14" i="35"/>
  <c r="F47" i="35"/>
  <c r="D47" i="35"/>
  <c r="C47" i="35" s="1"/>
  <c r="E27" i="35"/>
  <c r="C27" i="35"/>
  <c r="D10" i="35"/>
  <c r="B10" i="35"/>
  <c r="R8" i="35"/>
  <c r="N8" i="35"/>
  <c r="D40" i="35"/>
  <c r="C40" i="35" s="1"/>
  <c r="F40" i="35"/>
  <c r="D16" i="35"/>
  <c r="B16" i="35"/>
  <c r="D41" i="35"/>
  <c r="C41" i="35" s="1"/>
  <c r="F41" i="35"/>
  <c r="D46" i="35"/>
  <c r="C46" i="35" s="1"/>
  <c r="F46" i="35"/>
  <c r="C24" i="35"/>
  <c r="E24" i="35"/>
  <c r="C26" i="35"/>
  <c r="E26" i="35"/>
  <c r="E32" i="35"/>
  <c r="C32" i="35"/>
  <c r="D48" i="35"/>
  <c r="C48" i="35" s="1"/>
  <c r="F48" i="35"/>
  <c r="B15" i="35"/>
  <c r="D15" i="35"/>
  <c r="B9" i="35"/>
  <c r="D9" i="35"/>
  <c r="T9" i="35" s="1"/>
  <c r="B12" i="35"/>
  <c r="D12" i="35"/>
  <c r="D42" i="35"/>
  <c r="C42" i="35" s="1"/>
  <c r="F42" i="35"/>
  <c r="C29" i="35"/>
  <c r="E29" i="35"/>
  <c r="F45" i="35"/>
  <c r="D45" i="35"/>
  <c r="C45" i="35" s="1"/>
  <c r="C25" i="35"/>
  <c r="E25" i="35"/>
  <c r="C33" i="35"/>
  <c r="E33" i="35"/>
  <c r="C30" i="35"/>
  <c r="E30" i="35"/>
  <c r="B11" i="35"/>
  <c r="D11" i="35"/>
  <c r="Q62" i="35" l="1"/>
  <c r="E2" i="120"/>
  <c r="B7" i="116"/>
  <c r="B7" i="118"/>
  <c r="B7" i="119"/>
  <c r="B7" i="115"/>
  <c r="Q63" i="35"/>
  <c r="E2" i="121"/>
  <c r="Q58" i="35"/>
  <c r="E2" i="116"/>
  <c r="B7" i="121"/>
  <c r="B7" i="120"/>
  <c r="B7" i="117"/>
  <c r="S24" i="35"/>
  <c r="T24" i="35"/>
  <c r="S40" i="35"/>
  <c r="T40" i="35"/>
  <c r="I56" i="35"/>
  <c r="Q56" i="35" s="1"/>
  <c r="S56" i="35"/>
  <c r="S9" i="35"/>
  <c r="I61" i="35"/>
  <c r="J61" i="35" s="1"/>
  <c r="K61" i="35" s="1"/>
  <c r="L61" i="35" s="1"/>
  <c r="M61" i="35" s="1"/>
  <c r="N61" i="35" s="1"/>
  <c r="I59" i="35"/>
  <c r="J59" i="35" s="1"/>
  <c r="K59" i="35" s="1"/>
  <c r="L59" i="35" s="1"/>
  <c r="R59" i="35" s="1"/>
  <c r="T58" i="35"/>
  <c r="I2" i="116" s="1"/>
  <c r="H4" i="116" s="1"/>
  <c r="S58" i="35"/>
  <c r="G2" i="116" s="1"/>
  <c r="T63" i="35"/>
  <c r="I2" i="121" s="1"/>
  <c r="H4" i="121" s="1"/>
  <c r="T56" i="35"/>
  <c r="S25" i="35"/>
  <c r="T25" i="35"/>
  <c r="T39" i="35"/>
  <c r="S39" i="35"/>
  <c r="I57" i="35"/>
  <c r="S62" i="35"/>
  <c r="G2" i="120" s="1"/>
  <c r="T62" i="35"/>
  <c r="I2" i="120" s="1"/>
  <c r="H4" i="120" s="1"/>
  <c r="I60" i="35"/>
  <c r="J60" i="35" s="1"/>
  <c r="K60" i="35" s="1"/>
  <c r="L60" i="35" s="1"/>
  <c r="M60" i="35" s="1"/>
  <c r="S63" i="35"/>
  <c r="G2" i="121" s="1"/>
  <c r="W55" i="35"/>
  <c r="Q55" i="35"/>
  <c r="W62" i="35"/>
  <c r="R55" i="35"/>
  <c r="W63" i="35"/>
  <c r="R63" i="35"/>
  <c r="W58" i="35"/>
  <c r="R58" i="35"/>
  <c r="U55" i="35"/>
  <c r="U54" i="35"/>
  <c r="V54" i="35" s="1"/>
  <c r="R62" i="35"/>
  <c r="E9" i="35"/>
  <c r="E2" i="80" s="1"/>
  <c r="D4" i="80" s="1"/>
  <c r="I2" i="80"/>
  <c r="H4" i="80" s="1"/>
  <c r="G43" i="35"/>
  <c r="H43" i="35" s="1"/>
  <c r="I43" i="35" s="1"/>
  <c r="J43" i="35" s="1"/>
  <c r="F29" i="35"/>
  <c r="G29" i="35" s="1"/>
  <c r="H29" i="35" s="1"/>
  <c r="I29" i="35" s="1"/>
  <c r="J29" i="35" s="1"/>
  <c r="F33" i="35"/>
  <c r="G33" i="35" s="1"/>
  <c r="H33" i="35" s="1"/>
  <c r="I33" i="35" s="1"/>
  <c r="J33" i="35" s="1"/>
  <c r="K33" i="35" s="1"/>
  <c r="L33" i="35" s="1"/>
  <c r="M33" i="35" s="1"/>
  <c r="N33" i="35" s="1"/>
  <c r="B29" i="35"/>
  <c r="C2" i="80"/>
  <c r="B46" i="35"/>
  <c r="E17" i="35"/>
  <c r="E13" i="35"/>
  <c r="G47" i="35"/>
  <c r="H47" i="35" s="1"/>
  <c r="I47" i="35" s="1"/>
  <c r="J47" i="35" s="1"/>
  <c r="K47" i="35" s="1"/>
  <c r="L47" i="35" s="1"/>
  <c r="M47" i="35" s="1"/>
  <c r="N47" i="35" s="1"/>
  <c r="G42" i="35"/>
  <c r="H42" i="35" s="1"/>
  <c r="I42" i="35" s="1"/>
  <c r="E15" i="35"/>
  <c r="G41" i="35"/>
  <c r="H41" i="35" s="1"/>
  <c r="C2" i="92"/>
  <c r="C2" i="96"/>
  <c r="C2" i="91"/>
  <c r="G46" i="35"/>
  <c r="H46" i="35" s="1"/>
  <c r="I46" i="35" s="1"/>
  <c r="J46" i="35" s="1"/>
  <c r="K46" i="35" s="1"/>
  <c r="L46" i="35" s="1"/>
  <c r="M46" i="35" s="1"/>
  <c r="F25" i="35"/>
  <c r="W25" i="35" s="1"/>
  <c r="B41" i="35"/>
  <c r="C2" i="87"/>
  <c r="E14" i="35"/>
  <c r="F31" i="35"/>
  <c r="G31" i="35" s="1"/>
  <c r="H31" i="35" s="1"/>
  <c r="I31" i="35" s="1"/>
  <c r="J31" i="35" s="1"/>
  <c r="K31" i="35" s="1"/>
  <c r="L31" i="35" s="1"/>
  <c r="B28" i="35"/>
  <c r="C2" i="93"/>
  <c r="B25" i="35"/>
  <c r="F26" i="35"/>
  <c r="G26" i="35" s="1"/>
  <c r="C2" i="94"/>
  <c r="E10" i="35"/>
  <c r="S10" i="35" s="1"/>
  <c r="G44" i="35"/>
  <c r="H44" i="35" s="1"/>
  <c r="I44" i="35" s="1"/>
  <c r="J44" i="35" s="1"/>
  <c r="K44" i="35" s="1"/>
  <c r="B31" i="35"/>
  <c r="F28" i="35"/>
  <c r="G28" i="35" s="1"/>
  <c r="H28" i="35" s="1"/>
  <c r="I28" i="35" s="1"/>
  <c r="B42" i="35"/>
  <c r="E11" i="35"/>
  <c r="F11" i="35" s="1"/>
  <c r="G11" i="35" s="1"/>
  <c r="E2" i="88" s="1"/>
  <c r="D4" i="88" s="1"/>
  <c r="C2" i="88"/>
  <c r="E16" i="35"/>
  <c r="B27" i="35"/>
  <c r="B44" i="35"/>
  <c r="W39" i="35"/>
  <c r="B33" i="35"/>
  <c r="G48" i="35"/>
  <c r="H48" i="35" s="1"/>
  <c r="I48" i="35" s="1"/>
  <c r="J48" i="35" s="1"/>
  <c r="K48" i="35" s="1"/>
  <c r="L48" i="35" s="1"/>
  <c r="M48" i="35" s="1"/>
  <c r="N48" i="35" s="1"/>
  <c r="O48" i="35" s="1"/>
  <c r="B45" i="35"/>
  <c r="E12" i="35"/>
  <c r="F12" i="35" s="1"/>
  <c r="G12" i="35" s="1"/>
  <c r="H12" i="35" s="1"/>
  <c r="E2" i="90" s="1"/>
  <c r="D4" i="90" s="1"/>
  <c r="B48" i="35"/>
  <c r="B26" i="35"/>
  <c r="G45" i="35"/>
  <c r="H45" i="35" s="1"/>
  <c r="I45" i="35" s="1"/>
  <c r="J45" i="35" s="1"/>
  <c r="K45" i="35" s="1"/>
  <c r="L45" i="35" s="1"/>
  <c r="C2" i="90"/>
  <c r="B32" i="35"/>
  <c r="W24" i="35"/>
  <c r="G40" i="35"/>
  <c r="F27" i="35"/>
  <c r="G27" i="35" s="1"/>
  <c r="H27" i="35" s="1"/>
  <c r="B39" i="35"/>
  <c r="R39" i="35" s="1"/>
  <c r="B30" i="35"/>
  <c r="F30" i="35"/>
  <c r="G30" i="35" s="1"/>
  <c r="H30" i="35" s="1"/>
  <c r="I30" i="35" s="1"/>
  <c r="J30" i="35" s="1"/>
  <c r="K30" i="35" s="1"/>
  <c r="F32" i="35"/>
  <c r="G32" i="35" s="1"/>
  <c r="H32" i="35" s="1"/>
  <c r="I32" i="35" s="1"/>
  <c r="J32" i="35" s="1"/>
  <c r="K32" i="35" s="1"/>
  <c r="L32" i="35" s="1"/>
  <c r="M32" i="35" s="1"/>
  <c r="B24" i="35"/>
  <c r="R24" i="35" s="1"/>
  <c r="B40" i="35"/>
  <c r="B47" i="35"/>
  <c r="B43" i="35"/>
  <c r="T7" i="80" l="1"/>
  <c r="W56" i="35"/>
  <c r="W59" i="35"/>
  <c r="T59" i="35"/>
  <c r="I2" i="117" s="1"/>
  <c r="H4" i="117" s="1"/>
  <c r="S59" i="35"/>
  <c r="G2" i="117" s="1"/>
  <c r="Q60" i="35"/>
  <c r="E2" i="118"/>
  <c r="D4" i="116"/>
  <c r="D1" i="116"/>
  <c r="F4" i="120"/>
  <c r="K2" i="120"/>
  <c r="J4" i="120" s="1"/>
  <c r="F4" i="116"/>
  <c r="K2" i="116"/>
  <c r="J4" i="116" s="1"/>
  <c r="Q59" i="35"/>
  <c r="E2" i="117"/>
  <c r="D4" i="121"/>
  <c r="D1" i="121"/>
  <c r="D4" i="120"/>
  <c r="D1" i="120"/>
  <c r="F4" i="121"/>
  <c r="K2" i="121"/>
  <c r="J4" i="121" s="1"/>
  <c r="Q61" i="35"/>
  <c r="E2" i="119"/>
  <c r="W61" i="35"/>
  <c r="S48" i="35"/>
  <c r="G2" i="112" s="1"/>
  <c r="F4" i="112" s="1"/>
  <c r="R60" i="35"/>
  <c r="V55" i="35"/>
  <c r="S44" i="35"/>
  <c r="G2" i="108" s="1"/>
  <c r="F4" i="108" s="1"/>
  <c r="S46" i="35"/>
  <c r="T61" i="35"/>
  <c r="I2" i="119" s="1"/>
  <c r="H4" i="119" s="1"/>
  <c r="T33" i="35"/>
  <c r="I2" i="106" s="1"/>
  <c r="H4" i="106" s="1"/>
  <c r="J57" i="35"/>
  <c r="T57" i="35"/>
  <c r="I2" i="115" s="1"/>
  <c r="H4" i="115" s="1"/>
  <c r="F15" i="35"/>
  <c r="G15" i="35" s="1"/>
  <c r="H15" i="35" s="1"/>
  <c r="I15" i="35" s="1"/>
  <c r="J15" i="35" s="1"/>
  <c r="K15" i="35" s="1"/>
  <c r="E2" i="93" s="1"/>
  <c r="D4" i="93" s="1"/>
  <c r="T47" i="35"/>
  <c r="I2" i="111" s="1"/>
  <c r="H4" i="111" s="1"/>
  <c r="T44" i="35"/>
  <c r="I2" i="108" s="1"/>
  <c r="H4" i="108" s="1"/>
  <c r="S57" i="35"/>
  <c r="G2" i="115" s="1"/>
  <c r="T48" i="35"/>
  <c r="I2" i="112" s="1"/>
  <c r="H4" i="112" s="1"/>
  <c r="S61" i="35"/>
  <c r="G2" i="119" s="1"/>
  <c r="S30" i="35"/>
  <c r="S42" i="35"/>
  <c r="G2" i="99" s="1"/>
  <c r="F4" i="99" s="1"/>
  <c r="S33" i="35"/>
  <c r="G2" i="106" s="1"/>
  <c r="F4" i="106" s="1"/>
  <c r="S47" i="35"/>
  <c r="G2" i="111" s="1"/>
  <c r="F4" i="111" s="1"/>
  <c r="T43" i="35"/>
  <c r="I2" i="107" s="1"/>
  <c r="H4" i="107" s="1"/>
  <c r="T60" i="35"/>
  <c r="I2" i="118" s="1"/>
  <c r="H4" i="118" s="1"/>
  <c r="S43" i="35"/>
  <c r="T42" i="35"/>
  <c r="I2" i="99" s="1"/>
  <c r="H4" i="99" s="1"/>
  <c r="S26" i="35"/>
  <c r="T46" i="35"/>
  <c r="I2" i="110" s="1"/>
  <c r="H4" i="110" s="1"/>
  <c r="T32" i="35"/>
  <c r="I2" i="105" s="1"/>
  <c r="H4" i="105" s="1"/>
  <c r="T10" i="35"/>
  <c r="I2" i="87" s="1"/>
  <c r="H4" i="87" s="1"/>
  <c r="F17" i="35"/>
  <c r="G17" i="35" s="1"/>
  <c r="H17" i="35" s="1"/>
  <c r="I17" i="35" s="1"/>
  <c r="S60" i="35"/>
  <c r="G2" i="118" s="1"/>
  <c r="S27" i="35"/>
  <c r="S32" i="35"/>
  <c r="T27" i="35"/>
  <c r="I2" i="100" s="1"/>
  <c r="H4" i="100" s="1"/>
  <c r="T29" i="35"/>
  <c r="I2" i="102" s="1"/>
  <c r="H4" i="102" s="1"/>
  <c r="T11" i="35"/>
  <c r="I2" i="88" s="1"/>
  <c r="H4" i="88" s="1"/>
  <c r="W60" i="35"/>
  <c r="R61" i="35"/>
  <c r="R56" i="35"/>
  <c r="S28" i="35"/>
  <c r="T45" i="35"/>
  <c r="S11" i="35"/>
  <c r="G2" i="88" s="1"/>
  <c r="F4" i="88" s="1"/>
  <c r="T41" i="35"/>
  <c r="S31" i="35"/>
  <c r="S29" i="35"/>
  <c r="G2" i="102" s="1"/>
  <c r="F4" i="102" s="1"/>
  <c r="T12" i="35"/>
  <c r="I2" i="90" s="1"/>
  <c r="H4" i="90" s="1"/>
  <c r="T26" i="35"/>
  <c r="I2" i="89" s="1"/>
  <c r="H4" i="89" s="1"/>
  <c r="T28" i="35"/>
  <c r="I2" i="101" s="1"/>
  <c r="H4" i="101" s="1"/>
  <c r="S45" i="35"/>
  <c r="S12" i="35"/>
  <c r="G2" i="90" s="1"/>
  <c r="F4" i="90" s="1"/>
  <c r="S41" i="35"/>
  <c r="T31" i="35"/>
  <c r="I2" i="104" s="1"/>
  <c r="H4" i="104" s="1"/>
  <c r="T30" i="35"/>
  <c r="I2" i="103" s="1"/>
  <c r="H4" i="103" s="1"/>
  <c r="U62" i="35"/>
  <c r="V62" i="35" s="1"/>
  <c r="U56" i="35"/>
  <c r="U58" i="35"/>
  <c r="V58" i="35" s="1"/>
  <c r="U63" i="35"/>
  <c r="V63" i="35" s="1"/>
  <c r="N9" i="35"/>
  <c r="U40" i="35"/>
  <c r="R25" i="35"/>
  <c r="R41" i="35"/>
  <c r="W12" i="35"/>
  <c r="P40" i="35"/>
  <c r="U25" i="35"/>
  <c r="V25" i="35" s="1"/>
  <c r="W41" i="35"/>
  <c r="W29" i="35"/>
  <c r="R12" i="35"/>
  <c r="N12" i="35"/>
  <c r="W11" i="35"/>
  <c r="W46" i="35"/>
  <c r="W42" i="35"/>
  <c r="W44" i="35"/>
  <c r="N11" i="35"/>
  <c r="R9" i="35"/>
  <c r="R11" i="35"/>
  <c r="W9" i="35"/>
  <c r="P39" i="35"/>
  <c r="C2" i="107"/>
  <c r="R43" i="35"/>
  <c r="U24" i="35"/>
  <c r="V24" i="35" s="1"/>
  <c r="C2" i="103"/>
  <c r="R30" i="35"/>
  <c r="W40" i="35"/>
  <c r="W48" i="35"/>
  <c r="E2" i="108"/>
  <c r="D4" i="108" s="1"/>
  <c r="P44" i="35"/>
  <c r="C2" i="101"/>
  <c r="R28" i="35"/>
  <c r="E2" i="89"/>
  <c r="D4" i="89" s="1"/>
  <c r="O26" i="35"/>
  <c r="E2" i="112"/>
  <c r="D4" i="112" s="1"/>
  <c r="P48" i="35"/>
  <c r="C2" i="99"/>
  <c r="R42" i="35"/>
  <c r="W31" i="35"/>
  <c r="B4" i="91"/>
  <c r="P41" i="35"/>
  <c r="F13" i="35"/>
  <c r="E2" i="102"/>
  <c r="D4" i="102" s="1"/>
  <c r="O29" i="35"/>
  <c r="W32" i="35"/>
  <c r="U39" i="35"/>
  <c r="V39" i="35" s="1"/>
  <c r="O24" i="35"/>
  <c r="W45" i="35"/>
  <c r="C2" i="112"/>
  <c r="R48" i="35"/>
  <c r="C2" i="108"/>
  <c r="R44" i="35"/>
  <c r="B4" i="88"/>
  <c r="D1" i="88"/>
  <c r="W28" i="35"/>
  <c r="F10" i="35"/>
  <c r="E2" i="104"/>
  <c r="D4" i="104" s="1"/>
  <c r="O31" i="35"/>
  <c r="B4" i="80"/>
  <c r="D1" i="80"/>
  <c r="W43" i="35"/>
  <c r="C2" i="89"/>
  <c r="R26" i="35"/>
  <c r="E2" i="109"/>
  <c r="D4" i="109" s="1"/>
  <c r="P45" i="35"/>
  <c r="E2" i="101"/>
  <c r="D4" i="101" s="1"/>
  <c r="O28" i="35"/>
  <c r="E2" i="107"/>
  <c r="D4" i="107" s="1"/>
  <c r="P43" i="35"/>
  <c r="E2" i="105"/>
  <c r="D4" i="105" s="1"/>
  <c r="O32" i="35"/>
  <c r="W30" i="35"/>
  <c r="D7" i="90"/>
  <c r="W7" i="90" s="1"/>
  <c r="C2" i="106"/>
  <c r="R33" i="35"/>
  <c r="F14" i="35"/>
  <c r="O25" i="35"/>
  <c r="B4" i="96"/>
  <c r="G2" i="80"/>
  <c r="F4" i="80" s="1"/>
  <c r="U9" i="35"/>
  <c r="C2" i="109"/>
  <c r="R45" i="35"/>
  <c r="B4" i="90"/>
  <c r="D1" i="90"/>
  <c r="C2" i="111"/>
  <c r="R47" i="35"/>
  <c r="E2" i="103"/>
  <c r="D4" i="103" s="1"/>
  <c r="O30" i="35"/>
  <c r="C2" i="100"/>
  <c r="R27" i="35"/>
  <c r="B4" i="94"/>
  <c r="B4" i="93"/>
  <c r="E2" i="99"/>
  <c r="P42" i="35"/>
  <c r="C2" i="102"/>
  <c r="R29" i="35"/>
  <c r="R40" i="35"/>
  <c r="W27" i="35"/>
  <c r="C2" i="105"/>
  <c r="R32" i="35"/>
  <c r="I2" i="109"/>
  <c r="H4" i="109" s="1"/>
  <c r="D7" i="88"/>
  <c r="W7" i="88" s="1"/>
  <c r="C2" i="104"/>
  <c r="R31" i="35"/>
  <c r="W26" i="35"/>
  <c r="E2" i="110"/>
  <c r="D4" i="110" s="1"/>
  <c r="P46" i="35"/>
  <c r="W47" i="35"/>
  <c r="W33" i="35"/>
  <c r="D7" i="80"/>
  <c r="W7" i="80" s="1"/>
  <c r="E2" i="100"/>
  <c r="D4" i="100" s="1"/>
  <c r="O27" i="35"/>
  <c r="F16" i="35"/>
  <c r="G16" i="35" s="1"/>
  <c r="H16" i="35" s="1"/>
  <c r="I16" i="35" s="1"/>
  <c r="J16" i="35" s="1"/>
  <c r="K16" i="35" s="1"/>
  <c r="L16" i="35" s="1"/>
  <c r="B4" i="87"/>
  <c r="B4" i="92"/>
  <c r="E2" i="111"/>
  <c r="D4" i="111" s="1"/>
  <c r="P47" i="35"/>
  <c r="C2" i="110"/>
  <c r="R46" i="35"/>
  <c r="E2" i="106"/>
  <c r="D4" i="106" s="1"/>
  <c r="O33" i="35"/>
  <c r="T7" i="104" l="1"/>
  <c r="T7" i="100"/>
  <c r="T7" i="103"/>
  <c r="S7" i="90"/>
  <c r="S7" i="80"/>
  <c r="U7" i="80" s="1"/>
  <c r="T7" i="102"/>
  <c r="T7" i="88"/>
  <c r="S7" i="88"/>
  <c r="T7" i="110"/>
  <c r="T7" i="105"/>
  <c r="T7" i="101"/>
  <c r="T7" i="112"/>
  <c r="D7" i="93"/>
  <c r="W7" i="93" s="1"/>
  <c r="T7" i="120"/>
  <c r="S7" i="120"/>
  <c r="T7" i="90"/>
  <c r="T7" i="106"/>
  <c r="T7" i="111"/>
  <c r="T7" i="107"/>
  <c r="T7" i="109"/>
  <c r="T7" i="89"/>
  <c r="T7" i="108"/>
  <c r="S7" i="121"/>
  <c r="T7" i="121"/>
  <c r="S7" i="116"/>
  <c r="T7" i="116"/>
  <c r="K2" i="117"/>
  <c r="J4" i="117" s="1"/>
  <c r="U59" i="35"/>
  <c r="V59" i="35" s="1"/>
  <c r="V56" i="35"/>
  <c r="R15" i="35"/>
  <c r="F4" i="117"/>
  <c r="F4" i="118"/>
  <c r="K2" i="118"/>
  <c r="J4" i="118" s="1"/>
  <c r="D4" i="117"/>
  <c r="D1" i="117"/>
  <c r="C12" i="121"/>
  <c r="C16" i="121"/>
  <c r="D7" i="121"/>
  <c r="C15" i="121"/>
  <c r="C11" i="121"/>
  <c r="C14" i="121"/>
  <c r="C10" i="121"/>
  <c r="C13" i="121"/>
  <c r="C9" i="121"/>
  <c r="C8" i="121"/>
  <c r="F4" i="115"/>
  <c r="C10" i="120"/>
  <c r="C16" i="120"/>
  <c r="C13" i="120"/>
  <c r="C12" i="120"/>
  <c r="D7" i="120"/>
  <c r="C14" i="120"/>
  <c r="C15" i="120"/>
  <c r="C9" i="120"/>
  <c r="C11" i="120"/>
  <c r="C8" i="120"/>
  <c r="D4" i="118"/>
  <c r="D1" i="118"/>
  <c r="F4" i="119"/>
  <c r="K2" i="119"/>
  <c r="J4" i="119" s="1"/>
  <c r="D4" i="119"/>
  <c r="D1" i="119"/>
  <c r="W57" i="35"/>
  <c r="E2" i="115"/>
  <c r="C9" i="116"/>
  <c r="C15" i="116"/>
  <c r="C16" i="116"/>
  <c r="D7" i="116"/>
  <c r="C14" i="116"/>
  <c r="C11" i="116"/>
  <c r="C12" i="116"/>
  <c r="C13" i="116"/>
  <c r="C10" i="116"/>
  <c r="C8" i="116"/>
  <c r="U60" i="35"/>
  <c r="V60" i="35" s="1"/>
  <c r="D1" i="93"/>
  <c r="W15" i="35"/>
  <c r="S15" i="35"/>
  <c r="G2" i="93" s="1"/>
  <c r="T16" i="35"/>
  <c r="I2" i="94" s="1"/>
  <c r="H4" i="94" s="1"/>
  <c r="U61" i="35"/>
  <c r="V61" i="35" s="1"/>
  <c r="C14" i="90"/>
  <c r="S16" i="35"/>
  <c r="G2" i="94" s="1"/>
  <c r="T15" i="35"/>
  <c r="I2" i="93" s="1"/>
  <c r="H4" i="93" s="1"/>
  <c r="C16" i="88"/>
  <c r="B16" i="88" s="1"/>
  <c r="U57" i="35"/>
  <c r="Q57" i="35"/>
  <c r="R57" i="35"/>
  <c r="C16" i="93"/>
  <c r="C10" i="80"/>
  <c r="N15" i="35"/>
  <c r="U43" i="35"/>
  <c r="V43" i="35" s="1"/>
  <c r="J17" i="35"/>
  <c r="G2" i="107"/>
  <c r="F4" i="107" s="1"/>
  <c r="C13" i="88"/>
  <c r="C10" i="88"/>
  <c r="U12" i="35"/>
  <c r="V12" i="35" s="1"/>
  <c r="C15" i="88"/>
  <c r="C12" i="88"/>
  <c r="C9" i="88"/>
  <c r="V40" i="35"/>
  <c r="C13" i="80"/>
  <c r="U47" i="35"/>
  <c r="V47" i="35" s="1"/>
  <c r="C16" i="80"/>
  <c r="C12" i="80"/>
  <c r="C15" i="80"/>
  <c r="C11" i="80"/>
  <c r="C9" i="80"/>
  <c r="C14" i="80"/>
  <c r="U42" i="35"/>
  <c r="V42" i="35" s="1"/>
  <c r="C11" i="88"/>
  <c r="C14" i="88"/>
  <c r="U11" i="35"/>
  <c r="V11" i="35" s="1"/>
  <c r="C13" i="90"/>
  <c r="U41" i="35"/>
  <c r="V41" i="35" s="1"/>
  <c r="C12" i="90"/>
  <c r="U33" i="35"/>
  <c r="V33" i="35" s="1"/>
  <c r="C9" i="93"/>
  <c r="V9" i="35"/>
  <c r="U48" i="35"/>
  <c r="V48" i="35" s="1"/>
  <c r="K2" i="99"/>
  <c r="J4" i="99" s="1"/>
  <c r="D4" i="99"/>
  <c r="B4" i="109"/>
  <c r="D1" i="109"/>
  <c r="C10" i="93"/>
  <c r="C12" i="93"/>
  <c r="B4" i="89"/>
  <c r="D1" i="89"/>
  <c r="G13" i="35"/>
  <c r="H13" i="35" s="1"/>
  <c r="B4" i="103"/>
  <c r="D1" i="103"/>
  <c r="B7" i="92"/>
  <c r="D7" i="106"/>
  <c r="W7" i="106" s="1"/>
  <c r="G2" i="101"/>
  <c r="F4" i="101" s="1"/>
  <c r="U28" i="35"/>
  <c r="V28" i="35" s="1"/>
  <c r="B4" i="111"/>
  <c r="K2" i="111"/>
  <c r="J4" i="111" s="1"/>
  <c r="D1" i="111"/>
  <c r="B4" i="106"/>
  <c r="K2" i="106"/>
  <c r="J4" i="106" s="1"/>
  <c r="D1" i="106"/>
  <c r="K2" i="90"/>
  <c r="J4" i="90" s="1"/>
  <c r="G14" i="35"/>
  <c r="C9" i="90"/>
  <c r="C16" i="90"/>
  <c r="U29" i="35"/>
  <c r="V29" i="35" s="1"/>
  <c r="K2" i="80"/>
  <c r="J4" i="80" s="1"/>
  <c r="G2" i="87"/>
  <c r="U10" i="35"/>
  <c r="D7" i="112"/>
  <c r="W7" i="112" s="1"/>
  <c r="U44" i="35"/>
  <c r="V44" i="35" s="1"/>
  <c r="D7" i="110"/>
  <c r="W7" i="110" s="1"/>
  <c r="B7" i="87"/>
  <c r="G2" i="103"/>
  <c r="F4" i="103" s="1"/>
  <c r="U30" i="35"/>
  <c r="V30" i="35" s="1"/>
  <c r="B7" i="93"/>
  <c r="C8" i="93"/>
  <c r="G2" i="109"/>
  <c r="F4" i="109" s="1"/>
  <c r="U45" i="35"/>
  <c r="V45" i="35" s="1"/>
  <c r="C11" i="93"/>
  <c r="D7" i="101"/>
  <c r="W7" i="101" s="1"/>
  <c r="E2" i="87"/>
  <c r="N10" i="35"/>
  <c r="R10" i="35"/>
  <c r="B7" i="91"/>
  <c r="B4" i="107"/>
  <c r="D1" i="107"/>
  <c r="D7" i="100"/>
  <c r="W7" i="100" s="1"/>
  <c r="B4" i="100"/>
  <c r="D1" i="100"/>
  <c r="B4" i="104"/>
  <c r="D1" i="104"/>
  <c r="G2" i="89"/>
  <c r="F4" i="89" s="1"/>
  <c r="U26" i="35"/>
  <c r="V26" i="35" s="1"/>
  <c r="C8" i="90"/>
  <c r="B7" i="90"/>
  <c r="C11" i="90"/>
  <c r="G2" i="105"/>
  <c r="F4" i="105" s="1"/>
  <c r="U32" i="35"/>
  <c r="V32" i="35" s="1"/>
  <c r="C13" i="93"/>
  <c r="B7" i="80"/>
  <c r="C8" i="80"/>
  <c r="D7" i="89"/>
  <c r="W7" i="89" s="1"/>
  <c r="B4" i="105"/>
  <c r="D1" i="105"/>
  <c r="D7" i="104"/>
  <c r="W7" i="104" s="1"/>
  <c r="B4" i="108"/>
  <c r="K2" i="108"/>
  <c r="J4" i="108" s="1"/>
  <c r="D1" i="108"/>
  <c r="B4" i="110"/>
  <c r="D1" i="110"/>
  <c r="B4" i="102"/>
  <c r="K2" i="102"/>
  <c r="J4" i="102" s="1"/>
  <c r="D1" i="102"/>
  <c r="C15" i="90"/>
  <c r="B4" i="112"/>
  <c r="K2" i="112"/>
  <c r="J4" i="112" s="1"/>
  <c r="D1" i="112"/>
  <c r="D7" i="102"/>
  <c r="W7" i="102" s="1"/>
  <c r="D7" i="111"/>
  <c r="W7" i="111" s="1"/>
  <c r="E2" i="94"/>
  <c r="R16" i="35"/>
  <c r="N16" i="35"/>
  <c r="G2" i="110"/>
  <c r="F4" i="110" s="1"/>
  <c r="U46" i="35"/>
  <c r="V46" i="35" s="1"/>
  <c r="B7" i="94"/>
  <c r="B7" i="96"/>
  <c r="C10" i="90"/>
  <c r="C14" i="93"/>
  <c r="D7" i="109"/>
  <c r="W7" i="109" s="1"/>
  <c r="K2" i="88"/>
  <c r="J4" i="88" s="1"/>
  <c r="B4" i="101"/>
  <c r="D1" i="101"/>
  <c r="W16" i="35"/>
  <c r="D7" i="107"/>
  <c r="W7" i="107" s="1"/>
  <c r="D7" i="108"/>
  <c r="W7" i="108" s="1"/>
  <c r="G2" i="104"/>
  <c r="F4" i="104" s="1"/>
  <c r="U31" i="35"/>
  <c r="V31" i="35" s="1"/>
  <c r="D7" i="103"/>
  <c r="W7" i="103" s="1"/>
  <c r="G2" i="100"/>
  <c r="F4" i="100" s="1"/>
  <c r="U27" i="35"/>
  <c r="V27" i="35" s="1"/>
  <c r="D7" i="105"/>
  <c r="W7" i="105" s="1"/>
  <c r="C15" i="93"/>
  <c r="B7" i="88"/>
  <c r="C8" i="88"/>
  <c r="B4" i="99"/>
  <c r="D1" i="99"/>
  <c r="W10" i="35"/>
  <c r="N7" i="93" l="1"/>
  <c r="U7" i="116"/>
  <c r="U7" i="120"/>
  <c r="V57" i="35"/>
  <c r="U7" i="121"/>
  <c r="U7" i="88"/>
  <c r="D3" i="95" s="1"/>
  <c r="P8" i="97" s="1"/>
  <c r="D24" i="32" s="1"/>
  <c r="U7" i="90"/>
  <c r="E3" i="95" s="1"/>
  <c r="Q8" i="97" s="1"/>
  <c r="E24" i="32" s="1"/>
  <c r="S7" i="101"/>
  <c r="U7" i="101" s="1"/>
  <c r="S7" i="108"/>
  <c r="U7" i="108" s="1"/>
  <c r="S7" i="105"/>
  <c r="U7" i="105" s="1"/>
  <c r="S7" i="111"/>
  <c r="U7" i="111" s="1"/>
  <c r="T7" i="119"/>
  <c r="T7" i="118"/>
  <c r="S7" i="115"/>
  <c r="S7" i="117"/>
  <c r="T7" i="93"/>
  <c r="S7" i="110"/>
  <c r="S7" i="104"/>
  <c r="U7" i="104" s="1"/>
  <c r="S7" i="106"/>
  <c r="U7" i="106" s="1"/>
  <c r="S7" i="89"/>
  <c r="U7" i="89" s="1"/>
  <c r="S7" i="109"/>
  <c r="T7" i="117"/>
  <c r="S7" i="99"/>
  <c r="S7" i="107"/>
  <c r="U7" i="107" s="1"/>
  <c r="S7" i="103"/>
  <c r="U7" i="103" s="1"/>
  <c r="T7" i="99"/>
  <c r="S7" i="119"/>
  <c r="S7" i="112"/>
  <c r="U7" i="112" s="1"/>
  <c r="S7" i="102"/>
  <c r="U7" i="102" s="1"/>
  <c r="S7" i="100"/>
  <c r="U7" i="100" s="1"/>
  <c r="B10" i="80"/>
  <c r="S7" i="118"/>
  <c r="U7" i="110"/>
  <c r="D8" i="116"/>
  <c r="E8" i="116" s="1"/>
  <c r="W8" i="116" s="1"/>
  <c r="B8" i="116"/>
  <c r="D11" i="116"/>
  <c r="B11" i="116"/>
  <c r="B15" i="116"/>
  <c r="D15" i="116"/>
  <c r="D4" i="115"/>
  <c r="D1" i="115"/>
  <c r="C13" i="118"/>
  <c r="D7" i="118"/>
  <c r="C11" i="118"/>
  <c r="C14" i="118"/>
  <c r="C12" i="118"/>
  <c r="C9" i="118"/>
  <c r="C10" i="118"/>
  <c r="C15" i="118"/>
  <c r="C16" i="118"/>
  <c r="C8" i="118"/>
  <c r="D9" i="120"/>
  <c r="B9" i="120"/>
  <c r="B12" i="120"/>
  <c r="D12" i="120"/>
  <c r="D8" i="121"/>
  <c r="S8" i="121" s="1"/>
  <c r="B8" i="121"/>
  <c r="B14" i="121"/>
  <c r="D14" i="121"/>
  <c r="B16" i="121"/>
  <c r="D16" i="121"/>
  <c r="K2" i="107"/>
  <c r="J4" i="107" s="1"/>
  <c r="B14" i="90"/>
  <c r="D10" i="116"/>
  <c r="E10" i="116" s="1"/>
  <c r="F10" i="116" s="1"/>
  <c r="G10" i="116" s="1"/>
  <c r="W10" i="116" s="1"/>
  <c r="B10" i="116"/>
  <c r="B14" i="116"/>
  <c r="D14" i="116"/>
  <c r="D9" i="116"/>
  <c r="B9" i="116"/>
  <c r="B15" i="120"/>
  <c r="D15" i="120"/>
  <c r="D13" i="120"/>
  <c r="B13" i="120"/>
  <c r="K2" i="115"/>
  <c r="J4" i="115" s="1"/>
  <c r="D9" i="121"/>
  <c r="B9" i="121"/>
  <c r="D11" i="121"/>
  <c r="B11" i="121"/>
  <c r="B12" i="121"/>
  <c r="D12" i="121"/>
  <c r="U7" i="109"/>
  <c r="B16" i="93"/>
  <c r="B13" i="116"/>
  <c r="D13" i="116"/>
  <c r="W7" i="116"/>
  <c r="N7" i="116"/>
  <c r="R7" i="116"/>
  <c r="C9" i="119"/>
  <c r="C14" i="119"/>
  <c r="D7" i="119"/>
  <c r="C13" i="119"/>
  <c r="C15" i="119"/>
  <c r="C16" i="119"/>
  <c r="C10" i="119"/>
  <c r="C12" i="119"/>
  <c r="C11" i="119"/>
  <c r="C8" i="119"/>
  <c r="D8" i="120"/>
  <c r="T8" i="120" s="1"/>
  <c r="B8" i="120"/>
  <c r="B14" i="120"/>
  <c r="D14" i="120"/>
  <c r="B16" i="120"/>
  <c r="D16" i="120"/>
  <c r="B13" i="121"/>
  <c r="D13" i="121"/>
  <c r="B15" i="121"/>
  <c r="D15" i="121"/>
  <c r="B12" i="116"/>
  <c r="D12" i="116"/>
  <c r="D16" i="116"/>
  <c r="B16" i="116"/>
  <c r="D11" i="120"/>
  <c r="B11" i="120"/>
  <c r="W7" i="120"/>
  <c r="V7" i="120" s="1"/>
  <c r="N7" i="120"/>
  <c r="R7" i="120"/>
  <c r="D10" i="120"/>
  <c r="B10" i="120"/>
  <c r="D10" i="121"/>
  <c r="B10" i="121"/>
  <c r="W7" i="121"/>
  <c r="R7" i="121"/>
  <c r="N7" i="121"/>
  <c r="D7" i="117"/>
  <c r="C13" i="117"/>
  <c r="C15" i="117"/>
  <c r="C9" i="117"/>
  <c r="C14" i="117"/>
  <c r="C11" i="117"/>
  <c r="C16" i="117"/>
  <c r="C10" i="117"/>
  <c r="C12" i="117"/>
  <c r="C8" i="117"/>
  <c r="C15" i="108"/>
  <c r="B15" i="108" s="1"/>
  <c r="C16" i="101"/>
  <c r="B16" i="101" s="1"/>
  <c r="C12" i="112"/>
  <c r="I13" i="35"/>
  <c r="E2" i="91" s="1"/>
  <c r="S13" i="35"/>
  <c r="G2" i="91" s="1"/>
  <c r="B13" i="80"/>
  <c r="D16" i="93"/>
  <c r="E16" i="93" s="1"/>
  <c r="F16" i="93" s="1"/>
  <c r="G16" i="93" s="1"/>
  <c r="H16" i="93" s="1"/>
  <c r="I16" i="93" s="1"/>
  <c r="J16" i="93" s="1"/>
  <c r="K16" i="93" s="1"/>
  <c r="L16" i="93" s="1"/>
  <c r="M16" i="93" s="1"/>
  <c r="C13" i="89"/>
  <c r="B13" i="89" s="1"/>
  <c r="D10" i="80"/>
  <c r="B9" i="88"/>
  <c r="B12" i="90"/>
  <c r="U15" i="35"/>
  <c r="V15" i="35" s="1"/>
  <c r="C12" i="107"/>
  <c r="C10" i="104"/>
  <c r="D11" i="80"/>
  <c r="B12" i="88"/>
  <c r="C13" i="111"/>
  <c r="C14" i="102"/>
  <c r="B13" i="90"/>
  <c r="B15" i="80"/>
  <c r="B14" i="80"/>
  <c r="C15" i="105"/>
  <c r="B12" i="80"/>
  <c r="C12" i="110"/>
  <c r="C11" i="100"/>
  <c r="C11" i="106"/>
  <c r="C16" i="109"/>
  <c r="B9" i="93"/>
  <c r="B14" i="88"/>
  <c r="B16" i="80"/>
  <c r="B10" i="88"/>
  <c r="T13" i="35"/>
  <c r="I2" i="91" s="1"/>
  <c r="H4" i="91" s="1"/>
  <c r="C16" i="103"/>
  <c r="B13" i="88"/>
  <c r="K17" i="35"/>
  <c r="D15" i="88"/>
  <c r="D16" i="88"/>
  <c r="B15" i="88"/>
  <c r="D14" i="88"/>
  <c r="D13" i="88"/>
  <c r="D10" i="88"/>
  <c r="D12" i="88"/>
  <c r="B11" i="88"/>
  <c r="C16" i="89"/>
  <c r="C11" i="104"/>
  <c r="D13" i="80"/>
  <c r="C13" i="104"/>
  <c r="D11" i="88"/>
  <c r="C10" i="89"/>
  <c r="D16" i="80"/>
  <c r="D9" i="93"/>
  <c r="R7" i="93"/>
  <c r="S21" i="93" s="1"/>
  <c r="C10" i="111"/>
  <c r="C13" i="105"/>
  <c r="B11" i="80"/>
  <c r="C14" i="107"/>
  <c r="D12" i="80"/>
  <c r="C13" i="109"/>
  <c r="C14" i="109"/>
  <c r="C9" i="109"/>
  <c r="C10" i="109"/>
  <c r="C11" i="109"/>
  <c r="B9" i="80"/>
  <c r="C12" i="109"/>
  <c r="C15" i="109"/>
  <c r="D14" i="90"/>
  <c r="D15" i="80"/>
  <c r="D13" i="90"/>
  <c r="D14" i="80"/>
  <c r="C9" i="104"/>
  <c r="C9" i="103"/>
  <c r="C14" i="103"/>
  <c r="C13" i="103"/>
  <c r="C15" i="103"/>
  <c r="D12" i="90"/>
  <c r="C12" i="103"/>
  <c r="C10" i="103"/>
  <c r="C11" i="103"/>
  <c r="C9" i="108"/>
  <c r="C10" i="108"/>
  <c r="C16" i="107"/>
  <c r="C16" i="104"/>
  <c r="C9" i="107"/>
  <c r="C9" i="106"/>
  <c r="C12" i="108"/>
  <c r="C15" i="107"/>
  <c r="U16" i="35"/>
  <c r="V16" i="35" s="1"/>
  <c r="C10" i="106"/>
  <c r="C10" i="107"/>
  <c r="C13" i="108"/>
  <c r="C11" i="107"/>
  <c r="K2" i="101"/>
  <c r="J4" i="101" s="1"/>
  <c r="C15" i="104"/>
  <c r="C13" i="106"/>
  <c r="C11" i="108"/>
  <c r="C13" i="107"/>
  <c r="K2" i="105"/>
  <c r="J4" i="105" s="1"/>
  <c r="C14" i="106"/>
  <c r="C14" i="108"/>
  <c r="C16" i="108"/>
  <c r="C15" i="106"/>
  <c r="C10" i="102"/>
  <c r="C12" i="111"/>
  <c r="C12" i="102"/>
  <c r="C16" i="111"/>
  <c r="C16" i="102"/>
  <c r="C15" i="102"/>
  <c r="B3" i="113"/>
  <c r="B3" i="95"/>
  <c r="N8" i="97" s="1"/>
  <c r="B24" i="32" s="1"/>
  <c r="V7" i="80"/>
  <c r="C12" i="100"/>
  <c r="K2" i="109"/>
  <c r="J4" i="109" s="1"/>
  <c r="C9" i="111"/>
  <c r="C16" i="100"/>
  <c r="C14" i="111"/>
  <c r="C9" i="100"/>
  <c r="C15" i="101"/>
  <c r="C11" i="112"/>
  <c r="C13" i="100"/>
  <c r="C15" i="111"/>
  <c r="C11" i="111"/>
  <c r="C10" i="100"/>
  <c r="C12" i="106"/>
  <c r="C15" i="100"/>
  <c r="D3" i="113"/>
  <c r="B7" i="99"/>
  <c r="C8" i="99"/>
  <c r="B7" i="112"/>
  <c r="C8" i="112"/>
  <c r="B7" i="108"/>
  <c r="C8" i="108"/>
  <c r="C11" i="89"/>
  <c r="C8" i="104"/>
  <c r="B7" i="104"/>
  <c r="C11" i="101"/>
  <c r="C12" i="101"/>
  <c r="C10" i="110"/>
  <c r="C15" i="112"/>
  <c r="B16" i="90"/>
  <c r="D16" i="90"/>
  <c r="K2" i="89"/>
  <c r="J4" i="89" s="1"/>
  <c r="B15" i="90"/>
  <c r="D15" i="90"/>
  <c r="C8" i="105"/>
  <c r="B7" i="105"/>
  <c r="C10" i="105"/>
  <c r="F4" i="93"/>
  <c r="K2" i="93"/>
  <c r="J4" i="93" s="1"/>
  <c r="C13" i="102"/>
  <c r="F4" i="94"/>
  <c r="K2" i="94"/>
  <c r="J4" i="94" s="1"/>
  <c r="C14" i="89"/>
  <c r="C9" i="89"/>
  <c r="C9" i="101"/>
  <c r="C11" i="110"/>
  <c r="C16" i="112"/>
  <c r="B7" i="111"/>
  <c r="C8" i="111"/>
  <c r="K2" i="103"/>
  <c r="J4" i="103" s="1"/>
  <c r="D13" i="93"/>
  <c r="B12" i="93"/>
  <c r="D12" i="93"/>
  <c r="C8" i="109"/>
  <c r="B7" i="109"/>
  <c r="C14" i="105"/>
  <c r="C12" i="89"/>
  <c r="C13" i="101"/>
  <c r="C13" i="110"/>
  <c r="C13" i="112"/>
  <c r="V10" i="35"/>
  <c r="H14" i="35"/>
  <c r="I14" i="35" s="1"/>
  <c r="D11" i="93"/>
  <c r="B10" i="93"/>
  <c r="D10" i="93"/>
  <c r="C14" i="99"/>
  <c r="C11" i="99"/>
  <c r="C9" i="99"/>
  <c r="C10" i="99"/>
  <c r="C12" i="99"/>
  <c r="C13" i="99"/>
  <c r="C15" i="99"/>
  <c r="D7" i="99"/>
  <c r="C16" i="99"/>
  <c r="B8" i="88"/>
  <c r="D8" i="88"/>
  <c r="C12" i="105"/>
  <c r="D14" i="93"/>
  <c r="B14" i="93"/>
  <c r="K2" i="110"/>
  <c r="J4" i="110" s="1"/>
  <c r="C14" i="104"/>
  <c r="C15" i="89"/>
  <c r="B8" i="80"/>
  <c r="D8" i="80"/>
  <c r="B11" i="90"/>
  <c r="D11" i="90"/>
  <c r="C10" i="112"/>
  <c r="F4" i="87"/>
  <c r="K2" i="87"/>
  <c r="J4" i="87" s="1"/>
  <c r="D9" i="80"/>
  <c r="C8" i="103"/>
  <c r="B7" i="103"/>
  <c r="C8" i="102"/>
  <c r="B7" i="102"/>
  <c r="C8" i="110"/>
  <c r="B7" i="110"/>
  <c r="N7" i="80"/>
  <c r="R7" i="80"/>
  <c r="K2" i="100"/>
  <c r="J4" i="100" s="1"/>
  <c r="D4" i="87"/>
  <c r="D1" i="87"/>
  <c r="D8" i="93"/>
  <c r="T8" i="93" s="1"/>
  <c r="B8" i="93"/>
  <c r="C14" i="110"/>
  <c r="C16" i="110"/>
  <c r="C14" i="112"/>
  <c r="B11" i="93"/>
  <c r="D9" i="90"/>
  <c r="B9" i="90"/>
  <c r="N7" i="88"/>
  <c r="R7" i="88"/>
  <c r="C11" i="105"/>
  <c r="C8" i="101"/>
  <c r="B7" i="101"/>
  <c r="D4" i="94"/>
  <c r="D1" i="94"/>
  <c r="C9" i="102"/>
  <c r="B13" i="93"/>
  <c r="N7" i="90"/>
  <c r="R7" i="90"/>
  <c r="K2" i="104"/>
  <c r="J4" i="104" s="1"/>
  <c r="C10" i="101"/>
  <c r="C9" i="110"/>
  <c r="D9" i="88"/>
  <c r="C8" i="89"/>
  <c r="B7" i="89"/>
  <c r="C9" i="105"/>
  <c r="B15" i="93"/>
  <c r="D15" i="93"/>
  <c r="C16" i="105"/>
  <c r="D10" i="90"/>
  <c r="B10" i="90"/>
  <c r="C11" i="102"/>
  <c r="C12" i="104"/>
  <c r="B8" i="90"/>
  <c r="D8" i="90"/>
  <c r="C8" i="100"/>
  <c r="B7" i="100"/>
  <c r="C14" i="100"/>
  <c r="B7" i="107"/>
  <c r="C8" i="107"/>
  <c r="C14" i="101"/>
  <c r="C15" i="110"/>
  <c r="C9" i="112"/>
  <c r="B7" i="106"/>
  <c r="C8" i="106"/>
  <c r="C16" i="106"/>
  <c r="V7" i="116" l="1"/>
  <c r="V7" i="121"/>
  <c r="R16" i="93"/>
  <c r="S30" i="93" s="1"/>
  <c r="U7" i="118"/>
  <c r="V7" i="90"/>
  <c r="U7" i="119"/>
  <c r="E3" i="113"/>
  <c r="U7" i="117"/>
  <c r="V7" i="88"/>
  <c r="U7" i="99"/>
  <c r="U3" i="95" s="1"/>
  <c r="E14" i="80"/>
  <c r="F14" i="80" s="1"/>
  <c r="E12" i="80"/>
  <c r="F12" i="80" s="1"/>
  <c r="G12" i="80" s="1"/>
  <c r="H12" i="80" s="1"/>
  <c r="I12" i="80" s="1"/>
  <c r="N12" i="80" s="1"/>
  <c r="E10" i="88"/>
  <c r="F10" i="88" s="1"/>
  <c r="E16" i="88"/>
  <c r="F16" i="88" s="1"/>
  <c r="S7" i="93"/>
  <c r="U7" i="93" s="1"/>
  <c r="S16" i="93"/>
  <c r="S8" i="93"/>
  <c r="E13" i="90"/>
  <c r="F13" i="90" s="1"/>
  <c r="E11" i="88"/>
  <c r="F11" i="88" s="1"/>
  <c r="E13" i="88"/>
  <c r="E15" i="88"/>
  <c r="F15" i="88" s="1"/>
  <c r="T8" i="90"/>
  <c r="S8" i="90"/>
  <c r="S7" i="94"/>
  <c r="B11" i="100"/>
  <c r="E12" i="90"/>
  <c r="E15" i="80"/>
  <c r="F15" i="80" s="1"/>
  <c r="E9" i="93"/>
  <c r="S9" i="93" s="1"/>
  <c r="E14" i="88"/>
  <c r="F14" i="88" s="1"/>
  <c r="T7" i="94"/>
  <c r="T7" i="87"/>
  <c r="S7" i="87"/>
  <c r="T8" i="80"/>
  <c r="S8" i="80"/>
  <c r="T8" i="88"/>
  <c r="S8" i="88"/>
  <c r="E14" i="90"/>
  <c r="F14" i="90" s="1"/>
  <c r="E16" i="80"/>
  <c r="F16" i="80" s="1"/>
  <c r="E13" i="80"/>
  <c r="F13" i="80" s="1"/>
  <c r="G13" i="80" s="1"/>
  <c r="H13" i="80" s="1"/>
  <c r="I13" i="80" s="1"/>
  <c r="J13" i="80" s="1"/>
  <c r="E12" i="88"/>
  <c r="F12" i="88" s="1"/>
  <c r="G12" i="88" s="1"/>
  <c r="H12" i="88" s="1"/>
  <c r="T12" i="88" s="1"/>
  <c r="B14" i="102"/>
  <c r="B10" i="104"/>
  <c r="S8" i="120"/>
  <c r="U8" i="120" s="1"/>
  <c r="S8" i="116"/>
  <c r="S10" i="116"/>
  <c r="T8" i="121"/>
  <c r="T7" i="115"/>
  <c r="U7" i="115" s="1"/>
  <c r="T16" i="93"/>
  <c r="T10" i="116"/>
  <c r="T8" i="116"/>
  <c r="B11" i="106"/>
  <c r="B15" i="105"/>
  <c r="B10" i="117"/>
  <c r="D10" i="117"/>
  <c r="D9" i="117"/>
  <c r="B9" i="117"/>
  <c r="S21" i="120"/>
  <c r="E21" i="120"/>
  <c r="E33" i="120"/>
  <c r="E45" i="120"/>
  <c r="S45" i="120"/>
  <c r="S33" i="120"/>
  <c r="E11" i="120"/>
  <c r="E15" i="121"/>
  <c r="E13" i="121"/>
  <c r="B10" i="119"/>
  <c r="D10" i="119"/>
  <c r="W7" i="119"/>
  <c r="R7" i="119"/>
  <c r="N7" i="119"/>
  <c r="S33" i="116"/>
  <c r="S21" i="116"/>
  <c r="S45" i="116"/>
  <c r="E33" i="116"/>
  <c r="E45" i="116"/>
  <c r="E21" i="116"/>
  <c r="E12" i="121"/>
  <c r="F12" i="121" s="1"/>
  <c r="G12" i="121" s="1"/>
  <c r="H12" i="121" s="1"/>
  <c r="I12" i="121" s="1"/>
  <c r="R12" i="121" s="1"/>
  <c r="E8" i="121"/>
  <c r="R8" i="121" s="1"/>
  <c r="E9" i="120"/>
  <c r="S9" i="120" s="1"/>
  <c r="B16" i="118"/>
  <c r="D16" i="118"/>
  <c r="D12" i="118"/>
  <c r="B12" i="118"/>
  <c r="B13" i="118"/>
  <c r="D13" i="118"/>
  <c r="E15" i="116"/>
  <c r="F15" i="116" s="1"/>
  <c r="G15" i="116" s="1"/>
  <c r="H15" i="116" s="1"/>
  <c r="I15" i="116" s="1"/>
  <c r="J15" i="116" s="1"/>
  <c r="K15" i="116" s="1"/>
  <c r="N8" i="116"/>
  <c r="R8" i="116"/>
  <c r="B13" i="111"/>
  <c r="D16" i="117"/>
  <c r="B16" i="117"/>
  <c r="B15" i="117"/>
  <c r="D15" i="117"/>
  <c r="E15" i="117" s="1"/>
  <c r="F15" i="117" s="1"/>
  <c r="G15" i="117" s="1"/>
  <c r="H15" i="117" s="1"/>
  <c r="I15" i="117" s="1"/>
  <c r="J15" i="117" s="1"/>
  <c r="K15" i="117" s="1"/>
  <c r="L15" i="117" s="1"/>
  <c r="W15" i="117" s="1"/>
  <c r="E10" i="121"/>
  <c r="E10" i="120"/>
  <c r="E16" i="120"/>
  <c r="E14" i="120"/>
  <c r="D8" i="119"/>
  <c r="E8" i="119" s="1"/>
  <c r="W8" i="119" s="1"/>
  <c r="B8" i="119"/>
  <c r="D16" i="119"/>
  <c r="B16" i="119"/>
  <c r="D14" i="119"/>
  <c r="B14" i="119"/>
  <c r="E11" i="121"/>
  <c r="E9" i="121"/>
  <c r="S9" i="121" s="1"/>
  <c r="E15" i="120"/>
  <c r="E14" i="116"/>
  <c r="R10" i="116"/>
  <c r="N10" i="116"/>
  <c r="D15" i="118"/>
  <c r="B15" i="118"/>
  <c r="B14" i="118"/>
  <c r="D14" i="118"/>
  <c r="E11" i="116"/>
  <c r="B8" i="117"/>
  <c r="D8" i="117"/>
  <c r="T8" i="117" s="1"/>
  <c r="D11" i="117"/>
  <c r="B11" i="117"/>
  <c r="D13" i="117"/>
  <c r="B13" i="117"/>
  <c r="E45" i="121"/>
  <c r="S45" i="121"/>
  <c r="E33" i="121"/>
  <c r="S33" i="121"/>
  <c r="S21" i="121"/>
  <c r="E21" i="121"/>
  <c r="E12" i="116"/>
  <c r="F12" i="116" s="1"/>
  <c r="G12" i="116" s="1"/>
  <c r="H12" i="116" s="1"/>
  <c r="I12" i="116" s="1"/>
  <c r="N12" i="116" s="1"/>
  <c r="E8" i="120"/>
  <c r="N8" i="120" s="1"/>
  <c r="B11" i="119"/>
  <c r="D11" i="119"/>
  <c r="D15" i="119"/>
  <c r="B15" i="119"/>
  <c r="D9" i="119"/>
  <c r="B9" i="119"/>
  <c r="E13" i="120"/>
  <c r="F13" i="120" s="1"/>
  <c r="G13" i="120" s="1"/>
  <c r="H13" i="120" s="1"/>
  <c r="I13" i="120" s="1"/>
  <c r="E9" i="116"/>
  <c r="T9" i="116" s="1"/>
  <c r="D10" i="118"/>
  <c r="B10" i="118"/>
  <c r="D11" i="118"/>
  <c r="B11" i="118"/>
  <c r="B16" i="109"/>
  <c r="B12" i="117"/>
  <c r="D12" i="117"/>
  <c r="B14" i="117"/>
  <c r="D14" i="117"/>
  <c r="W7" i="117"/>
  <c r="N7" i="117"/>
  <c r="R7" i="117"/>
  <c r="E16" i="116"/>
  <c r="B12" i="119"/>
  <c r="D12" i="119"/>
  <c r="D13" i="119"/>
  <c r="B13" i="119"/>
  <c r="E13" i="116"/>
  <c r="E16" i="121"/>
  <c r="E14" i="121"/>
  <c r="E12" i="120"/>
  <c r="B8" i="118"/>
  <c r="D8" i="118"/>
  <c r="E8" i="118" s="1"/>
  <c r="W8" i="118" s="1"/>
  <c r="D9" i="118"/>
  <c r="B9" i="118"/>
  <c r="W7" i="118"/>
  <c r="N7" i="118"/>
  <c r="R7" i="118"/>
  <c r="D7" i="115"/>
  <c r="C15" i="115"/>
  <c r="C16" i="115"/>
  <c r="C14" i="115"/>
  <c r="C9" i="115"/>
  <c r="C13" i="115"/>
  <c r="C11" i="115"/>
  <c r="C10" i="115"/>
  <c r="C12" i="115"/>
  <c r="C8" i="115"/>
  <c r="R13" i="35"/>
  <c r="W13" i="35"/>
  <c r="N13" i="35"/>
  <c r="B12" i="102"/>
  <c r="B13" i="107"/>
  <c r="D11" i="106"/>
  <c r="B10" i="108"/>
  <c r="B14" i="103"/>
  <c r="B12" i="109"/>
  <c r="B14" i="107"/>
  <c r="B11" i="108"/>
  <c r="E10" i="80"/>
  <c r="B15" i="100"/>
  <c r="B11" i="112"/>
  <c r="B10" i="102"/>
  <c r="B13" i="106"/>
  <c r="B11" i="103"/>
  <c r="D10" i="104"/>
  <c r="B13" i="105"/>
  <c r="D13" i="100"/>
  <c r="B9" i="108"/>
  <c r="D13" i="89"/>
  <c r="B12" i="106"/>
  <c r="D16" i="101"/>
  <c r="B15" i="106"/>
  <c r="B10" i="103"/>
  <c r="B10" i="109"/>
  <c r="B10" i="111"/>
  <c r="D11" i="104"/>
  <c r="B12" i="107"/>
  <c r="B12" i="100"/>
  <c r="E11" i="80"/>
  <c r="D15" i="105"/>
  <c r="B16" i="108"/>
  <c r="B12" i="103"/>
  <c r="B9" i="109"/>
  <c r="B16" i="89"/>
  <c r="B16" i="103"/>
  <c r="B13" i="104"/>
  <c r="D11" i="100"/>
  <c r="D14" i="111"/>
  <c r="B15" i="102"/>
  <c r="D15" i="108"/>
  <c r="E15" i="108" s="1"/>
  <c r="D12" i="107"/>
  <c r="B9" i="107"/>
  <c r="B14" i="109"/>
  <c r="J14" i="35"/>
  <c r="E2" i="92" s="1"/>
  <c r="T14" i="35"/>
  <c r="I2" i="92" s="1"/>
  <c r="H4" i="92" s="1"/>
  <c r="S14" i="35"/>
  <c r="B11" i="111"/>
  <c r="B16" i="102"/>
  <c r="B16" i="104"/>
  <c r="D16" i="103"/>
  <c r="D13" i="111"/>
  <c r="B12" i="112"/>
  <c r="D14" i="102"/>
  <c r="B12" i="110"/>
  <c r="B15" i="111"/>
  <c r="B16" i="111"/>
  <c r="B16" i="107"/>
  <c r="B15" i="109"/>
  <c r="R12" i="80"/>
  <c r="E50" i="80" s="1"/>
  <c r="B10" i="89"/>
  <c r="L17" i="35"/>
  <c r="J51" i="35"/>
  <c r="B15" i="101"/>
  <c r="B11" i="107"/>
  <c r="B14" i="108"/>
  <c r="B11" i="104"/>
  <c r="D16" i="89"/>
  <c r="B14" i="111"/>
  <c r="D9" i="107"/>
  <c r="D15" i="102"/>
  <c r="B10" i="100"/>
  <c r="B9" i="104"/>
  <c r="D13" i="108"/>
  <c r="D10" i="103"/>
  <c r="D10" i="89"/>
  <c r="D15" i="106"/>
  <c r="B9" i="103"/>
  <c r="D9" i="108"/>
  <c r="D12" i="100"/>
  <c r="B12" i="111"/>
  <c r="B13" i="100"/>
  <c r="D13" i="104"/>
  <c r="D14" i="109"/>
  <c r="B13" i="108"/>
  <c r="B14" i="106"/>
  <c r="D12" i="111"/>
  <c r="B15" i="103"/>
  <c r="D14" i="108"/>
  <c r="B13" i="109"/>
  <c r="D16" i="102"/>
  <c r="H15" i="95"/>
  <c r="S33" i="93"/>
  <c r="H39" i="113" s="1"/>
  <c r="E21" i="93"/>
  <c r="H27" i="95" s="1"/>
  <c r="E45" i="93"/>
  <c r="H51" i="95" s="1"/>
  <c r="E33" i="93"/>
  <c r="H39" i="95" s="1"/>
  <c r="S45" i="93"/>
  <c r="H51" i="113" s="1"/>
  <c r="H15" i="113"/>
  <c r="D11" i="109"/>
  <c r="D13" i="105"/>
  <c r="D9" i="104"/>
  <c r="B11" i="109"/>
  <c r="D10" i="108"/>
  <c r="D10" i="100"/>
  <c r="D14" i="107"/>
  <c r="D12" i="109"/>
  <c r="N16" i="93"/>
  <c r="D13" i="109"/>
  <c r="B10" i="106"/>
  <c r="D15" i="107"/>
  <c r="D15" i="103"/>
  <c r="D11" i="108"/>
  <c r="D10" i="106"/>
  <c r="D13" i="107"/>
  <c r="D10" i="109"/>
  <c r="D16" i="108"/>
  <c r="D10" i="107"/>
  <c r="B9" i="106"/>
  <c r="B9" i="100"/>
  <c r="D9" i="109"/>
  <c r="U13" i="35"/>
  <c r="D9" i="106"/>
  <c r="D16" i="109"/>
  <c r="B10" i="107"/>
  <c r="D11" i="107"/>
  <c r="D15" i="109"/>
  <c r="D9" i="111"/>
  <c r="D14" i="103"/>
  <c r="B13" i="103"/>
  <c r="D13" i="103"/>
  <c r="B9" i="111"/>
  <c r="D10" i="111"/>
  <c r="D16" i="104"/>
  <c r="D12" i="108"/>
  <c r="D11" i="112"/>
  <c r="B15" i="107"/>
  <c r="D11" i="103"/>
  <c r="D12" i="103"/>
  <c r="D11" i="111"/>
  <c r="D10" i="102"/>
  <c r="D15" i="100"/>
  <c r="B15" i="104"/>
  <c r="D16" i="107"/>
  <c r="B12" i="108"/>
  <c r="D14" i="106"/>
  <c r="D12" i="112"/>
  <c r="E12" i="112" s="1"/>
  <c r="D13" i="106"/>
  <c r="D12" i="106"/>
  <c r="D16" i="100"/>
  <c r="D15" i="111"/>
  <c r="D16" i="111"/>
  <c r="B16" i="100"/>
  <c r="V3" i="95"/>
  <c r="V3" i="113"/>
  <c r="V7" i="107"/>
  <c r="M3" i="95"/>
  <c r="M3" i="113"/>
  <c r="V7" i="100"/>
  <c r="L3" i="95"/>
  <c r="L3" i="113"/>
  <c r="V7" i="89"/>
  <c r="D15" i="95"/>
  <c r="S33" i="88"/>
  <c r="U33" i="88" s="1"/>
  <c r="D15" i="113"/>
  <c r="S21" i="88"/>
  <c r="U21" i="88" s="1"/>
  <c r="S45" i="88"/>
  <c r="U45" i="88" s="1"/>
  <c r="E21" i="88"/>
  <c r="G21" i="88" s="1"/>
  <c r="E45" i="88"/>
  <c r="G45" i="88" s="1"/>
  <c r="E33" i="88"/>
  <c r="G33" i="88" s="1"/>
  <c r="B8" i="110"/>
  <c r="D8" i="110"/>
  <c r="S8" i="110" s="1"/>
  <c r="D14" i="104"/>
  <c r="B14" i="104"/>
  <c r="B12" i="105"/>
  <c r="D12" i="105"/>
  <c r="B12" i="99"/>
  <c r="D12" i="99"/>
  <c r="R7" i="109"/>
  <c r="S21" i="109" s="1"/>
  <c r="U21" i="109" s="1"/>
  <c r="N7" i="109"/>
  <c r="Q3" i="95"/>
  <c r="Q3" i="113"/>
  <c r="V7" i="104"/>
  <c r="D11" i="89"/>
  <c r="B11" i="89"/>
  <c r="B8" i="112"/>
  <c r="D8" i="112"/>
  <c r="S8" i="112" s="1"/>
  <c r="S3" i="95"/>
  <c r="S3" i="113"/>
  <c r="V7" i="106"/>
  <c r="R7" i="100"/>
  <c r="S21" i="100" s="1"/>
  <c r="U21" i="100" s="1"/>
  <c r="N7" i="100"/>
  <c r="Y3" i="95"/>
  <c r="Y3" i="113"/>
  <c r="V7" i="110"/>
  <c r="E11" i="90"/>
  <c r="E11" i="93"/>
  <c r="AA3" i="95"/>
  <c r="AA3" i="113"/>
  <c r="V7" i="112"/>
  <c r="R7" i="106"/>
  <c r="S21" i="106" s="1"/>
  <c r="U21" i="106" s="1"/>
  <c r="N7" i="106"/>
  <c r="D15" i="101"/>
  <c r="B14" i="112"/>
  <c r="D14" i="112"/>
  <c r="E8" i="93"/>
  <c r="W8" i="93" s="1"/>
  <c r="E14" i="93"/>
  <c r="B9" i="99"/>
  <c r="D9" i="99"/>
  <c r="B13" i="112"/>
  <c r="D13" i="112"/>
  <c r="B8" i="109"/>
  <c r="D8" i="109"/>
  <c r="T8" i="109" s="1"/>
  <c r="D16" i="112"/>
  <c r="B16" i="112"/>
  <c r="B9" i="101"/>
  <c r="D9" i="101"/>
  <c r="R7" i="105"/>
  <c r="S21" i="105" s="1"/>
  <c r="U21" i="105" s="1"/>
  <c r="N7" i="105"/>
  <c r="D10" i="110"/>
  <c r="B10" i="110"/>
  <c r="B8" i="104"/>
  <c r="D8" i="104"/>
  <c r="R7" i="112"/>
  <c r="S21" i="112" s="1"/>
  <c r="U21" i="112" s="1"/>
  <c r="N7" i="112"/>
  <c r="D8" i="106"/>
  <c r="S8" i="106" s="1"/>
  <c r="B8" i="106"/>
  <c r="B10" i="101"/>
  <c r="D10" i="101"/>
  <c r="D10" i="99"/>
  <c r="B10" i="99"/>
  <c r="X3" i="95"/>
  <c r="X3" i="113"/>
  <c r="V7" i="109"/>
  <c r="R7" i="104"/>
  <c r="S21" i="104" s="1"/>
  <c r="U21" i="104" s="1"/>
  <c r="N7" i="104"/>
  <c r="D8" i="107"/>
  <c r="T8" i="107" s="1"/>
  <c r="B8" i="107"/>
  <c r="B16" i="105"/>
  <c r="D16" i="105"/>
  <c r="E9" i="88"/>
  <c r="S9" i="88" s="1"/>
  <c r="R7" i="101"/>
  <c r="S21" i="101" s="1"/>
  <c r="U21" i="101" s="1"/>
  <c r="N7" i="101"/>
  <c r="B16" i="110"/>
  <c r="D16" i="110"/>
  <c r="N7" i="102"/>
  <c r="R7" i="102"/>
  <c r="S21" i="102" s="1"/>
  <c r="U21" i="102" s="1"/>
  <c r="B11" i="99"/>
  <c r="D11" i="99"/>
  <c r="B13" i="110"/>
  <c r="D13" i="110"/>
  <c r="B11" i="110"/>
  <c r="D11" i="110"/>
  <c r="D9" i="89"/>
  <c r="B9" i="89"/>
  <c r="B13" i="102"/>
  <c r="D13" i="102"/>
  <c r="D10" i="105"/>
  <c r="B10" i="105"/>
  <c r="D8" i="105"/>
  <c r="B8" i="105"/>
  <c r="B12" i="101"/>
  <c r="D12" i="101"/>
  <c r="R3" i="95"/>
  <c r="R3" i="113"/>
  <c r="V7" i="105"/>
  <c r="E14" i="102"/>
  <c r="F14" i="102" s="1"/>
  <c r="G14" i="102" s="1"/>
  <c r="H14" i="102" s="1"/>
  <c r="I14" i="102" s="1"/>
  <c r="J14" i="102" s="1"/>
  <c r="K14" i="102" s="1"/>
  <c r="D8" i="100"/>
  <c r="S8" i="100" s="1"/>
  <c r="B8" i="100"/>
  <c r="D9" i="112"/>
  <c r="B9" i="112"/>
  <c r="E10" i="90"/>
  <c r="B9" i="105"/>
  <c r="D9" i="105"/>
  <c r="N3" i="95"/>
  <c r="N3" i="113"/>
  <c r="V7" i="101"/>
  <c r="D14" i="110"/>
  <c r="B14" i="110"/>
  <c r="C13" i="87"/>
  <c r="C11" i="87"/>
  <c r="C14" i="87"/>
  <c r="C9" i="87"/>
  <c r="C10" i="87"/>
  <c r="C16" i="87"/>
  <c r="D7" i="87"/>
  <c r="C12" i="87"/>
  <c r="C15" i="87"/>
  <c r="C8" i="87"/>
  <c r="D15" i="104"/>
  <c r="O3" i="95"/>
  <c r="O3" i="113"/>
  <c r="V7" i="102"/>
  <c r="E9" i="80"/>
  <c r="E8" i="80"/>
  <c r="R8" i="80" s="1"/>
  <c r="H27" i="113"/>
  <c r="T24" i="97" s="1"/>
  <c r="D9" i="100"/>
  <c r="D16" i="99"/>
  <c r="B16" i="99"/>
  <c r="E12" i="93"/>
  <c r="B8" i="111"/>
  <c r="D8" i="111"/>
  <c r="T8" i="111" s="1"/>
  <c r="B14" i="89"/>
  <c r="D14" i="89"/>
  <c r="D11" i="101"/>
  <c r="B11" i="101"/>
  <c r="D8" i="108"/>
  <c r="T8" i="108" s="1"/>
  <c r="B8" i="108"/>
  <c r="B8" i="99"/>
  <c r="D8" i="99"/>
  <c r="D12" i="110"/>
  <c r="E15" i="93"/>
  <c r="B8" i="103"/>
  <c r="D8" i="103"/>
  <c r="E8" i="88"/>
  <c r="W8" i="88" s="1"/>
  <c r="B16" i="106"/>
  <c r="D16" i="106"/>
  <c r="D15" i="110"/>
  <c r="B15" i="110"/>
  <c r="R7" i="107"/>
  <c r="S21" i="107" s="1"/>
  <c r="U21" i="107" s="1"/>
  <c r="N7" i="107"/>
  <c r="E8" i="90"/>
  <c r="N8" i="90" s="1"/>
  <c r="D11" i="102"/>
  <c r="B11" i="102"/>
  <c r="D4" i="91"/>
  <c r="D1" i="91"/>
  <c r="E15" i="95"/>
  <c r="S45" i="90"/>
  <c r="U45" i="90" s="1"/>
  <c r="E15" i="113"/>
  <c r="S21" i="90"/>
  <c r="U21" i="90" s="1"/>
  <c r="S33" i="90"/>
  <c r="U33" i="90" s="1"/>
  <c r="E21" i="90"/>
  <c r="G21" i="90" s="1"/>
  <c r="E33" i="90"/>
  <c r="G33" i="90" s="1"/>
  <c r="E45" i="90"/>
  <c r="G45" i="90" s="1"/>
  <c r="B9" i="102"/>
  <c r="D9" i="102"/>
  <c r="D8" i="101"/>
  <c r="B8" i="101"/>
  <c r="D11" i="105"/>
  <c r="B11" i="105"/>
  <c r="D8" i="102"/>
  <c r="B8" i="102"/>
  <c r="R7" i="99"/>
  <c r="S21" i="99" s="1"/>
  <c r="W7" i="99"/>
  <c r="B14" i="99"/>
  <c r="D14" i="99"/>
  <c r="F9" i="93"/>
  <c r="Z3" i="95"/>
  <c r="Z3" i="113"/>
  <c r="V7" i="111"/>
  <c r="E15" i="90"/>
  <c r="W3" i="95"/>
  <c r="W3" i="113"/>
  <c r="V7" i="108"/>
  <c r="D14" i="101"/>
  <c r="B14" i="101"/>
  <c r="D15" i="112"/>
  <c r="B15" i="112"/>
  <c r="B14" i="100"/>
  <c r="D14" i="100"/>
  <c r="R7" i="89"/>
  <c r="S21" i="89" s="1"/>
  <c r="U21" i="89" s="1"/>
  <c r="N7" i="89"/>
  <c r="E9" i="90"/>
  <c r="D12" i="102"/>
  <c r="R7" i="103"/>
  <c r="S21" i="103" s="1"/>
  <c r="U21" i="103" s="1"/>
  <c r="N7" i="103"/>
  <c r="D15" i="99"/>
  <c r="B15" i="99"/>
  <c r="E13" i="93"/>
  <c r="R7" i="111"/>
  <c r="S21" i="111" s="1"/>
  <c r="U21" i="111" s="1"/>
  <c r="N7" i="111"/>
  <c r="R7" i="108"/>
  <c r="S21" i="108" s="1"/>
  <c r="U21" i="108" s="1"/>
  <c r="N7" i="108"/>
  <c r="N7" i="99"/>
  <c r="W16" i="93"/>
  <c r="D12" i="104"/>
  <c r="B12" i="104"/>
  <c r="C15" i="94"/>
  <c r="C14" i="94"/>
  <c r="D7" i="94"/>
  <c r="C9" i="94"/>
  <c r="C16" i="94"/>
  <c r="C11" i="94"/>
  <c r="C13" i="94"/>
  <c r="C10" i="94"/>
  <c r="C12" i="94"/>
  <c r="C8" i="94"/>
  <c r="D14" i="105"/>
  <c r="B14" i="105"/>
  <c r="K2" i="91"/>
  <c r="J4" i="91" s="1"/>
  <c r="F4" i="91"/>
  <c r="D9" i="103"/>
  <c r="D8" i="89"/>
  <c r="B8" i="89"/>
  <c r="D9" i="110"/>
  <c r="B9" i="110"/>
  <c r="B15" i="95"/>
  <c r="B15" i="113"/>
  <c r="S45" i="80"/>
  <c r="U45" i="80" s="1"/>
  <c r="S21" i="80"/>
  <c r="U21" i="80" s="1"/>
  <c r="S33" i="80"/>
  <c r="U33" i="80" s="1"/>
  <c r="E33" i="80"/>
  <c r="G33" i="80" s="1"/>
  <c r="E45" i="80"/>
  <c r="G45" i="80" s="1"/>
  <c r="E21" i="80"/>
  <c r="G21" i="80" s="1"/>
  <c r="R7" i="110"/>
  <c r="S21" i="110" s="1"/>
  <c r="U21" i="110" s="1"/>
  <c r="N7" i="110"/>
  <c r="P3" i="95"/>
  <c r="P3" i="113"/>
  <c r="V7" i="103"/>
  <c r="B10" i="112"/>
  <c r="D10" i="112"/>
  <c r="B15" i="89"/>
  <c r="D15" i="89"/>
  <c r="D13" i="99"/>
  <c r="B13" i="99"/>
  <c r="E10" i="93"/>
  <c r="B13" i="101"/>
  <c r="D13" i="101"/>
  <c r="B12" i="89"/>
  <c r="D12" i="89"/>
  <c r="E16" i="90"/>
  <c r="W12" i="80" l="1"/>
  <c r="V7" i="118"/>
  <c r="V7" i="117"/>
  <c r="N14" i="35"/>
  <c r="U8" i="90"/>
  <c r="E4" i="113" s="1"/>
  <c r="S54" i="93"/>
  <c r="S42" i="93"/>
  <c r="H24" i="113"/>
  <c r="E30" i="93"/>
  <c r="H36" i="95" s="1"/>
  <c r="H24" i="95"/>
  <c r="E42" i="93"/>
  <c r="E54" i="93"/>
  <c r="H60" i="95" s="1"/>
  <c r="U7" i="94"/>
  <c r="V7" i="119"/>
  <c r="W14" i="35"/>
  <c r="R14" i="35"/>
  <c r="U8" i="88"/>
  <c r="D4" i="113" s="1"/>
  <c r="T12" i="80"/>
  <c r="N14" i="102"/>
  <c r="U8" i="93"/>
  <c r="V8" i="93" s="1"/>
  <c r="U8" i="80"/>
  <c r="B4" i="113" s="1"/>
  <c r="E26" i="80"/>
  <c r="U7" i="87"/>
  <c r="C3" i="95" s="1"/>
  <c r="O8" i="97" s="1"/>
  <c r="C24" i="32" s="1"/>
  <c r="T9" i="93"/>
  <c r="U9" i="93" s="1"/>
  <c r="H5" i="113" s="1"/>
  <c r="S12" i="80"/>
  <c r="B20" i="113"/>
  <c r="S13" i="80"/>
  <c r="S14" i="102"/>
  <c r="T15" i="117"/>
  <c r="S9" i="116"/>
  <c r="S8" i="117"/>
  <c r="S9" i="90"/>
  <c r="T9" i="90"/>
  <c r="T8" i="89"/>
  <c r="S8" i="89"/>
  <c r="T8" i="102"/>
  <c r="S8" i="102"/>
  <c r="S7" i="91"/>
  <c r="T8" i="101"/>
  <c r="S8" i="101"/>
  <c r="T8" i="103"/>
  <c r="S8" i="103"/>
  <c r="S8" i="99"/>
  <c r="T8" i="99"/>
  <c r="T9" i="80"/>
  <c r="S9" i="80"/>
  <c r="E14" i="111"/>
  <c r="F14" i="111" s="1"/>
  <c r="G14" i="111" s="1"/>
  <c r="H14" i="111" s="1"/>
  <c r="I14" i="111" s="1"/>
  <c r="J14" i="111" s="1"/>
  <c r="K14" i="111" s="1"/>
  <c r="R14" i="111" s="1"/>
  <c r="S28" i="111" s="1"/>
  <c r="E11" i="104"/>
  <c r="F11" i="104" s="1"/>
  <c r="G11" i="104" s="1"/>
  <c r="H11" i="104" s="1"/>
  <c r="N11" i="104" s="1"/>
  <c r="S13" i="120"/>
  <c r="S12" i="88"/>
  <c r="T8" i="112"/>
  <c r="T8" i="100"/>
  <c r="U8" i="100" s="1"/>
  <c r="T8" i="106"/>
  <c r="S8" i="119"/>
  <c r="S8" i="111"/>
  <c r="T9" i="88"/>
  <c r="S8" i="108"/>
  <c r="S15" i="117"/>
  <c r="S10" i="88"/>
  <c r="T10" i="88"/>
  <c r="T7" i="91"/>
  <c r="E9" i="107"/>
  <c r="S9" i="107" s="1"/>
  <c r="F11" i="116"/>
  <c r="G11" i="116" s="1"/>
  <c r="T11" i="116" s="1"/>
  <c r="T9" i="121"/>
  <c r="S15" i="116"/>
  <c r="T14" i="102"/>
  <c r="F12" i="90"/>
  <c r="S8" i="109"/>
  <c r="U8" i="109" s="1"/>
  <c r="T12" i="121"/>
  <c r="F13" i="88"/>
  <c r="S8" i="107"/>
  <c r="U8" i="107" s="1"/>
  <c r="S8" i="105"/>
  <c r="T8" i="105"/>
  <c r="E14" i="109"/>
  <c r="F14" i="109" s="1"/>
  <c r="N12" i="121"/>
  <c r="F9" i="120"/>
  <c r="R9" i="120" s="1"/>
  <c r="S23" i="120" s="1"/>
  <c r="T9" i="120"/>
  <c r="U9" i="120" s="1"/>
  <c r="T8" i="118"/>
  <c r="S12" i="121"/>
  <c r="T13" i="80"/>
  <c r="T8" i="110"/>
  <c r="S8" i="118"/>
  <c r="U8" i="118" s="1"/>
  <c r="S12" i="116"/>
  <c r="T8" i="104"/>
  <c r="S8" i="104"/>
  <c r="E16" i="109"/>
  <c r="E13" i="104"/>
  <c r="F13" i="104" s="1"/>
  <c r="G13" i="104" s="1"/>
  <c r="H13" i="104" s="1"/>
  <c r="I13" i="104" s="1"/>
  <c r="J13" i="104" s="1"/>
  <c r="N13" i="104" s="1"/>
  <c r="E9" i="108"/>
  <c r="S9" i="108" s="1"/>
  <c r="J13" i="120"/>
  <c r="R13" i="120" s="1"/>
  <c r="E27" i="120" s="1"/>
  <c r="T13" i="120"/>
  <c r="L15" i="116"/>
  <c r="W15" i="116" s="1"/>
  <c r="T15" i="116"/>
  <c r="T12" i="116"/>
  <c r="T8" i="119"/>
  <c r="B20" i="95"/>
  <c r="E38" i="80"/>
  <c r="B44" i="95" s="1"/>
  <c r="S26" i="80"/>
  <c r="B32" i="113" s="1"/>
  <c r="S50" i="80"/>
  <c r="B56" i="113" s="1"/>
  <c r="N8" i="121"/>
  <c r="S38" i="80"/>
  <c r="B44" i="113" s="1"/>
  <c r="R12" i="116"/>
  <c r="S38" i="116" s="1"/>
  <c r="R8" i="120"/>
  <c r="S46" i="120" s="1"/>
  <c r="U46" i="120" s="1"/>
  <c r="W8" i="120"/>
  <c r="V8" i="120" s="1"/>
  <c r="G15" i="80"/>
  <c r="H15" i="80" s="1"/>
  <c r="I15" i="80" s="1"/>
  <c r="J15" i="80" s="1"/>
  <c r="K15" i="80" s="1"/>
  <c r="L15" i="80" s="1"/>
  <c r="R15" i="80" s="1"/>
  <c r="F16" i="90"/>
  <c r="G16" i="90" s="1"/>
  <c r="H16" i="90" s="1"/>
  <c r="I16" i="90" s="1"/>
  <c r="J16" i="90" s="1"/>
  <c r="K16" i="90" s="1"/>
  <c r="L16" i="90" s="1"/>
  <c r="E12" i="104"/>
  <c r="F12" i="104" s="1"/>
  <c r="G12" i="104" s="1"/>
  <c r="H12" i="104" s="1"/>
  <c r="I12" i="104" s="1"/>
  <c r="W12" i="104" s="1"/>
  <c r="F9" i="88"/>
  <c r="R9" i="88" s="1"/>
  <c r="E8" i="110"/>
  <c r="W8" i="110" s="1"/>
  <c r="E16" i="100"/>
  <c r="F16" i="100" s="1"/>
  <c r="E14" i="106"/>
  <c r="F14" i="106" s="1"/>
  <c r="G14" i="106" s="1"/>
  <c r="H14" i="106" s="1"/>
  <c r="I14" i="106" s="1"/>
  <c r="J14" i="106" s="1"/>
  <c r="K14" i="106" s="1"/>
  <c r="N14" i="106" s="1"/>
  <c r="E15" i="100"/>
  <c r="F15" i="100" s="1"/>
  <c r="G15" i="100" s="1"/>
  <c r="H15" i="100" s="1"/>
  <c r="I15" i="100" s="1"/>
  <c r="J15" i="100" s="1"/>
  <c r="K15" i="100" s="1"/>
  <c r="L15" i="100" s="1"/>
  <c r="N15" i="100" s="1"/>
  <c r="E11" i="103"/>
  <c r="F11" i="103" s="1"/>
  <c r="G11" i="103" s="1"/>
  <c r="H11" i="103" s="1"/>
  <c r="R11" i="103" s="1"/>
  <c r="S25" i="103" s="1"/>
  <c r="E16" i="104"/>
  <c r="F16" i="104" s="1"/>
  <c r="G16" i="104" s="1"/>
  <c r="H16" i="104" s="1"/>
  <c r="I16" i="104" s="1"/>
  <c r="J16" i="104" s="1"/>
  <c r="K16" i="104" s="1"/>
  <c r="L16" i="104" s="1"/>
  <c r="M16" i="104" s="1"/>
  <c r="E11" i="107"/>
  <c r="F11" i="107" s="1"/>
  <c r="G11" i="107" s="1"/>
  <c r="H11" i="107" s="1"/>
  <c r="W11" i="107" s="1"/>
  <c r="E10" i="107"/>
  <c r="F10" i="107" s="1"/>
  <c r="E10" i="106"/>
  <c r="F10" i="106" s="1"/>
  <c r="E14" i="107"/>
  <c r="F14" i="107" s="1"/>
  <c r="E9" i="104"/>
  <c r="T9" i="104" s="1"/>
  <c r="E14" i="108"/>
  <c r="F14" i="108" s="1"/>
  <c r="G14" i="108" s="1"/>
  <c r="H14" i="108" s="1"/>
  <c r="I14" i="108" s="1"/>
  <c r="J14" i="108" s="1"/>
  <c r="K14" i="108" s="1"/>
  <c r="R14" i="108" s="1"/>
  <c r="S28" i="108" s="1"/>
  <c r="E15" i="106"/>
  <c r="F15" i="106" s="1"/>
  <c r="E13" i="108"/>
  <c r="F13" i="108" s="1"/>
  <c r="G13" i="108" s="1"/>
  <c r="H13" i="108" s="1"/>
  <c r="I13" i="108" s="1"/>
  <c r="J13" i="108" s="1"/>
  <c r="N13" i="108" s="1"/>
  <c r="E12" i="107"/>
  <c r="E11" i="100"/>
  <c r="F11" i="100" s="1"/>
  <c r="G11" i="100" s="1"/>
  <c r="H11" i="100" s="1"/>
  <c r="F11" i="80"/>
  <c r="G11" i="80" s="1"/>
  <c r="H11" i="80" s="1"/>
  <c r="R11" i="80" s="1"/>
  <c r="S37" i="80" s="1"/>
  <c r="B43" i="113" s="1"/>
  <c r="E16" i="101"/>
  <c r="F16" i="101" s="1"/>
  <c r="F10" i="80"/>
  <c r="G10" i="80" s="1"/>
  <c r="R10" i="80" s="1"/>
  <c r="E36" i="80" s="1"/>
  <c r="B42" i="95" s="1"/>
  <c r="D10" i="115"/>
  <c r="B10" i="115"/>
  <c r="D14" i="115"/>
  <c r="B14" i="115"/>
  <c r="F13" i="116"/>
  <c r="S45" i="117"/>
  <c r="E33" i="117"/>
  <c r="S33" i="117"/>
  <c r="E21" i="117"/>
  <c r="S21" i="117"/>
  <c r="E45" i="117"/>
  <c r="U8" i="116"/>
  <c r="E10" i="112"/>
  <c r="F10" i="112" s="1"/>
  <c r="G10" i="112" s="1"/>
  <c r="W10" i="112" s="1"/>
  <c r="F10" i="93"/>
  <c r="G10" i="93" s="1"/>
  <c r="N10" i="93" s="1"/>
  <c r="F9" i="80"/>
  <c r="W9" i="80" s="1"/>
  <c r="E8" i="100"/>
  <c r="W8" i="100" s="1"/>
  <c r="E16" i="111"/>
  <c r="F16" i="111" s="1"/>
  <c r="G16" i="111" s="1"/>
  <c r="H16" i="111" s="1"/>
  <c r="I16" i="111" s="1"/>
  <c r="J16" i="111" s="1"/>
  <c r="K16" i="111" s="1"/>
  <c r="L16" i="111" s="1"/>
  <c r="M16" i="111" s="1"/>
  <c r="R16" i="111" s="1"/>
  <c r="S30" i="111" s="1"/>
  <c r="E12" i="106"/>
  <c r="E10" i="102"/>
  <c r="F10" i="102" s="1"/>
  <c r="G10" i="102" s="1"/>
  <c r="N10" i="102" s="1"/>
  <c r="E10" i="111"/>
  <c r="F10" i="111" s="1"/>
  <c r="E14" i="103"/>
  <c r="F14" i="103" s="1"/>
  <c r="E9" i="109"/>
  <c r="F9" i="109" s="1"/>
  <c r="E16" i="108"/>
  <c r="F16" i="108" s="1"/>
  <c r="G16" i="108" s="1"/>
  <c r="H16" i="108" s="1"/>
  <c r="I16" i="108" s="1"/>
  <c r="J16" i="108" s="1"/>
  <c r="K16" i="108" s="1"/>
  <c r="L16" i="108" s="1"/>
  <c r="M16" i="108" s="1"/>
  <c r="N16" i="108" s="1"/>
  <c r="E11" i="108"/>
  <c r="F11" i="108" s="1"/>
  <c r="G11" i="108" s="1"/>
  <c r="H11" i="108" s="1"/>
  <c r="N11" i="108" s="1"/>
  <c r="E13" i="109"/>
  <c r="F13" i="109" s="1"/>
  <c r="G13" i="109" s="1"/>
  <c r="H13" i="109" s="1"/>
  <c r="I13" i="109" s="1"/>
  <c r="J13" i="109" s="1"/>
  <c r="R13" i="109" s="1"/>
  <c r="S27" i="109" s="1"/>
  <c r="E10" i="100"/>
  <c r="E13" i="105"/>
  <c r="F13" i="105" s="1"/>
  <c r="G13" i="105" s="1"/>
  <c r="H13" i="105" s="1"/>
  <c r="I13" i="105" s="1"/>
  <c r="J13" i="105" s="1"/>
  <c r="R13" i="105" s="1"/>
  <c r="S27" i="105" s="1"/>
  <c r="E12" i="100"/>
  <c r="F12" i="100" s="1"/>
  <c r="E10" i="89"/>
  <c r="F10" i="89" s="1"/>
  <c r="D11" i="115"/>
  <c r="B11" i="115"/>
  <c r="D16" i="115"/>
  <c r="B16" i="115"/>
  <c r="E45" i="118"/>
  <c r="S45" i="118"/>
  <c r="S33" i="118"/>
  <c r="E21" i="118"/>
  <c r="E33" i="118"/>
  <c r="S21" i="118"/>
  <c r="E9" i="118"/>
  <c r="T9" i="118" s="1"/>
  <c r="R8" i="118"/>
  <c r="N8" i="118"/>
  <c r="F14" i="121"/>
  <c r="E12" i="119"/>
  <c r="F16" i="116"/>
  <c r="E10" i="118"/>
  <c r="F10" i="118" s="1"/>
  <c r="G10" i="118" s="1"/>
  <c r="N10" i="118" s="1"/>
  <c r="S51" i="120"/>
  <c r="E11" i="117"/>
  <c r="U8" i="117"/>
  <c r="F11" i="93"/>
  <c r="G11" i="93" s="1"/>
  <c r="H11" i="93" s="1"/>
  <c r="N11" i="93" s="1"/>
  <c r="E15" i="111"/>
  <c r="F15" i="111" s="1"/>
  <c r="E13" i="106"/>
  <c r="E16" i="107"/>
  <c r="F16" i="107" s="1"/>
  <c r="G16" i="107" s="1"/>
  <c r="H16" i="107" s="1"/>
  <c r="I16" i="107" s="1"/>
  <c r="J16" i="107" s="1"/>
  <c r="K16" i="107" s="1"/>
  <c r="L16" i="107" s="1"/>
  <c r="M16" i="107" s="1"/>
  <c r="R16" i="107" s="1"/>
  <c r="S30" i="107" s="1"/>
  <c r="E11" i="111"/>
  <c r="F11" i="111" s="1"/>
  <c r="E11" i="112"/>
  <c r="F11" i="112" s="1"/>
  <c r="G11" i="112" s="1"/>
  <c r="H11" i="112" s="1"/>
  <c r="R11" i="112" s="1"/>
  <c r="S25" i="112" s="1"/>
  <c r="E9" i="111"/>
  <c r="F9" i="111" s="1"/>
  <c r="R9" i="111" s="1"/>
  <c r="S23" i="111" s="1"/>
  <c r="E10" i="109"/>
  <c r="F10" i="109" s="1"/>
  <c r="G10" i="109" s="1"/>
  <c r="R10" i="109" s="1"/>
  <c r="S24" i="109" s="1"/>
  <c r="E10" i="108"/>
  <c r="F10" i="108" s="1"/>
  <c r="G10" i="108" s="1"/>
  <c r="R10" i="108" s="1"/>
  <c r="S24" i="108" s="1"/>
  <c r="E11" i="109"/>
  <c r="F11" i="109" s="1"/>
  <c r="E16" i="102"/>
  <c r="F16" i="102" s="1"/>
  <c r="E12" i="111"/>
  <c r="F12" i="111" s="1"/>
  <c r="E16" i="89"/>
  <c r="F16" i="89" s="1"/>
  <c r="G16" i="89" s="1"/>
  <c r="H16" i="89" s="1"/>
  <c r="I16" i="89" s="1"/>
  <c r="J16" i="89" s="1"/>
  <c r="K16" i="89" s="1"/>
  <c r="L16" i="89" s="1"/>
  <c r="M16" i="89" s="1"/>
  <c r="R16" i="89" s="1"/>
  <c r="S30" i="89" s="1"/>
  <c r="E13" i="111"/>
  <c r="E13" i="89"/>
  <c r="F13" i="89" s="1"/>
  <c r="G13" i="89" s="1"/>
  <c r="H13" i="89" s="1"/>
  <c r="I13" i="89" s="1"/>
  <c r="J13" i="89" s="1"/>
  <c r="E10" i="104"/>
  <c r="F10" i="104" s="1"/>
  <c r="G10" i="104" s="1"/>
  <c r="R10" i="104" s="1"/>
  <c r="S24" i="104" s="1"/>
  <c r="E11" i="106"/>
  <c r="D8" i="115"/>
  <c r="T8" i="115" s="1"/>
  <c r="B8" i="115"/>
  <c r="B13" i="115"/>
  <c r="D13" i="115"/>
  <c r="D15" i="115"/>
  <c r="B15" i="115"/>
  <c r="F12" i="120"/>
  <c r="G12" i="120" s="1"/>
  <c r="H12" i="120" s="1"/>
  <c r="E13" i="119"/>
  <c r="G33" i="121"/>
  <c r="F33" i="121"/>
  <c r="E13" i="117"/>
  <c r="G14" i="90"/>
  <c r="H14" i="90" s="1"/>
  <c r="I14" i="90" s="1"/>
  <c r="J14" i="90" s="1"/>
  <c r="T14" i="90" s="1"/>
  <c r="G14" i="80"/>
  <c r="H14" i="80" s="1"/>
  <c r="I14" i="80" s="1"/>
  <c r="J14" i="80" s="1"/>
  <c r="K14" i="80" s="1"/>
  <c r="N14" i="80" s="1"/>
  <c r="E8" i="106"/>
  <c r="W8" i="106" s="1"/>
  <c r="F11" i="90"/>
  <c r="G11" i="90" s="1"/>
  <c r="H11" i="90" s="1"/>
  <c r="N11" i="90" s="1"/>
  <c r="E12" i="103"/>
  <c r="F12" i="103" s="1"/>
  <c r="G12" i="103" s="1"/>
  <c r="H12" i="103" s="1"/>
  <c r="I12" i="103" s="1"/>
  <c r="N12" i="103" s="1"/>
  <c r="E12" i="108"/>
  <c r="E13" i="103"/>
  <c r="E15" i="109"/>
  <c r="F15" i="109" s="1"/>
  <c r="G15" i="109" s="1"/>
  <c r="H15" i="109" s="1"/>
  <c r="I15" i="109" s="1"/>
  <c r="J15" i="109" s="1"/>
  <c r="K15" i="109" s="1"/>
  <c r="L15" i="109" s="1"/>
  <c r="E9" i="106"/>
  <c r="F9" i="106" s="1"/>
  <c r="N9" i="106" s="1"/>
  <c r="E13" i="107"/>
  <c r="E15" i="107"/>
  <c r="F15" i="107" s="1"/>
  <c r="E12" i="109"/>
  <c r="F12" i="109" s="1"/>
  <c r="G12" i="109" s="1"/>
  <c r="H12" i="109" s="1"/>
  <c r="I12" i="109" s="1"/>
  <c r="N12" i="109" s="1"/>
  <c r="E10" i="103"/>
  <c r="F10" i="103" s="1"/>
  <c r="G10" i="103" s="1"/>
  <c r="N10" i="103" s="1"/>
  <c r="E15" i="102"/>
  <c r="E16" i="103"/>
  <c r="F16" i="103" s="1"/>
  <c r="G16" i="103" s="1"/>
  <c r="H16" i="103" s="1"/>
  <c r="I16" i="103" s="1"/>
  <c r="J16" i="103" s="1"/>
  <c r="K16" i="103" s="1"/>
  <c r="L16" i="103" s="1"/>
  <c r="M16" i="103" s="1"/>
  <c r="E15" i="105"/>
  <c r="F15" i="105" s="1"/>
  <c r="G15" i="105" s="1"/>
  <c r="H15" i="105" s="1"/>
  <c r="I15" i="105" s="1"/>
  <c r="J15" i="105" s="1"/>
  <c r="K15" i="105" s="1"/>
  <c r="L15" i="105" s="1"/>
  <c r="N15" i="105" s="1"/>
  <c r="B12" i="115"/>
  <c r="D12" i="115"/>
  <c r="D9" i="115"/>
  <c r="B9" i="115"/>
  <c r="W7" i="115"/>
  <c r="V7" i="115" s="1"/>
  <c r="R7" i="115"/>
  <c r="N7" i="115"/>
  <c r="F16" i="121"/>
  <c r="G16" i="121" s="1"/>
  <c r="H16" i="121" s="1"/>
  <c r="I16" i="121" s="1"/>
  <c r="J16" i="121" s="1"/>
  <c r="K16" i="121" s="1"/>
  <c r="L16" i="121" s="1"/>
  <c r="E14" i="117"/>
  <c r="F14" i="117" s="1"/>
  <c r="G14" i="117" s="1"/>
  <c r="H14" i="117" s="1"/>
  <c r="I14" i="117" s="1"/>
  <c r="J14" i="117" s="1"/>
  <c r="K14" i="117" s="1"/>
  <c r="R14" i="117" s="1"/>
  <c r="E12" i="117"/>
  <c r="F12" i="117" s="1"/>
  <c r="G12" i="117" s="1"/>
  <c r="H12" i="117" s="1"/>
  <c r="I12" i="117" s="1"/>
  <c r="R12" i="117" s="1"/>
  <c r="E11" i="118"/>
  <c r="F11" i="118" s="1"/>
  <c r="G11" i="118" s="1"/>
  <c r="H11" i="118" s="1"/>
  <c r="N11" i="118" s="1"/>
  <c r="F9" i="116"/>
  <c r="E11" i="119"/>
  <c r="F11" i="119" s="1"/>
  <c r="G11" i="119" s="1"/>
  <c r="H11" i="119" s="1"/>
  <c r="N11" i="119" s="1"/>
  <c r="G21" i="121"/>
  <c r="F21" i="121"/>
  <c r="U45" i="121"/>
  <c r="T45" i="121"/>
  <c r="F11" i="121"/>
  <c r="N8" i="119"/>
  <c r="R8" i="119"/>
  <c r="F16" i="120"/>
  <c r="F10" i="120"/>
  <c r="E22" i="116"/>
  <c r="E34" i="116"/>
  <c r="S46" i="116"/>
  <c r="S22" i="116"/>
  <c r="E46" i="116"/>
  <c r="S34" i="116"/>
  <c r="G21" i="116"/>
  <c r="F21" i="116"/>
  <c r="U21" i="116"/>
  <c r="T21" i="116"/>
  <c r="F15" i="121"/>
  <c r="G15" i="121" s="1"/>
  <c r="H15" i="121" s="1"/>
  <c r="I15" i="121" s="1"/>
  <c r="J15" i="121" s="1"/>
  <c r="K15" i="121" s="1"/>
  <c r="F11" i="120"/>
  <c r="G33" i="120"/>
  <c r="F33" i="120"/>
  <c r="E10" i="117"/>
  <c r="S36" i="116"/>
  <c r="E48" i="116"/>
  <c r="S24" i="116"/>
  <c r="S48" i="116"/>
  <c r="E24" i="116"/>
  <c r="E36" i="116"/>
  <c r="E14" i="119"/>
  <c r="F14" i="119" s="1"/>
  <c r="G14" i="119" s="1"/>
  <c r="H14" i="119" s="1"/>
  <c r="I14" i="119" s="1"/>
  <c r="J14" i="119" s="1"/>
  <c r="K14" i="119" s="1"/>
  <c r="R14" i="119" s="1"/>
  <c r="E16" i="119"/>
  <c r="F16" i="119" s="1"/>
  <c r="G16" i="119" s="1"/>
  <c r="H16" i="119" s="1"/>
  <c r="I16" i="119" s="1"/>
  <c r="J16" i="119" s="1"/>
  <c r="K16" i="119" s="1"/>
  <c r="L16" i="119" s="1"/>
  <c r="M16" i="119" s="1"/>
  <c r="R16" i="119" s="1"/>
  <c r="N15" i="117"/>
  <c r="R15" i="117"/>
  <c r="E16" i="117"/>
  <c r="F16" i="117" s="1"/>
  <c r="G16" i="117" s="1"/>
  <c r="H16" i="117" s="1"/>
  <c r="I16" i="117" s="1"/>
  <c r="J16" i="117" s="1"/>
  <c r="K16" i="117" s="1"/>
  <c r="L16" i="117" s="1"/>
  <c r="M16" i="117" s="1"/>
  <c r="N16" i="117" s="1"/>
  <c r="G45" i="116"/>
  <c r="F45" i="116"/>
  <c r="U33" i="116"/>
  <c r="T33" i="116"/>
  <c r="E10" i="119"/>
  <c r="U33" i="120"/>
  <c r="T33" i="120"/>
  <c r="G21" i="120"/>
  <c r="F21" i="120"/>
  <c r="E9" i="117"/>
  <c r="T9" i="117" s="1"/>
  <c r="E9" i="119"/>
  <c r="T9" i="119" s="1"/>
  <c r="E15" i="119"/>
  <c r="W12" i="116"/>
  <c r="U21" i="121"/>
  <c r="T21" i="121"/>
  <c r="G45" i="121"/>
  <c r="F45" i="121"/>
  <c r="E14" i="118"/>
  <c r="F15" i="120"/>
  <c r="F9" i="121"/>
  <c r="S38" i="121"/>
  <c r="E50" i="121"/>
  <c r="S50" i="121"/>
  <c r="E38" i="121"/>
  <c r="E26" i="121"/>
  <c r="S26" i="121"/>
  <c r="F14" i="120"/>
  <c r="E13" i="118"/>
  <c r="E16" i="118"/>
  <c r="W8" i="121"/>
  <c r="W12" i="121"/>
  <c r="G33" i="116"/>
  <c r="F33" i="116"/>
  <c r="F13" i="121"/>
  <c r="U45" i="120"/>
  <c r="T45" i="120"/>
  <c r="U21" i="120"/>
  <c r="T21" i="120"/>
  <c r="U33" i="121"/>
  <c r="T33" i="121"/>
  <c r="E8" i="117"/>
  <c r="N8" i="117" s="1"/>
  <c r="E15" i="118"/>
  <c r="U8" i="121"/>
  <c r="F14" i="116"/>
  <c r="F10" i="121"/>
  <c r="T10" i="121" s="1"/>
  <c r="E12" i="118"/>
  <c r="S22" i="121"/>
  <c r="E46" i="121"/>
  <c r="S34" i="121"/>
  <c r="E22" i="121"/>
  <c r="S46" i="121"/>
  <c r="E34" i="121"/>
  <c r="U45" i="116"/>
  <c r="T45" i="116"/>
  <c r="S45" i="119"/>
  <c r="E33" i="119"/>
  <c r="E45" i="119"/>
  <c r="S33" i="119"/>
  <c r="E21" i="119"/>
  <c r="S21" i="119"/>
  <c r="G45" i="120"/>
  <c r="F45" i="120"/>
  <c r="V13" i="35"/>
  <c r="B11" i="87"/>
  <c r="B13" i="87"/>
  <c r="E13" i="100"/>
  <c r="F13" i="100" s="1"/>
  <c r="F10" i="90"/>
  <c r="T10" i="90" s="1"/>
  <c r="T17" i="35"/>
  <c r="I2" i="96" s="1"/>
  <c r="H4" i="96" s="1"/>
  <c r="S17" i="35"/>
  <c r="G11" i="88"/>
  <c r="G16" i="80"/>
  <c r="H16" i="80" s="1"/>
  <c r="I16" i="80" s="1"/>
  <c r="J16" i="80" s="1"/>
  <c r="K16" i="80" s="1"/>
  <c r="L16" i="80" s="1"/>
  <c r="M16" i="80" s="1"/>
  <c r="N16" i="80" s="1"/>
  <c r="M17" i="35"/>
  <c r="W17" i="35" s="1"/>
  <c r="U3" i="113"/>
  <c r="V7" i="99"/>
  <c r="U21" i="99"/>
  <c r="G21" i="93"/>
  <c r="E15" i="103"/>
  <c r="F15" i="103" s="1"/>
  <c r="G15" i="103" s="1"/>
  <c r="H15" i="103" s="1"/>
  <c r="I15" i="103" s="1"/>
  <c r="J15" i="103" s="1"/>
  <c r="K15" i="103" s="1"/>
  <c r="L15" i="103" s="1"/>
  <c r="N15" i="103" s="1"/>
  <c r="R8" i="93"/>
  <c r="S22" i="93" s="1"/>
  <c r="W13" i="80"/>
  <c r="F12" i="112"/>
  <c r="N8" i="93"/>
  <c r="F33" i="93"/>
  <c r="U21" i="93"/>
  <c r="R8" i="90"/>
  <c r="E22" i="90" s="1"/>
  <c r="H48" i="95"/>
  <c r="G33" i="93"/>
  <c r="H60" i="113"/>
  <c r="G45" i="93"/>
  <c r="B32" i="95"/>
  <c r="U33" i="93"/>
  <c r="U45" i="93"/>
  <c r="H48" i="113"/>
  <c r="B56" i="95"/>
  <c r="E12" i="89"/>
  <c r="F12" i="89" s="1"/>
  <c r="G12" i="89" s="1"/>
  <c r="H12" i="89" s="1"/>
  <c r="I12" i="89" s="1"/>
  <c r="N12" i="89" s="1"/>
  <c r="D9" i="94"/>
  <c r="B9" i="94"/>
  <c r="E15" i="99"/>
  <c r="F15" i="99" s="1"/>
  <c r="G15" i="99" s="1"/>
  <c r="H15" i="99" s="1"/>
  <c r="I15" i="99" s="1"/>
  <c r="J15" i="99" s="1"/>
  <c r="K15" i="99" s="1"/>
  <c r="L15" i="99" s="1"/>
  <c r="R15" i="99" s="1"/>
  <c r="S29" i="99" s="1"/>
  <c r="E14" i="99"/>
  <c r="E8" i="101"/>
  <c r="R8" i="101" s="1"/>
  <c r="S22" i="101" s="1"/>
  <c r="F21" i="90"/>
  <c r="E27" i="95"/>
  <c r="E8" i="108"/>
  <c r="W8" i="108" s="1"/>
  <c r="E9" i="100"/>
  <c r="F9" i="100" s="1"/>
  <c r="T21" i="93"/>
  <c r="D8" i="87"/>
  <c r="T8" i="87" s="1"/>
  <c r="B8" i="87"/>
  <c r="D14" i="87"/>
  <c r="B14" i="87"/>
  <c r="E16" i="105"/>
  <c r="F16" i="105" s="1"/>
  <c r="G16" i="105" s="1"/>
  <c r="H16" i="105" s="1"/>
  <c r="I16" i="105" s="1"/>
  <c r="J16" i="105" s="1"/>
  <c r="K16" i="105" s="1"/>
  <c r="L16" i="105" s="1"/>
  <c r="M16" i="105" s="1"/>
  <c r="N16" i="105" s="1"/>
  <c r="M15" i="95"/>
  <c r="S33" i="100"/>
  <c r="M15" i="113"/>
  <c r="S45" i="100"/>
  <c r="U45" i="100" s="1"/>
  <c r="E45" i="100"/>
  <c r="G45" i="100" s="1"/>
  <c r="E21" i="100"/>
  <c r="G21" i="100" s="1"/>
  <c r="E33" i="100"/>
  <c r="F33" i="88"/>
  <c r="D39" i="95"/>
  <c r="B39" i="113"/>
  <c r="T33" i="80"/>
  <c r="B8" i="94"/>
  <c r="D8" i="94"/>
  <c r="E8" i="94" s="1"/>
  <c r="W8" i="94" s="1"/>
  <c r="E13" i="99"/>
  <c r="E15" i="89"/>
  <c r="B27" i="113"/>
  <c r="T21" i="80"/>
  <c r="E8" i="89"/>
  <c r="N8" i="89" s="1"/>
  <c r="W7" i="94"/>
  <c r="N7" i="94"/>
  <c r="R7" i="94"/>
  <c r="S21" i="94" s="1"/>
  <c r="F13" i="93"/>
  <c r="E15" i="112"/>
  <c r="G16" i="88"/>
  <c r="E39" i="113"/>
  <c r="T33" i="90"/>
  <c r="C16" i="91"/>
  <c r="C13" i="91"/>
  <c r="C12" i="91"/>
  <c r="D7" i="91"/>
  <c r="C15" i="91"/>
  <c r="C9" i="91"/>
  <c r="C11" i="91"/>
  <c r="C14" i="91"/>
  <c r="C10" i="91"/>
  <c r="C8" i="91"/>
  <c r="E11" i="102"/>
  <c r="E15" i="110"/>
  <c r="E9" i="105"/>
  <c r="T9" i="105" s="1"/>
  <c r="W14" i="102"/>
  <c r="E12" i="101"/>
  <c r="E10" i="105"/>
  <c r="E11" i="110"/>
  <c r="T45" i="93"/>
  <c r="E16" i="110"/>
  <c r="Q15" i="95"/>
  <c r="S33" i="104"/>
  <c r="Q15" i="113"/>
  <c r="S45" i="104"/>
  <c r="U45" i="104" s="1"/>
  <c r="E45" i="104"/>
  <c r="G45" i="104" s="1"/>
  <c r="E33" i="104"/>
  <c r="E21" i="104"/>
  <c r="G21" i="104" s="1"/>
  <c r="E10" i="101"/>
  <c r="E9" i="101"/>
  <c r="T9" i="101" s="1"/>
  <c r="F14" i="93"/>
  <c r="F45" i="88"/>
  <c r="D51" i="95"/>
  <c r="B51" i="113"/>
  <c r="T45" i="80"/>
  <c r="E9" i="103"/>
  <c r="F9" i="103" s="1"/>
  <c r="B12" i="94"/>
  <c r="D12" i="94"/>
  <c r="D14" i="94"/>
  <c r="B14" i="94"/>
  <c r="W15" i="95"/>
  <c r="S45" i="108"/>
  <c r="U45" i="108" s="1"/>
  <c r="W15" i="113"/>
  <c r="S33" i="108"/>
  <c r="U33" i="108" s="1"/>
  <c r="E21" i="108"/>
  <c r="G21" i="108" s="1"/>
  <c r="E45" i="108"/>
  <c r="G45" i="108" s="1"/>
  <c r="E33" i="108"/>
  <c r="G33" i="108" s="1"/>
  <c r="T33" i="93"/>
  <c r="L15" i="95"/>
  <c r="L15" i="113"/>
  <c r="S45" i="89"/>
  <c r="U45" i="89" s="1"/>
  <c r="S33" i="89"/>
  <c r="E21" i="89"/>
  <c r="G21" i="89" s="1"/>
  <c r="E45" i="89"/>
  <c r="G45" i="89" s="1"/>
  <c r="E33" i="89"/>
  <c r="E14" i="100"/>
  <c r="F14" i="100" s="1"/>
  <c r="G14" i="100" s="1"/>
  <c r="H14" i="100" s="1"/>
  <c r="I14" i="100" s="1"/>
  <c r="J14" i="100" s="1"/>
  <c r="K14" i="100" s="1"/>
  <c r="N14" i="100" s="1"/>
  <c r="T21" i="90"/>
  <c r="E27" i="113"/>
  <c r="E12" i="110"/>
  <c r="F12" i="110" s="1"/>
  <c r="G12" i="110" s="1"/>
  <c r="H12" i="110" s="1"/>
  <c r="I12" i="110" s="1"/>
  <c r="F12" i="93"/>
  <c r="W8" i="80"/>
  <c r="D15" i="87"/>
  <c r="B15" i="87"/>
  <c r="E11" i="99"/>
  <c r="AA15" i="95"/>
  <c r="AA15" i="113"/>
  <c r="S45" i="112"/>
  <c r="S33" i="112"/>
  <c r="U33" i="112" s="1"/>
  <c r="E33" i="112"/>
  <c r="G33" i="112" s="1"/>
  <c r="E21" i="112"/>
  <c r="G21" i="112" s="1"/>
  <c r="E45" i="112"/>
  <c r="E9" i="99"/>
  <c r="F9" i="99" s="1"/>
  <c r="R9" i="99" s="1"/>
  <c r="S23" i="99" s="1"/>
  <c r="G15" i="88"/>
  <c r="F21" i="88"/>
  <c r="D27" i="95"/>
  <c r="D10" i="94"/>
  <c r="B10" i="94"/>
  <c r="B15" i="94"/>
  <c r="D15" i="94"/>
  <c r="F9" i="90"/>
  <c r="W9" i="90" s="1"/>
  <c r="E14" i="101"/>
  <c r="F14" i="101" s="1"/>
  <c r="G14" i="101" s="1"/>
  <c r="H14" i="101" s="1"/>
  <c r="I14" i="101" s="1"/>
  <c r="J14" i="101" s="1"/>
  <c r="K14" i="101" s="1"/>
  <c r="R14" i="101" s="1"/>
  <c r="S28" i="101" s="1"/>
  <c r="U15" i="95"/>
  <c r="S45" i="99"/>
  <c r="U45" i="99" s="1"/>
  <c r="U15" i="113"/>
  <c r="S33" i="99"/>
  <c r="E33" i="99"/>
  <c r="E21" i="99"/>
  <c r="G21" i="99" s="1"/>
  <c r="E45" i="99"/>
  <c r="G45" i="99" s="1"/>
  <c r="E16" i="106"/>
  <c r="F16" i="106" s="1"/>
  <c r="G16" i="106" s="1"/>
  <c r="H16" i="106" s="1"/>
  <c r="I16" i="106" s="1"/>
  <c r="J16" i="106" s="1"/>
  <c r="K16" i="106" s="1"/>
  <c r="L16" i="106" s="1"/>
  <c r="M16" i="106" s="1"/>
  <c r="N16" i="106" s="1"/>
  <c r="B16" i="113"/>
  <c r="S22" i="80"/>
  <c r="S46" i="80"/>
  <c r="S34" i="80"/>
  <c r="E46" i="80"/>
  <c r="E22" i="80"/>
  <c r="E34" i="80"/>
  <c r="B16" i="95"/>
  <c r="N14" i="97" s="1"/>
  <c r="B30" i="32" s="1"/>
  <c r="D13" i="87"/>
  <c r="B12" i="87"/>
  <c r="D12" i="87"/>
  <c r="E9" i="112"/>
  <c r="T9" i="112" s="1"/>
  <c r="E10" i="110"/>
  <c r="F10" i="110" s="1"/>
  <c r="G10" i="110" s="1"/>
  <c r="R10" i="110" s="1"/>
  <c r="S24" i="110" s="1"/>
  <c r="F15" i="108"/>
  <c r="G15" i="108" s="1"/>
  <c r="H15" i="108" s="1"/>
  <c r="I15" i="108" s="1"/>
  <c r="J15" i="108" s="1"/>
  <c r="K15" i="108" s="1"/>
  <c r="L15" i="108" s="1"/>
  <c r="N13" i="80"/>
  <c r="R13" i="80"/>
  <c r="T45" i="88"/>
  <c r="D51" i="113"/>
  <c r="Y15" i="95"/>
  <c r="S45" i="110"/>
  <c r="U45" i="110" s="1"/>
  <c r="Y15" i="113"/>
  <c r="S33" i="110"/>
  <c r="U33" i="110" s="1"/>
  <c r="E21" i="110"/>
  <c r="G21" i="110" s="1"/>
  <c r="E33" i="110"/>
  <c r="G33" i="110" s="1"/>
  <c r="E45" i="110"/>
  <c r="G45" i="110" s="1"/>
  <c r="D13" i="94"/>
  <c r="B13" i="94"/>
  <c r="E12" i="102"/>
  <c r="F12" i="102" s="1"/>
  <c r="G12" i="102" s="1"/>
  <c r="H12" i="102" s="1"/>
  <c r="I12" i="102" s="1"/>
  <c r="E9" i="102"/>
  <c r="S9" i="102" s="1"/>
  <c r="T45" i="90"/>
  <c r="E51" i="113"/>
  <c r="W8" i="90"/>
  <c r="F15" i="93"/>
  <c r="E11" i="101"/>
  <c r="F11" i="101" s="1"/>
  <c r="G11" i="101" s="1"/>
  <c r="H11" i="101" s="1"/>
  <c r="R11" i="101" s="1"/>
  <c r="S25" i="101" s="1"/>
  <c r="W7" i="87"/>
  <c r="N7" i="87"/>
  <c r="R7" i="87"/>
  <c r="E13" i="102"/>
  <c r="S15" i="95"/>
  <c r="S33" i="106"/>
  <c r="S15" i="113"/>
  <c r="S45" i="106"/>
  <c r="U45" i="106" s="1"/>
  <c r="E33" i="106"/>
  <c r="E21" i="106"/>
  <c r="G21" i="106" s="1"/>
  <c r="E45" i="106"/>
  <c r="G45" i="106" s="1"/>
  <c r="X15" i="95"/>
  <c r="S33" i="109"/>
  <c r="U33" i="109" s="1"/>
  <c r="X15" i="113"/>
  <c r="S45" i="109"/>
  <c r="U45" i="109" s="1"/>
  <c r="E33" i="109"/>
  <c r="G33" i="109" s="1"/>
  <c r="E45" i="109"/>
  <c r="G45" i="109" s="1"/>
  <c r="E21" i="109"/>
  <c r="G21" i="109" s="1"/>
  <c r="D4" i="92"/>
  <c r="D1" i="92"/>
  <c r="E14" i="104"/>
  <c r="T21" i="88"/>
  <c r="D27" i="113"/>
  <c r="G2" i="92"/>
  <c r="U14" i="35"/>
  <c r="B27" i="95"/>
  <c r="F21" i="80"/>
  <c r="E9" i="110"/>
  <c r="T9" i="110" s="1"/>
  <c r="E14" i="105"/>
  <c r="B11" i="94"/>
  <c r="D11" i="94"/>
  <c r="G10" i="88"/>
  <c r="G14" i="88"/>
  <c r="E11" i="105"/>
  <c r="H36" i="113"/>
  <c r="E14" i="89"/>
  <c r="D16" i="87"/>
  <c r="B16" i="87"/>
  <c r="G13" i="90"/>
  <c r="E8" i="105"/>
  <c r="N8" i="105" s="1"/>
  <c r="O15" i="95"/>
  <c r="S33" i="102"/>
  <c r="O15" i="113"/>
  <c r="S45" i="102"/>
  <c r="U45" i="102" s="1"/>
  <c r="E45" i="102"/>
  <c r="G45" i="102" s="1"/>
  <c r="E33" i="102"/>
  <c r="E21" i="102"/>
  <c r="G21" i="102" s="1"/>
  <c r="E10" i="99"/>
  <c r="E16" i="112"/>
  <c r="E15" i="101"/>
  <c r="F15" i="101" s="1"/>
  <c r="G15" i="101" s="1"/>
  <c r="H15" i="101" s="1"/>
  <c r="I15" i="101" s="1"/>
  <c r="J15" i="101" s="1"/>
  <c r="K15" i="101" s="1"/>
  <c r="L15" i="101" s="1"/>
  <c r="E11" i="89"/>
  <c r="E12" i="105"/>
  <c r="F12" i="105" s="1"/>
  <c r="G12" i="105" s="1"/>
  <c r="H12" i="105" s="1"/>
  <c r="I12" i="105" s="1"/>
  <c r="R12" i="105" s="1"/>
  <c r="S26" i="105" s="1"/>
  <c r="H3" i="95"/>
  <c r="T8" i="97" s="1"/>
  <c r="T44" i="97" s="1"/>
  <c r="H3" i="113"/>
  <c r="H63" i="113" s="1"/>
  <c r="T34" i="97" s="1"/>
  <c r="V7" i="93"/>
  <c r="F45" i="80"/>
  <c r="B51" i="95"/>
  <c r="B16" i="94"/>
  <c r="D16" i="94"/>
  <c r="P15" i="95"/>
  <c r="S45" i="103"/>
  <c r="U45" i="103" s="1"/>
  <c r="P15" i="113"/>
  <c r="S33" i="103"/>
  <c r="E21" i="103"/>
  <c r="G21" i="103" s="1"/>
  <c r="E45" i="103"/>
  <c r="G45" i="103" s="1"/>
  <c r="E33" i="103"/>
  <c r="N8" i="80"/>
  <c r="E8" i="102"/>
  <c r="N8" i="102" s="1"/>
  <c r="F45" i="90"/>
  <c r="E51" i="95"/>
  <c r="V15" i="95"/>
  <c r="S33" i="107"/>
  <c r="U33" i="107" s="1"/>
  <c r="V15" i="113"/>
  <c r="S45" i="107"/>
  <c r="U45" i="107" s="1"/>
  <c r="E33" i="107"/>
  <c r="G33" i="107" s="1"/>
  <c r="E21" i="107"/>
  <c r="G21" i="107" s="1"/>
  <c r="E45" i="107"/>
  <c r="G45" i="107" s="1"/>
  <c r="E8" i="99"/>
  <c r="N8" i="99" s="1"/>
  <c r="D11" i="87"/>
  <c r="D10" i="87"/>
  <c r="B10" i="87"/>
  <c r="E14" i="110"/>
  <c r="F45" i="93"/>
  <c r="E13" i="110"/>
  <c r="E8" i="104"/>
  <c r="R8" i="104" s="1"/>
  <c r="S22" i="104" s="1"/>
  <c r="N8" i="88"/>
  <c r="R14" i="102"/>
  <c r="S28" i="102" s="1"/>
  <c r="F21" i="93"/>
  <c r="T33" i="88"/>
  <c r="D39" i="113"/>
  <c r="E13" i="101"/>
  <c r="I12" i="88"/>
  <c r="F33" i="80"/>
  <c r="B39" i="95"/>
  <c r="Z15" i="95"/>
  <c r="S33" i="111"/>
  <c r="U33" i="111" s="1"/>
  <c r="Z15" i="113"/>
  <c r="S45" i="111"/>
  <c r="U45" i="111" s="1"/>
  <c r="E21" i="111"/>
  <c r="G21" i="111" s="1"/>
  <c r="E45" i="111"/>
  <c r="G45" i="111" s="1"/>
  <c r="E33" i="111"/>
  <c r="G33" i="111" s="1"/>
  <c r="F15" i="90"/>
  <c r="G15" i="90" s="1"/>
  <c r="H15" i="90" s="1"/>
  <c r="I15" i="90" s="1"/>
  <c r="J15" i="90" s="1"/>
  <c r="K15" i="90" s="1"/>
  <c r="W9" i="93"/>
  <c r="R9" i="93"/>
  <c r="S23" i="93" s="1"/>
  <c r="N9" i="93"/>
  <c r="F33" i="90"/>
  <c r="E39" i="95"/>
  <c r="E8" i="103"/>
  <c r="W8" i="103" s="1"/>
  <c r="E8" i="111"/>
  <c r="R8" i="111" s="1"/>
  <c r="S22" i="111" s="1"/>
  <c r="E16" i="99"/>
  <c r="F16" i="99" s="1"/>
  <c r="G16" i="99" s="1"/>
  <c r="H16" i="99" s="1"/>
  <c r="I16" i="99" s="1"/>
  <c r="J16" i="99" s="1"/>
  <c r="K16" i="99" s="1"/>
  <c r="L16" i="99" s="1"/>
  <c r="M16" i="99" s="1"/>
  <c r="N16" i="99" s="1"/>
  <c r="E15" i="104"/>
  <c r="F15" i="104" s="1"/>
  <c r="G15" i="104" s="1"/>
  <c r="H15" i="104" s="1"/>
  <c r="I15" i="104" s="1"/>
  <c r="J15" i="104" s="1"/>
  <c r="K15" i="104" s="1"/>
  <c r="L15" i="104" s="1"/>
  <c r="B9" i="87"/>
  <c r="D9" i="87"/>
  <c r="R8" i="100"/>
  <c r="S22" i="100" s="1"/>
  <c r="E9" i="89"/>
  <c r="T9" i="89" s="1"/>
  <c r="N15" i="95"/>
  <c r="S45" i="101"/>
  <c r="U45" i="101" s="1"/>
  <c r="N15" i="113"/>
  <c r="S33" i="101"/>
  <c r="E21" i="101"/>
  <c r="G21" i="101" s="1"/>
  <c r="E33" i="101"/>
  <c r="E45" i="101"/>
  <c r="G45" i="101" s="1"/>
  <c r="E8" i="107"/>
  <c r="R8" i="107" s="1"/>
  <c r="S22" i="107" s="1"/>
  <c r="R15" i="95"/>
  <c r="R15" i="113"/>
  <c r="S33" i="105"/>
  <c r="S45" i="105"/>
  <c r="U45" i="105" s="1"/>
  <c r="E33" i="105"/>
  <c r="E21" i="105"/>
  <c r="G21" i="105" s="1"/>
  <c r="E45" i="105"/>
  <c r="G45" i="105" s="1"/>
  <c r="E8" i="109"/>
  <c r="R8" i="109" s="1"/>
  <c r="S22" i="109" s="1"/>
  <c r="E13" i="112"/>
  <c r="R8" i="88"/>
  <c r="E14" i="112"/>
  <c r="E8" i="112"/>
  <c r="R8" i="112" s="1"/>
  <c r="S22" i="112" s="1"/>
  <c r="E12" i="99"/>
  <c r="N11" i="112" l="1"/>
  <c r="E4" i="95"/>
  <c r="Q9" i="97" s="1"/>
  <c r="E25" i="32" s="1"/>
  <c r="W11" i="112"/>
  <c r="V8" i="90"/>
  <c r="W13" i="120"/>
  <c r="U34" i="80"/>
  <c r="V8" i="80"/>
  <c r="E39" i="120"/>
  <c r="B4" i="95"/>
  <c r="N9" i="97" s="1"/>
  <c r="B25" i="32" s="1"/>
  <c r="S39" i="120"/>
  <c r="S27" i="120"/>
  <c r="E51" i="120"/>
  <c r="N11" i="80"/>
  <c r="E23" i="120"/>
  <c r="G23" i="120" s="1"/>
  <c r="R8" i="110"/>
  <c r="S22" i="110" s="1"/>
  <c r="W10" i="93"/>
  <c r="W16" i="89"/>
  <c r="E47" i="120"/>
  <c r="G47" i="120" s="1"/>
  <c r="E35" i="120"/>
  <c r="G35" i="120" s="1"/>
  <c r="W9" i="120"/>
  <c r="V9" i="120" s="1"/>
  <c r="N9" i="120"/>
  <c r="N8" i="100"/>
  <c r="W10" i="80"/>
  <c r="S35" i="120"/>
  <c r="T35" i="120" s="1"/>
  <c r="S47" i="120"/>
  <c r="T47" i="120" s="1"/>
  <c r="R10" i="93"/>
  <c r="S24" i="93" s="1"/>
  <c r="V14" i="35"/>
  <c r="N14" i="111"/>
  <c r="W14" i="111"/>
  <c r="S50" i="116"/>
  <c r="AA19" i="113"/>
  <c r="N8" i="110"/>
  <c r="H4" i="113"/>
  <c r="S25" i="80"/>
  <c r="B31" i="113" s="1"/>
  <c r="E50" i="116"/>
  <c r="U8" i="101"/>
  <c r="U22" i="101" s="1"/>
  <c r="U22" i="93"/>
  <c r="W13" i="105"/>
  <c r="S39" i="105"/>
  <c r="R10" i="102"/>
  <c r="S24" i="102" s="1"/>
  <c r="O30" i="113" s="1"/>
  <c r="R21" i="95"/>
  <c r="R13" i="104"/>
  <c r="S27" i="104" s="1"/>
  <c r="Q45" i="113" s="1"/>
  <c r="H4" i="95"/>
  <c r="T9" i="97" s="1"/>
  <c r="W13" i="108"/>
  <c r="R13" i="108"/>
  <c r="S27" i="108" s="1"/>
  <c r="W33" i="113" s="1"/>
  <c r="U7" i="91"/>
  <c r="W13" i="104"/>
  <c r="N8" i="106"/>
  <c r="F9" i="107"/>
  <c r="N9" i="107" s="1"/>
  <c r="S51" i="105"/>
  <c r="R57" i="113" s="1"/>
  <c r="E27" i="105"/>
  <c r="R45" i="95" s="1"/>
  <c r="W16" i="108"/>
  <c r="W10" i="102"/>
  <c r="R11" i="104"/>
  <c r="S25" i="104" s="1"/>
  <c r="Q31" i="113" s="1"/>
  <c r="S15" i="80"/>
  <c r="T9" i="108"/>
  <c r="S11" i="90"/>
  <c r="S14" i="117"/>
  <c r="S16" i="121"/>
  <c r="S9" i="118"/>
  <c r="T10" i="102"/>
  <c r="N9" i="80"/>
  <c r="W11" i="104"/>
  <c r="R8" i="106"/>
  <c r="S22" i="106" s="1"/>
  <c r="E39" i="105"/>
  <c r="R21" i="113"/>
  <c r="R16" i="108"/>
  <c r="S30" i="108" s="1"/>
  <c r="W36" i="113" s="1"/>
  <c r="R11" i="119"/>
  <c r="S25" i="119" s="1"/>
  <c r="E37" i="112"/>
  <c r="AA43" i="95" s="1"/>
  <c r="F9" i="108"/>
  <c r="W9" i="108" s="1"/>
  <c r="E51" i="105"/>
  <c r="R57" i="95" s="1"/>
  <c r="W11" i="90"/>
  <c r="W14" i="80"/>
  <c r="W12" i="109"/>
  <c r="N13" i="105"/>
  <c r="S10" i="109"/>
  <c r="S16" i="103"/>
  <c r="F9" i="104"/>
  <c r="W9" i="104" s="1"/>
  <c r="W9" i="106"/>
  <c r="W9" i="111"/>
  <c r="R9" i="106"/>
  <c r="S23" i="106" s="1"/>
  <c r="S29" i="113" s="1"/>
  <c r="R10" i="103"/>
  <c r="S24" i="103" s="1"/>
  <c r="P30" i="113" s="1"/>
  <c r="S22" i="120"/>
  <c r="U22" i="120" s="1"/>
  <c r="T16" i="104"/>
  <c r="T16" i="108"/>
  <c r="S9" i="119"/>
  <c r="S16" i="111"/>
  <c r="T13" i="108"/>
  <c r="T11" i="90"/>
  <c r="S16" i="90"/>
  <c r="S13" i="89"/>
  <c r="S9" i="104"/>
  <c r="W12" i="103"/>
  <c r="R12" i="103"/>
  <c r="S26" i="103" s="1"/>
  <c r="S48" i="80"/>
  <c r="B54" i="113" s="1"/>
  <c r="E46" i="120"/>
  <c r="G46" i="120" s="1"/>
  <c r="S10" i="111"/>
  <c r="S10" i="106"/>
  <c r="S11" i="103"/>
  <c r="T15" i="80"/>
  <c r="S13" i="104"/>
  <c r="T16" i="107"/>
  <c r="T9" i="107"/>
  <c r="U9" i="107" s="1"/>
  <c r="S9" i="105"/>
  <c r="S9" i="89"/>
  <c r="S13" i="105"/>
  <c r="S14" i="111"/>
  <c r="F12" i="107"/>
  <c r="G12" i="107" s="1"/>
  <c r="H12" i="107" s="1"/>
  <c r="I12" i="107" s="1"/>
  <c r="R12" i="107" s="1"/>
  <c r="S26" i="107" s="1"/>
  <c r="K14" i="90"/>
  <c r="W14" i="90" s="1"/>
  <c r="F13" i="106"/>
  <c r="G13" i="106" s="1"/>
  <c r="H13" i="106" s="1"/>
  <c r="I13" i="106" s="1"/>
  <c r="J13" i="106" s="1"/>
  <c r="R13" i="106" s="1"/>
  <c r="S27" i="106" s="1"/>
  <c r="B18" i="95"/>
  <c r="N16" i="97" s="1"/>
  <c r="B32" i="32" s="1"/>
  <c r="T11" i="108"/>
  <c r="S13" i="109"/>
  <c r="S10" i="89"/>
  <c r="S12" i="102"/>
  <c r="S10" i="102"/>
  <c r="U8" i="89"/>
  <c r="L4" i="113" s="1"/>
  <c r="S12" i="104"/>
  <c r="I12" i="120"/>
  <c r="N12" i="120" s="1"/>
  <c r="S12" i="120"/>
  <c r="R9" i="80"/>
  <c r="B17" i="113" s="1"/>
  <c r="L15" i="90"/>
  <c r="N15" i="90" s="1"/>
  <c r="T15" i="90"/>
  <c r="F10" i="100"/>
  <c r="G10" i="100" s="1"/>
  <c r="N10" i="100" s="1"/>
  <c r="N9" i="88"/>
  <c r="F16" i="109"/>
  <c r="G16" i="109" s="1"/>
  <c r="H16" i="109" s="1"/>
  <c r="I16" i="109" s="1"/>
  <c r="J16" i="109" s="1"/>
  <c r="K16" i="109" s="1"/>
  <c r="L16" i="109" s="1"/>
  <c r="R14" i="80"/>
  <c r="B22" i="113" s="1"/>
  <c r="W13" i="109"/>
  <c r="W9" i="88"/>
  <c r="N16" i="89"/>
  <c r="H11" i="88"/>
  <c r="R11" i="88" s="1"/>
  <c r="D19" i="113" s="1"/>
  <c r="T11" i="88"/>
  <c r="N10" i="80"/>
  <c r="E24" i="80"/>
  <c r="B30" i="95" s="1"/>
  <c r="N21" i="97" s="1"/>
  <c r="B37" i="32" s="1"/>
  <c r="G11" i="120"/>
  <c r="T11" i="120" s="1"/>
  <c r="E26" i="116"/>
  <c r="T9" i="100"/>
  <c r="S9" i="112"/>
  <c r="T15" i="100"/>
  <c r="S9" i="99"/>
  <c r="S14" i="119"/>
  <c r="S12" i="117"/>
  <c r="S16" i="89"/>
  <c r="S10" i="108"/>
  <c r="S16" i="107"/>
  <c r="T11" i="93"/>
  <c r="T12" i="110"/>
  <c r="S9" i="110"/>
  <c r="S14" i="80"/>
  <c r="S12" i="105"/>
  <c r="S11" i="80"/>
  <c r="S14" i="90"/>
  <c r="S15" i="108"/>
  <c r="S8" i="115"/>
  <c r="U8" i="115" s="1"/>
  <c r="S16" i="108"/>
  <c r="T10" i="111"/>
  <c r="T16" i="105"/>
  <c r="T9" i="102"/>
  <c r="T11" i="100"/>
  <c r="S10" i="80"/>
  <c r="T10" i="107"/>
  <c r="T12" i="105"/>
  <c r="T14" i="106"/>
  <c r="S11" i="119"/>
  <c r="S10" i="118"/>
  <c r="T11" i="104"/>
  <c r="T15" i="109"/>
  <c r="T11" i="80"/>
  <c r="S16" i="104"/>
  <c r="S10" i="112"/>
  <c r="S11" i="88"/>
  <c r="T11" i="119"/>
  <c r="T14" i="101"/>
  <c r="S8" i="94"/>
  <c r="T12" i="120"/>
  <c r="T10" i="108"/>
  <c r="T14" i="100"/>
  <c r="S11" i="118"/>
  <c r="T10" i="89"/>
  <c r="S9" i="109"/>
  <c r="S10" i="90"/>
  <c r="T16" i="89"/>
  <c r="T9" i="109"/>
  <c r="G13" i="88"/>
  <c r="H13" i="88" s="1"/>
  <c r="I13" i="88" s="1"/>
  <c r="S11" i="100"/>
  <c r="S11" i="107"/>
  <c r="T9" i="99"/>
  <c r="S9" i="100"/>
  <c r="S10" i="103"/>
  <c r="S12" i="103"/>
  <c r="T15" i="104"/>
  <c r="S16" i="99"/>
  <c r="T11" i="103"/>
  <c r="T10" i="110"/>
  <c r="T12" i="89"/>
  <c r="T10" i="118"/>
  <c r="S15" i="103"/>
  <c r="T16" i="111"/>
  <c r="T12" i="117"/>
  <c r="S15" i="99"/>
  <c r="L15" i="121"/>
  <c r="R15" i="121" s="1"/>
  <c r="T15" i="121"/>
  <c r="N10" i="108"/>
  <c r="F9" i="117"/>
  <c r="R9" i="117" s="1"/>
  <c r="E47" i="117" s="1"/>
  <c r="S9" i="117"/>
  <c r="U9" i="117" s="1"/>
  <c r="G16" i="120"/>
  <c r="H16" i="120" s="1"/>
  <c r="I16" i="120" s="1"/>
  <c r="J16" i="120" s="1"/>
  <c r="K16" i="120" s="1"/>
  <c r="L16" i="120" s="1"/>
  <c r="T16" i="120" s="1"/>
  <c r="E38" i="116"/>
  <c r="S26" i="116"/>
  <c r="T10" i="103"/>
  <c r="S16" i="105"/>
  <c r="T10" i="109"/>
  <c r="S9" i="111"/>
  <c r="T10" i="112"/>
  <c r="T16" i="119"/>
  <c r="T16" i="117"/>
  <c r="T12" i="102"/>
  <c r="T9" i="103"/>
  <c r="T10" i="106"/>
  <c r="G12" i="90"/>
  <c r="S10" i="110"/>
  <c r="S14" i="108"/>
  <c r="T11" i="107"/>
  <c r="S9" i="101"/>
  <c r="S11" i="101"/>
  <c r="T11" i="112"/>
  <c r="T13" i="89"/>
  <c r="T16" i="103"/>
  <c r="S12" i="109"/>
  <c r="S9" i="106"/>
  <c r="T12" i="103"/>
  <c r="S15" i="104"/>
  <c r="S13" i="108"/>
  <c r="S14" i="106"/>
  <c r="S12" i="89"/>
  <c r="T14" i="117"/>
  <c r="S8" i="87"/>
  <c r="U8" i="87" s="1"/>
  <c r="S16" i="119"/>
  <c r="T10" i="104"/>
  <c r="S11" i="112"/>
  <c r="T12" i="104"/>
  <c r="S15" i="121"/>
  <c r="T13" i="105"/>
  <c r="S10" i="93"/>
  <c r="F10" i="117"/>
  <c r="T10" i="117" s="1"/>
  <c r="G10" i="120"/>
  <c r="W10" i="120" s="1"/>
  <c r="S10" i="120"/>
  <c r="T7" i="92"/>
  <c r="F12" i="108"/>
  <c r="G12" i="108" s="1"/>
  <c r="H12" i="108" s="1"/>
  <c r="I12" i="108" s="1"/>
  <c r="F11" i="106"/>
  <c r="G11" i="106" s="1"/>
  <c r="S11" i="106" s="1"/>
  <c r="F15" i="102"/>
  <c r="G15" i="102" s="1"/>
  <c r="H15" i="102" s="1"/>
  <c r="I15" i="102" s="1"/>
  <c r="J15" i="102" s="1"/>
  <c r="K15" i="102" s="1"/>
  <c r="L15" i="102" s="1"/>
  <c r="W10" i="103"/>
  <c r="S36" i="80"/>
  <c r="B42" i="113" s="1"/>
  <c r="G10" i="121"/>
  <c r="R10" i="121" s="1"/>
  <c r="S10" i="121"/>
  <c r="U23" i="120"/>
  <c r="F10" i="119"/>
  <c r="T10" i="119" s="1"/>
  <c r="M16" i="121"/>
  <c r="N16" i="121" s="1"/>
  <c r="T16" i="121"/>
  <c r="M16" i="90"/>
  <c r="T16" i="90"/>
  <c r="N13" i="120"/>
  <c r="T13" i="104"/>
  <c r="R15" i="116"/>
  <c r="N15" i="116"/>
  <c r="T11" i="118"/>
  <c r="T9" i="111"/>
  <c r="S11" i="93"/>
  <c r="T14" i="80"/>
  <c r="T16" i="99"/>
  <c r="S11" i="108"/>
  <c r="S15" i="109"/>
  <c r="S15" i="101"/>
  <c r="S10" i="104"/>
  <c r="S16" i="117"/>
  <c r="H11" i="116"/>
  <c r="S11" i="116"/>
  <c r="T10" i="80"/>
  <c r="T14" i="108"/>
  <c r="S10" i="107"/>
  <c r="S15" i="100"/>
  <c r="T15" i="101"/>
  <c r="T11" i="101"/>
  <c r="S16" i="106"/>
  <c r="T15" i="99"/>
  <c r="T15" i="103"/>
  <c r="S15" i="105"/>
  <c r="T14" i="119"/>
  <c r="S11" i="104"/>
  <c r="T14" i="111"/>
  <c r="T12" i="109"/>
  <c r="T9" i="106"/>
  <c r="S16" i="80"/>
  <c r="T10" i="120"/>
  <c r="S9" i="103"/>
  <c r="S15" i="90"/>
  <c r="T15" i="105"/>
  <c r="T16" i="80"/>
  <c r="T16" i="106"/>
  <c r="S14" i="101"/>
  <c r="T8" i="94"/>
  <c r="S14" i="100"/>
  <c r="T15" i="108"/>
  <c r="T13" i="109"/>
  <c r="S12" i="110"/>
  <c r="T10" i="93"/>
  <c r="E49" i="112"/>
  <c r="E48" i="104"/>
  <c r="Q54" i="95" s="1"/>
  <c r="N16" i="107"/>
  <c r="E25" i="112"/>
  <c r="AA31" i="95" s="1"/>
  <c r="AA19" i="95"/>
  <c r="R12" i="109"/>
  <c r="S26" i="109" s="1"/>
  <c r="R15" i="100"/>
  <c r="S29" i="100" s="1"/>
  <c r="M47" i="113" s="1"/>
  <c r="R11" i="90"/>
  <c r="E37" i="90" s="1"/>
  <c r="E43" i="95" s="1"/>
  <c r="N14" i="108"/>
  <c r="N15" i="80"/>
  <c r="S49" i="112"/>
  <c r="S37" i="112"/>
  <c r="AA43" i="113" s="1"/>
  <c r="N10" i="104"/>
  <c r="E34" i="120"/>
  <c r="G34" i="120" s="1"/>
  <c r="S34" i="120"/>
  <c r="U34" i="120" s="1"/>
  <c r="E22" i="120"/>
  <c r="G22" i="120" s="1"/>
  <c r="W15" i="80"/>
  <c r="S48" i="104"/>
  <c r="Q54" i="113" s="1"/>
  <c r="Q18" i="95"/>
  <c r="W15" i="100"/>
  <c r="N10" i="109"/>
  <c r="N13" i="109"/>
  <c r="N16" i="111"/>
  <c r="W10" i="104"/>
  <c r="E24" i="104"/>
  <c r="Q42" i="95" s="1"/>
  <c r="S36" i="104"/>
  <c r="U22" i="116"/>
  <c r="E36" i="104"/>
  <c r="Q18" i="113"/>
  <c r="W14" i="108"/>
  <c r="W16" i="107"/>
  <c r="W16" i="111"/>
  <c r="W10" i="109"/>
  <c r="U8" i="111"/>
  <c r="U22" i="111" s="1"/>
  <c r="W11" i="119"/>
  <c r="W10" i="118"/>
  <c r="U34" i="121"/>
  <c r="U8" i="102"/>
  <c r="U9" i="80"/>
  <c r="B5" i="113" s="1"/>
  <c r="U8" i="104"/>
  <c r="Q4" i="113" s="1"/>
  <c r="U46" i="121"/>
  <c r="U22" i="121"/>
  <c r="R16" i="117"/>
  <c r="E30" i="117" s="1"/>
  <c r="U8" i="105"/>
  <c r="R4" i="113" s="1"/>
  <c r="G22" i="121"/>
  <c r="W16" i="117"/>
  <c r="R10" i="118"/>
  <c r="S36" i="118" s="1"/>
  <c r="U9" i="121"/>
  <c r="G34" i="121"/>
  <c r="G46" i="121"/>
  <c r="N14" i="119"/>
  <c r="S38" i="117"/>
  <c r="S26" i="117"/>
  <c r="E50" i="117"/>
  <c r="S50" i="117"/>
  <c r="E38" i="117"/>
  <c r="E26" i="117"/>
  <c r="E40" i="117"/>
  <c r="E28" i="117"/>
  <c r="S28" i="117"/>
  <c r="S52" i="117"/>
  <c r="E52" i="117"/>
  <c r="S40" i="117"/>
  <c r="U21" i="119"/>
  <c r="T21" i="119"/>
  <c r="N9" i="116"/>
  <c r="R9" i="116"/>
  <c r="U45" i="117"/>
  <c r="T45" i="117"/>
  <c r="F13" i="107"/>
  <c r="G13" i="107" s="1"/>
  <c r="H13" i="107" s="1"/>
  <c r="I13" i="107" s="1"/>
  <c r="J13" i="107" s="1"/>
  <c r="F13" i="111"/>
  <c r="E37" i="80"/>
  <c r="B43" i="95" s="1"/>
  <c r="E49" i="80"/>
  <c r="B55" i="95" s="1"/>
  <c r="R14" i="106"/>
  <c r="S28" i="106" s="1"/>
  <c r="S46" i="113" s="1"/>
  <c r="G45" i="119"/>
  <c r="F45" i="119"/>
  <c r="F22" i="121"/>
  <c r="T22" i="121"/>
  <c r="T34" i="121"/>
  <c r="F34" i="121"/>
  <c r="F46" i="121"/>
  <c r="T46" i="121"/>
  <c r="G13" i="121"/>
  <c r="U8" i="119"/>
  <c r="G15" i="120"/>
  <c r="F14" i="118"/>
  <c r="W16" i="119"/>
  <c r="G46" i="116"/>
  <c r="G22" i="116"/>
  <c r="N16" i="119"/>
  <c r="W9" i="116"/>
  <c r="W11" i="118"/>
  <c r="W12" i="117"/>
  <c r="R11" i="118"/>
  <c r="G16" i="116"/>
  <c r="E46" i="118"/>
  <c r="G46" i="118" s="1"/>
  <c r="S22" i="118"/>
  <c r="U22" i="118" s="1"/>
  <c r="E34" i="118"/>
  <c r="G34" i="118" s="1"/>
  <c r="S46" i="118"/>
  <c r="U46" i="118" s="1"/>
  <c r="E22" i="118"/>
  <c r="G22" i="118" s="1"/>
  <c r="S34" i="118"/>
  <c r="U34" i="118" s="1"/>
  <c r="G33" i="118"/>
  <c r="F33" i="118"/>
  <c r="G45" i="118"/>
  <c r="F45" i="118"/>
  <c r="U8" i="99"/>
  <c r="U4" i="95" s="1"/>
  <c r="R8" i="117"/>
  <c r="N12" i="117"/>
  <c r="G45" i="117"/>
  <c r="F45" i="117"/>
  <c r="G33" i="117"/>
  <c r="F33" i="117"/>
  <c r="G13" i="116"/>
  <c r="U8" i="112"/>
  <c r="AA4" i="113" s="1"/>
  <c r="U8" i="108"/>
  <c r="S42" i="119"/>
  <c r="S30" i="119"/>
  <c r="S54" i="119"/>
  <c r="E30" i="119"/>
  <c r="E54" i="119"/>
  <c r="E42" i="119"/>
  <c r="F12" i="119"/>
  <c r="G12" i="119" s="1"/>
  <c r="H12" i="119" s="1"/>
  <c r="S12" i="119" s="1"/>
  <c r="W15" i="105"/>
  <c r="R11" i="93"/>
  <c r="S25" i="93" s="1"/>
  <c r="R15" i="105"/>
  <c r="S29" i="105" s="1"/>
  <c r="R11" i="108"/>
  <c r="S25" i="108" s="1"/>
  <c r="W16" i="80"/>
  <c r="W10" i="108"/>
  <c r="W11" i="93"/>
  <c r="R11" i="107"/>
  <c r="S25" i="107" s="1"/>
  <c r="V31" i="113" s="1"/>
  <c r="N9" i="111"/>
  <c r="B19" i="95"/>
  <c r="B19" i="113"/>
  <c r="G21" i="119"/>
  <c r="F21" i="119"/>
  <c r="U45" i="119"/>
  <c r="T45" i="119"/>
  <c r="F12" i="118"/>
  <c r="F15" i="118"/>
  <c r="W8" i="117"/>
  <c r="V8" i="117" s="1"/>
  <c r="V8" i="121"/>
  <c r="F16" i="118"/>
  <c r="R9" i="121"/>
  <c r="N9" i="121"/>
  <c r="W9" i="121"/>
  <c r="W14" i="119"/>
  <c r="U46" i="116"/>
  <c r="E22" i="119"/>
  <c r="S46" i="119"/>
  <c r="E34" i="119"/>
  <c r="S22" i="119"/>
  <c r="E46" i="119"/>
  <c r="S34" i="119"/>
  <c r="W14" i="117"/>
  <c r="E9" i="115"/>
  <c r="T9" i="115" s="1"/>
  <c r="U8" i="106"/>
  <c r="V8" i="106" s="1"/>
  <c r="T23" i="120"/>
  <c r="E13" i="115"/>
  <c r="T46" i="120"/>
  <c r="G14" i="121"/>
  <c r="F9" i="118"/>
  <c r="U33" i="118"/>
  <c r="T33" i="118"/>
  <c r="E16" i="115"/>
  <c r="E11" i="115"/>
  <c r="U8" i="103"/>
  <c r="P4" i="113" s="1"/>
  <c r="U9" i="88"/>
  <c r="U10" i="88" s="1"/>
  <c r="N14" i="117"/>
  <c r="G21" i="117"/>
  <c r="F21" i="117"/>
  <c r="E14" i="115"/>
  <c r="E10" i="115"/>
  <c r="U8" i="110"/>
  <c r="Y4" i="113" s="1"/>
  <c r="U9" i="90"/>
  <c r="G33" i="119"/>
  <c r="F33" i="119"/>
  <c r="F13" i="118"/>
  <c r="F15" i="119"/>
  <c r="E29" i="117"/>
  <c r="E41" i="117"/>
  <c r="S41" i="117"/>
  <c r="S29" i="117"/>
  <c r="S53" i="117"/>
  <c r="E53" i="117"/>
  <c r="V8" i="118"/>
  <c r="E12" i="115"/>
  <c r="F12" i="115" s="1"/>
  <c r="G12" i="115" s="1"/>
  <c r="H12" i="115" s="1"/>
  <c r="I12" i="115" s="1"/>
  <c r="N12" i="115" s="1"/>
  <c r="F11" i="117"/>
  <c r="G11" i="117" s="1"/>
  <c r="G21" i="118"/>
  <c r="F21" i="118"/>
  <c r="V8" i="116"/>
  <c r="F22" i="116"/>
  <c r="F34" i="116"/>
  <c r="T22" i="116"/>
  <c r="T46" i="116"/>
  <c r="F46" i="116"/>
  <c r="T34" i="116"/>
  <c r="U21" i="117"/>
  <c r="T21" i="117"/>
  <c r="F13" i="103"/>
  <c r="F12" i="106"/>
  <c r="G12" i="106" s="1"/>
  <c r="H12" i="106" s="1"/>
  <c r="I12" i="106" s="1"/>
  <c r="W11" i="108"/>
  <c r="W14" i="106"/>
  <c r="N11" i="107"/>
  <c r="E25" i="80"/>
  <c r="B31" i="95" s="1"/>
  <c r="S49" i="80"/>
  <c r="B55" i="113" s="1"/>
  <c r="W11" i="80"/>
  <c r="U33" i="119"/>
  <c r="T33" i="119"/>
  <c r="G14" i="116"/>
  <c r="H14" i="116" s="1"/>
  <c r="I14" i="116" s="1"/>
  <c r="J14" i="116" s="1"/>
  <c r="G14" i="120"/>
  <c r="F9" i="119"/>
  <c r="S52" i="119"/>
  <c r="E28" i="119"/>
  <c r="S40" i="119"/>
  <c r="S28" i="119"/>
  <c r="E40" i="119"/>
  <c r="E52" i="119"/>
  <c r="U34" i="116"/>
  <c r="G34" i="116"/>
  <c r="G11" i="121"/>
  <c r="U9" i="116"/>
  <c r="E45" i="115"/>
  <c r="S45" i="115"/>
  <c r="S21" i="115"/>
  <c r="S33" i="115"/>
  <c r="E33" i="115"/>
  <c r="E21" i="115"/>
  <c r="F13" i="117"/>
  <c r="F13" i="119"/>
  <c r="G13" i="119" s="1"/>
  <c r="H13" i="119" s="1"/>
  <c r="I13" i="119" s="1"/>
  <c r="E15" i="115"/>
  <c r="E8" i="115"/>
  <c r="N8" i="115" s="1"/>
  <c r="U21" i="118"/>
  <c r="T21" i="118"/>
  <c r="U45" i="118"/>
  <c r="T45" i="118"/>
  <c r="U33" i="117"/>
  <c r="T33" i="117"/>
  <c r="E48" i="80"/>
  <c r="B54" i="95" s="1"/>
  <c r="B18" i="113"/>
  <c r="S24" i="80"/>
  <c r="B30" i="113" s="1"/>
  <c r="L24" i="95"/>
  <c r="S42" i="89"/>
  <c r="E54" i="89"/>
  <c r="L60" i="95" s="1"/>
  <c r="E42" i="89"/>
  <c r="R16" i="80"/>
  <c r="E42" i="80" s="1"/>
  <c r="E30" i="89"/>
  <c r="L48" i="95" s="1"/>
  <c r="L24" i="113"/>
  <c r="G10" i="90"/>
  <c r="W10" i="90" s="1"/>
  <c r="S54" i="89"/>
  <c r="L60" i="113" s="1"/>
  <c r="F13" i="101"/>
  <c r="F10" i="105"/>
  <c r="T10" i="105" s="1"/>
  <c r="G12" i="112"/>
  <c r="H12" i="112" s="1"/>
  <c r="I12" i="112" s="1"/>
  <c r="W12" i="112" s="1"/>
  <c r="F13" i="99"/>
  <c r="G13" i="99" s="1"/>
  <c r="H13" i="99" s="1"/>
  <c r="I13" i="99" s="1"/>
  <c r="J13" i="99" s="1"/>
  <c r="N13" i="99" s="1"/>
  <c r="E40" i="108"/>
  <c r="W46" i="95" s="1"/>
  <c r="G2" i="96"/>
  <c r="U17" i="35"/>
  <c r="V17" i="35" s="1"/>
  <c r="E2" i="96"/>
  <c r="N17" i="35"/>
  <c r="R17" i="35"/>
  <c r="Z22" i="113"/>
  <c r="S52" i="111"/>
  <c r="Z58" i="113" s="1"/>
  <c r="S40" i="111"/>
  <c r="Z46" i="113" s="1"/>
  <c r="E40" i="111"/>
  <c r="Z46" i="95" s="1"/>
  <c r="Z22" i="95"/>
  <c r="E28" i="111"/>
  <c r="Z34" i="95" s="1"/>
  <c r="E52" i="111"/>
  <c r="Z58" i="95" s="1"/>
  <c r="S52" i="108"/>
  <c r="W58" i="113" s="1"/>
  <c r="W22" i="95"/>
  <c r="E52" i="108"/>
  <c r="W58" i="95" s="1"/>
  <c r="E28" i="108"/>
  <c r="W34" i="95" s="1"/>
  <c r="S40" i="108"/>
  <c r="W46" i="113" s="1"/>
  <c r="W22" i="113"/>
  <c r="X18" i="95"/>
  <c r="E24" i="109"/>
  <c r="X30" i="95" s="1"/>
  <c r="E48" i="109"/>
  <c r="X54" i="95" s="1"/>
  <c r="E36" i="109"/>
  <c r="X42" i="95" s="1"/>
  <c r="S36" i="109"/>
  <c r="X42" i="113" s="1"/>
  <c r="S48" i="109"/>
  <c r="X54" i="113" s="1"/>
  <c r="X18" i="113"/>
  <c r="R15" i="103"/>
  <c r="S29" i="103" s="1"/>
  <c r="W15" i="103"/>
  <c r="E25" i="103"/>
  <c r="P31" i="95" s="1"/>
  <c r="S37" i="103"/>
  <c r="E37" i="103"/>
  <c r="P19" i="113"/>
  <c r="E49" i="103"/>
  <c r="P55" i="95" s="1"/>
  <c r="P19" i="95"/>
  <c r="S49" i="103"/>
  <c r="P55" i="113" s="1"/>
  <c r="S54" i="108"/>
  <c r="W60" i="113" s="1"/>
  <c r="S42" i="107"/>
  <c r="V48" i="113" s="1"/>
  <c r="D4" i="95"/>
  <c r="P9" i="97" s="1"/>
  <c r="D25" i="32" s="1"/>
  <c r="V8" i="88"/>
  <c r="H5" i="95"/>
  <c r="T10" i="97" s="1"/>
  <c r="V7" i="87"/>
  <c r="C3" i="113"/>
  <c r="W16" i="104"/>
  <c r="N8" i="104"/>
  <c r="E51" i="109"/>
  <c r="X57" i="95" s="1"/>
  <c r="E22" i="93"/>
  <c r="H28" i="95" s="1"/>
  <c r="T19" i="97" s="1"/>
  <c r="E54" i="107"/>
  <c r="V60" i="95" s="1"/>
  <c r="S54" i="107"/>
  <c r="V60" i="113" s="1"/>
  <c r="E30" i="107"/>
  <c r="V36" i="95" s="1"/>
  <c r="V24" i="95"/>
  <c r="V24" i="113"/>
  <c r="E42" i="107"/>
  <c r="V48" i="95" s="1"/>
  <c r="W11" i="103"/>
  <c r="N11" i="103"/>
  <c r="N12" i="105"/>
  <c r="R8" i="108"/>
  <c r="S22" i="108" s="1"/>
  <c r="N8" i="108"/>
  <c r="N8" i="101"/>
  <c r="S46" i="93"/>
  <c r="T46" i="93" s="1"/>
  <c r="E46" i="93"/>
  <c r="G46" i="93" s="1"/>
  <c r="E34" i="93"/>
  <c r="H40" i="95" s="1"/>
  <c r="H16" i="95"/>
  <c r="T14" i="97" s="1"/>
  <c r="S34" i="93"/>
  <c r="U34" i="93" s="1"/>
  <c r="H16" i="113"/>
  <c r="S39" i="109"/>
  <c r="X45" i="113" s="1"/>
  <c r="N15" i="99"/>
  <c r="X21" i="113"/>
  <c r="E39" i="109"/>
  <c r="S51" i="109"/>
  <c r="E16" i="113"/>
  <c r="R10" i="112"/>
  <c r="S24" i="112" s="1"/>
  <c r="E46" i="90"/>
  <c r="F46" i="90" s="1"/>
  <c r="E34" i="90"/>
  <c r="E40" i="95" s="1"/>
  <c r="X21" i="95"/>
  <c r="E27" i="109"/>
  <c r="W13" i="89"/>
  <c r="R14" i="100"/>
  <c r="S28" i="100" s="1"/>
  <c r="V9" i="93"/>
  <c r="U23" i="93"/>
  <c r="N9" i="99"/>
  <c r="R16" i="105"/>
  <c r="S30" i="105" s="1"/>
  <c r="W15" i="104"/>
  <c r="W12" i="105"/>
  <c r="U22" i="107"/>
  <c r="W16" i="99"/>
  <c r="W8" i="109"/>
  <c r="V8" i="109" s="1"/>
  <c r="W8" i="111"/>
  <c r="R12" i="104"/>
  <c r="S26" i="104" s="1"/>
  <c r="U21" i="94"/>
  <c r="E28" i="95"/>
  <c r="Q19" i="97" s="1"/>
  <c r="E35" i="32" s="1"/>
  <c r="G22" i="90"/>
  <c r="F22" i="90"/>
  <c r="B28" i="95"/>
  <c r="N19" i="97" s="1"/>
  <c r="B35" i="32" s="1"/>
  <c r="G22" i="80"/>
  <c r="T33" i="103"/>
  <c r="U33" i="103"/>
  <c r="B40" i="95"/>
  <c r="G34" i="80"/>
  <c r="T33" i="104"/>
  <c r="U33" i="104"/>
  <c r="E16" i="95"/>
  <c r="Q14" i="97" s="1"/>
  <c r="E30" i="32" s="1"/>
  <c r="T33" i="102"/>
  <c r="U33" i="102"/>
  <c r="T33" i="106"/>
  <c r="U33" i="106"/>
  <c r="B52" i="95"/>
  <c r="G46" i="80"/>
  <c r="T33" i="100"/>
  <c r="U33" i="100"/>
  <c r="S34" i="90"/>
  <c r="F33" i="89"/>
  <c r="G33" i="89"/>
  <c r="T45" i="112"/>
  <c r="U45" i="112"/>
  <c r="W12" i="110"/>
  <c r="S22" i="90"/>
  <c r="U22" i="90" s="1"/>
  <c r="W12" i="89"/>
  <c r="B52" i="113"/>
  <c r="U46" i="80"/>
  <c r="T33" i="89"/>
  <c r="U33" i="89"/>
  <c r="F33" i="104"/>
  <c r="G33" i="104"/>
  <c r="F33" i="105"/>
  <c r="G33" i="105"/>
  <c r="R8" i="99"/>
  <c r="S22" i="99" s="1"/>
  <c r="W8" i="112"/>
  <c r="R16" i="99"/>
  <c r="S30" i="99" s="1"/>
  <c r="W8" i="102"/>
  <c r="F33" i="103"/>
  <c r="G33" i="103"/>
  <c r="B28" i="113"/>
  <c r="N25" i="97" s="1"/>
  <c r="U22" i="80"/>
  <c r="F33" i="99"/>
  <c r="G33" i="99"/>
  <c r="W8" i="89"/>
  <c r="R12" i="89"/>
  <c r="S26" i="89" s="1"/>
  <c r="F33" i="100"/>
  <c r="G33" i="100"/>
  <c r="W16" i="105"/>
  <c r="S46" i="90"/>
  <c r="T33" i="105"/>
  <c r="U33" i="105"/>
  <c r="F33" i="101"/>
  <c r="G33" i="101"/>
  <c r="U22" i="109"/>
  <c r="T33" i="101"/>
  <c r="U33" i="101"/>
  <c r="F33" i="102"/>
  <c r="G33" i="102"/>
  <c r="R8" i="102"/>
  <c r="S22" i="102" s="1"/>
  <c r="R16" i="106"/>
  <c r="S30" i="106" s="1"/>
  <c r="T33" i="99"/>
  <c r="U33" i="99"/>
  <c r="W9" i="99"/>
  <c r="F33" i="106"/>
  <c r="G33" i="106"/>
  <c r="F45" i="112"/>
  <c r="G45" i="112"/>
  <c r="N22" i="113"/>
  <c r="N22" i="95"/>
  <c r="E52" i="101"/>
  <c r="E28" i="101"/>
  <c r="S40" i="101"/>
  <c r="E40" i="101"/>
  <c r="S52" i="101"/>
  <c r="Q16" i="95"/>
  <c r="Q16" i="113"/>
  <c r="S34" i="104"/>
  <c r="E22" i="104"/>
  <c r="E34" i="104"/>
  <c r="E46" i="104"/>
  <c r="S46" i="104"/>
  <c r="F12" i="99"/>
  <c r="F13" i="112"/>
  <c r="G15" i="106"/>
  <c r="H15" i="106" s="1"/>
  <c r="I15" i="106" s="1"/>
  <c r="J15" i="106" s="1"/>
  <c r="K15" i="106" s="1"/>
  <c r="L15" i="106" s="1"/>
  <c r="W12" i="88"/>
  <c r="N12" i="88"/>
  <c r="R12" i="88"/>
  <c r="P51" i="95"/>
  <c r="F45" i="103"/>
  <c r="G15" i="107"/>
  <c r="F11" i="89"/>
  <c r="G11" i="89" s="1"/>
  <c r="H11" i="89" s="1"/>
  <c r="H13" i="90"/>
  <c r="R10" i="88"/>
  <c r="N10" i="88"/>
  <c r="F4" i="92"/>
  <c r="K2" i="92"/>
  <c r="J4" i="92" s="1"/>
  <c r="T45" i="109"/>
  <c r="X51" i="113"/>
  <c r="R8" i="105"/>
  <c r="S22" i="105" s="1"/>
  <c r="N19" i="113"/>
  <c r="E49" i="101"/>
  <c r="N19" i="95"/>
  <c r="E37" i="101"/>
  <c r="S37" i="101"/>
  <c r="E25" i="101"/>
  <c r="S49" i="101"/>
  <c r="F9" i="102"/>
  <c r="W9" i="102" s="1"/>
  <c r="F33" i="110"/>
  <c r="Y39" i="95"/>
  <c r="R15" i="108"/>
  <c r="S29" i="108" s="1"/>
  <c r="N15" i="108"/>
  <c r="T21" i="99"/>
  <c r="U27" i="113"/>
  <c r="U63" i="113" s="1"/>
  <c r="U39" i="113"/>
  <c r="F33" i="112"/>
  <c r="AA39" i="95"/>
  <c r="N14" i="101"/>
  <c r="F21" i="89"/>
  <c r="L39" i="95"/>
  <c r="F12" i="101"/>
  <c r="F11" i="102"/>
  <c r="B10" i="91"/>
  <c r="D10" i="91"/>
  <c r="B13" i="91"/>
  <c r="D13" i="91"/>
  <c r="N8" i="94"/>
  <c r="R8" i="94"/>
  <c r="S22" i="94" s="1"/>
  <c r="T45" i="100"/>
  <c r="M51" i="113"/>
  <c r="L36" i="113"/>
  <c r="L48" i="113"/>
  <c r="F14" i="99"/>
  <c r="W16" i="103"/>
  <c r="F14" i="112"/>
  <c r="G14" i="112" s="1"/>
  <c r="H14" i="112" s="1"/>
  <c r="I14" i="112" s="1"/>
  <c r="J14" i="112" s="1"/>
  <c r="K14" i="112" s="1"/>
  <c r="F21" i="101"/>
  <c r="N39" i="95"/>
  <c r="N27" i="95"/>
  <c r="M16" i="95"/>
  <c r="M16" i="113"/>
  <c r="S34" i="100"/>
  <c r="E46" i="100"/>
  <c r="E34" i="100"/>
  <c r="E22" i="100"/>
  <c r="S46" i="100"/>
  <c r="G10" i="111"/>
  <c r="W10" i="111" s="1"/>
  <c r="T33" i="111"/>
  <c r="Z39" i="113"/>
  <c r="AA16" i="95"/>
  <c r="AA16" i="113"/>
  <c r="S34" i="112"/>
  <c r="E46" i="112"/>
  <c r="E34" i="112"/>
  <c r="E22" i="112"/>
  <c r="S46" i="112"/>
  <c r="X4" i="113"/>
  <c r="X4" i="95"/>
  <c r="T45" i="105"/>
  <c r="R51" i="113"/>
  <c r="N15" i="104"/>
  <c r="R15" i="104"/>
  <c r="S29" i="104" s="1"/>
  <c r="Z16" i="95"/>
  <c r="Z16" i="113"/>
  <c r="S34" i="111"/>
  <c r="E22" i="111"/>
  <c r="E34" i="111"/>
  <c r="E46" i="111"/>
  <c r="S46" i="111"/>
  <c r="H17" i="113"/>
  <c r="S35" i="93"/>
  <c r="U35" i="93" s="1"/>
  <c r="E23" i="93"/>
  <c r="G23" i="93" s="1"/>
  <c r="E35" i="93"/>
  <c r="G35" i="93" s="1"/>
  <c r="E47" i="93"/>
  <c r="G47" i="93" s="1"/>
  <c r="H17" i="95"/>
  <c r="T15" i="97" s="1"/>
  <c r="S47" i="93"/>
  <c r="U47" i="93" s="1"/>
  <c r="U23" i="113"/>
  <c r="E41" i="99"/>
  <c r="U23" i="95"/>
  <c r="E29" i="99"/>
  <c r="E53" i="99"/>
  <c r="S53" i="99"/>
  <c r="S41" i="99"/>
  <c r="W8" i="104"/>
  <c r="N8" i="107"/>
  <c r="G12" i="111"/>
  <c r="W8" i="99"/>
  <c r="T33" i="107"/>
  <c r="V39" i="113"/>
  <c r="F21" i="103"/>
  <c r="P39" i="95"/>
  <c r="P27" i="95"/>
  <c r="F10" i="99"/>
  <c r="T10" i="99" s="1"/>
  <c r="F14" i="89"/>
  <c r="T21" i="109"/>
  <c r="X27" i="113"/>
  <c r="X63" i="113" s="1"/>
  <c r="G11" i="109"/>
  <c r="T11" i="109" s="1"/>
  <c r="D17" i="113"/>
  <c r="S35" i="88"/>
  <c r="S23" i="88"/>
  <c r="E47" i="88"/>
  <c r="D17" i="95"/>
  <c r="P15" i="97" s="1"/>
  <c r="D31" i="32" s="1"/>
  <c r="E23" i="88"/>
  <c r="E35" i="88"/>
  <c r="S47" i="88"/>
  <c r="W12" i="102"/>
  <c r="E13" i="94"/>
  <c r="F13" i="94" s="1"/>
  <c r="G13" i="94" s="1"/>
  <c r="H13" i="94" s="1"/>
  <c r="I13" i="94" s="1"/>
  <c r="J13" i="94" s="1"/>
  <c r="N13" i="94" s="1"/>
  <c r="F21" i="110"/>
  <c r="Y27" i="95"/>
  <c r="W10" i="110"/>
  <c r="W16" i="106"/>
  <c r="N9" i="90"/>
  <c r="R9" i="90"/>
  <c r="U22" i="100"/>
  <c r="T33" i="112"/>
  <c r="AA39" i="113"/>
  <c r="E15" i="87"/>
  <c r="F15" i="87" s="1"/>
  <c r="G15" i="87" s="1"/>
  <c r="H15" i="87" s="1"/>
  <c r="I15" i="87" s="1"/>
  <c r="J15" i="87" s="1"/>
  <c r="K15" i="87" s="1"/>
  <c r="L15" i="87" s="1"/>
  <c r="R15" i="87" s="1"/>
  <c r="T45" i="108"/>
  <c r="W51" i="113"/>
  <c r="F9" i="101"/>
  <c r="Q51" i="95"/>
  <c r="F45" i="104"/>
  <c r="F34" i="80"/>
  <c r="G14" i="109"/>
  <c r="B8" i="91"/>
  <c r="D8" i="91"/>
  <c r="S8" i="91" s="1"/>
  <c r="D14" i="91"/>
  <c r="B14" i="91"/>
  <c r="D16" i="91"/>
  <c r="B16" i="91"/>
  <c r="F15" i="89"/>
  <c r="R8" i="89"/>
  <c r="S22" i="89" s="1"/>
  <c r="N8" i="112"/>
  <c r="T21" i="100"/>
  <c r="M27" i="113"/>
  <c r="M63" i="113" s="1"/>
  <c r="M39" i="113"/>
  <c r="T21" i="101"/>
  <c r="N27" i="113"/>
  <c r="N63" i="113" s="1"/>
  <c r="N39" i="113"/>
  <c r="F9" i="89"/>
  <c r="W9" i="89" s="1"/>
  <c r="F33" i="111"/>
  <c r="Z39" i="95"/>
  <c r="G13" i="100"/>
  <c r="F21" i="102"/>
  <c r="O39" i="95"/>
  <c r="O27" i="95"/>
  <c r="H14" i="88"/>
  <c r="I14" i="88" s="1"/>
  <c r="J14" i="88" s="1"/>
  <c r="F14" i="105"/>
  <c r="G14" i="105" s="1"/>
  <c r="H14" i="105" s="1"/>
  <c r="I14" i="105" s="1"/>
  <c r="J14" i="105" s="1"/>
  <c r="K14" i="105" s="1"/>
  <c r="AA55" i="113"/>
  <c r="AA31" i="113"/>
  <c r="F14" i="104"/>
  <c r="G14" i="104" s="1"/>
  <c r="H14" i="104" s="1"/>
  <c r="I14" i="104" s="1"/>
  <c r="J14" i="104" s="1"/>
  <c r="K14" i="104" s="1"/>
  <c r="F45" i="106"/>
  <c r="S51" i="95"/>
  <c r="C15" i="95"/>
  <c r="C15" i="113"/>
  <c r="S21" i="87"/>
  <c r="U21" i="87" s="1"/>
  <c r="S45" i="87"/>
  <c r="U45" i="87" s="1"/>
  <c r="S33" i="87"/>
  <c r="U33" i="87" s="1"/>
  <c r="E33" i="87"/>
  <c r="G33" i="87" s="1"/>
  <c r="E21" i="87"/>
  <c r="G21" i="87" s="1"/>
  <c r="E45" i="87"/>
  <c r="G45" i="87" s="1"/>
  <c r="G15" i="93"/>
  <c r="H15" i="93" s="1"/>
  <c r="I15" i="93" s="1"/>
  <c r="J15" i="93" s="1"/>
  <c r="K15" i="93" s="1"/>
  <c r="T15" i="93" s="1"/>
  <c r="R12" i="102"/>
  <c r="S26" i="102" s="1"/>
  <c r="N12" i="102"/>
  <c r="T33" i="110"/>
  <c r="Y39" i="113"/>
  <c r="Y18" i="113"/>
  <c r="S36" i="110"/>
  <c r="Y18" i="95"/>
  <c r="E36" i="110"/>
  <c r="E24" i="110"/>
  <c r="E48" i="110"/>
  <c r="S48" i="110"/>
  <c r="T45" i="99"/>
  <c r="U51" i="113"/>
  <c r="T45" i="89"/>
  <c r="L51" i="113"/>
  <c r="R15" i="109"/>
  <c r="S29" i="109" s="1"/>
  <c r="N15" i="109"/>
  <c r="W18" i="113"/>
  <c r="S36" i="108"/>
  <c r="E24" i="108"/>
  <c r="E48" i="108"/>
  <c r="E36" i="108"/>
  <c r="W18" i="95"/>
  <c r="S48" i="108"/>
  <c r="T45" i="104"/>
  <c r="Q51" i="113"/>
  <c r="F11" i="110"/>
  <c r="F46" i="80"/>
  <c r="T22" i="93"/>
  <c r="H28" i="113"/>
  <c r="T25" i="97" s="1"/>
  <c r="B11" i="91"/>
  <c r="D11" i="91"/>
  <c r="R8" i="103"/>
  <c r="S22" i="103" s="1"/>
  <c r="W15" i="99"/>
  <c r="X16" i="95"/>
  <c r="X16" i="113"/>
  <c r="S34" i="109"/>
  <c r="E34" i="109"/>
  <c r="E46" i="109"/>
  <c r="E22" i="109"/>
  <c r="G22" i="109" s="1"/>
  <c r="S46" i="109"/>
  <c r="T21" i="105"/>
  <c r="R27" i="113"/>
  <c r="R63" i="113" s="1"/>
  <c r="R39" i="113"/>
  <c r="W8" i="107"/>
  <c r="V8" i="107" s="1"/>
  <c r="E9" i="87"/>
  <c r="T9" i="87" s="1"/>
  <c r="F45" i="111"/>
  <c r="Z51" i="95"/>
  <c r="G11" i="111"/>
  <c r="T11" i="111" s="1"/>
  <c r="F14" i="110"/>
  <c r="F45" i="107"/>
  <c r="V51" i="95"/>
  <c r="G12" i="100"/>
  <c r="T21" i="103"/>
  <c r="P39" i="113"/>
  <c r="P27" i="113"/>
  <c r="P63" i="113" s="1"/>
  <c r="E16" i="94"/>
  <c r="X30" i="113"/>
  <c r="R11" i="100"/>
  <c r="S25" i="100" s="1"/>
  <c r="N11" i="100"/>
  <c r="T33" i="109"/>
  <c r="X39" i="113"/>
  <c r="F21" i="106"/>
  <c r="S39" i="95"/>
  <c r="S27" i="95"/>
  <c r="T21" i="110"/>
  <c r="Y27" i="113"/>
  <c r="Y63" i="113" s="1"/>
  <c r="E54" i="111"/>
  <c r="Z24" i="113"/>
  <c r="E30" i="111"/>
  <c r="Z24" i="95"/>
  <c r="E42" i="111"/>
  <c r="S54" i="111"/>
  <c r="S42" i="111"/>
  <c r="T34" i="80"/>
  <c r="B40" i="113"/>
  <c r="R9" i="109"/>
  <c r="S23" i="109" s="1"/>
  <c r="N9" i="109"/>
  <c r="T21" i="112"/>
  <c r="AA51" i="113"/>
  <c r="AA27" i="113"/>
  <c r="AA63" i="113" s="1"/>
  <c r="R12" i="110"/>
  <c r="S26" i="110" s="1"/>
  <c r="N12" i="110"/>
  <c r="T21" i="89"/>
  <c r="L27" i="113"/>
  <c r="L63" i="113" s="1"/>
  <c r="L39" i="113"/>
  <c r="F33" i="108"/>
  <c r="W39" i="95"/>
  <c r="W9" i="103"/>
  <c r="T21" i="104"/>
  <c r="Q27" i="113"/>
  <c r="Q63" i="113" s="1"/>
  <c r="Q39" i="113"/>
  <c r="F16" i="110"/>
  <c r="B9" i="91"/>
  <c r="D9" i="91"/>
  <c r="F15" i="112"/>
  <c r="G13" i="93"/>
  <c r="Z34" i="113"/>
  <c r="N8" i="109"/>
  <c r="N8" i="103"/>
  <c r="V36" i="113"/>
  <c r="V16" i="95"/>
  <c r="V16" i="113"/>
  <c r="S34" i="107"/>
  <c r="T34" i="107" s="1"/>
  <c r="E34" i="107"/>
  <c r="F34" i="107" s="1"/>
  <c r="E46" i="107"/>
  <c r="F46" i="107" s="1"/>
  <c r="E22" i="107"/>
  <c r="G22" i="107" s="1"/>
  <c r="S46" i="107"/>
  <c r="T46" i="107" s="1"/>
  <c r="T45" i="101"/>
  <c r="N51" i="113"/>
  <c r="F21" i="111"/>
  <c r="Z27" i="95"/>
  <c r="Z17" i="113"/>
  <c r="S35" i="111"/>
  <c r="E47" i="111"/>
  <c r="Z17" i="95"/>
  <c r="E23" i="111"/>
  <c r="E35" i="111"/>
  <c r="S47" i="111"/>
  <c r="O22" i="113"/>
  <c r="S40" i="102"/>
  <c r="O22" i="95"/>
  <c r="E28" i="102"/>
  <c r="E52" i="102"/>
  <c r="E40" i="102"/>
  <c r="S52" i="102"/>
  <c r="G10" i="89"/>
  <c r="W10" i="89" s="1"/>
  <c r="G16" i="102"/>
  <c r="H16" i="102" s="1"/>
  <c r="I16" i="102" s="1"/>
  <c r="J16" i="102" s="1"/>
  <c r="K16" i="102" s="1"/>
  <c r="L16" i="102" s="1"/>
  <c r="M16" i="102" s="1"/>
  <c r="F21" i="107"/>
  <c r="V27" i="95"/>
  <c r="F45" i="102"/>
  <c r="O51" i="95"/>
  <c r="E16" i="87"/>
  <c r="F16" i="87" s="1"/>
  <c r="G16" i="87" s="1"/>
  <c r="H16" i="87" s="1"/>
  <c r="I16" i="87" s="1"/>
  <c r="J16" i="87" s="1"/>
  <c r="K16" i="87" s="1"/>
  <c r="L16" i="87" s="1"/>
  <c r="M16" i="87" s="1"/>
  <c r="N16" i="87" s="1"/>
  <c r="N12" i="104"/>
  <c r="F9" i="110"/>
  <c r="D7" i="92"/>
  <c r="C14" i="92"/>
  <c r="C16" i="92"/>
  <c r="C12" i="92"/>
  <c r="C10" i="92"/>
  <c r="C13" i="92"/>
  <c r="C9" i="92"/>
  <c r="C11" i="92"/>
  <c r="C15" i="92"/>
  <c r="C8" i="92"/>
  <c r="G10" i="107"/>
  <c r="U17" i="113"/>
  <c r="S35" i="99"/>
  <c r="E35" i="99"/>
  <c r="E23" i="99"/>
  <c r="U17" i="95"/>
  <c r="E47" i="99"/>
  <c r="S47" i="99"/>
  <c r="E12" i="87"/>
  <c r="F45" i="99"/>
  <c r="U51" i="95"/>
  <c r="W14" i="101"/>
  <c r="E15" i="94"/>
  <c r="G16" i="100"/>
  <c r="Q24" i="97"/>
  <c r="Q44" i="97" s="1"/>
  <c r="E63" i="113"/>
  <c r="Q34" i="97" s="1"/>
  <c r="W14" i="100"/>
  <c r="F45" i="108"/>
  <c r="W51" i="95"/>
  <c r="E14" i="94"/>
  <c r="N9" i="103"/>
  <c r="R9" i="103"/>
  <c r="S23" i="103" s="1"/>
  <c r="G14" i="107"/>
  <c r="F9" i="105"/>
  <c r="T22" i="80"/>
  <c r="E28" i="80"/>
  <c r="I15" i="95"/>
  <c r="I15" i="113"/>
  <c r="S33" i="94"/>
  <c r="U33" i="94" s="1"/>
  <c r="S45" i="94"/>
  <c r="U45" i="94" s="1"/>
  <c r="E33" i="94"/>
  <c r="G33" i="94" s="1"/>
  <c r="E45" i="94"/>
  <c r="G45" i="94" s="1"/>
  <c r="E21" i="94"/>
  <c r="G21" i="94" s="1"/>
  <c r="N16" i="104"/>
  <c r="R16" i="104"/>
  <c r="S30" i="104" s="1"/>
  <c r="W9" i="100"/>
  <c r="W8" i="101"/>
  <c r="E9" i="94"/>
  <c r="S9" i="94" s="1"/>
  <c r="F33" i="107"/>
  <c r="V39" i="95"/>
  <c r="T45" i="103"/>
  <c r="P51" i="113"/>
  <c r="P31" i="113"/>
  <c r="P43" i="113"/>
  <c r="F16" i="112"/>
  <c r="T45" i="102"/>
  <c r="O51" i="113"/>
  <c r="G10" i="106"/>
  <c r="X27" i="95"/>
  <c r="F21" i="109"/>
  <c r="S51" i="113"/>
  <c r="T45" i="106"/>
  <c r="T45" i="110"/>
  <c r="Y51" i="113"/>
  <c r="G14" i="103"/>
  <c r="F21" i="99"/>
  <c r="U39" i="95"/>
  <c r="U27" i="95"/>
  <c r="N10" i="110"/>
  <c r="F11" i="99"/>
  <c r="G12" i="93"/>
  <c r="F21" i="108"/>
  <c r="W27" i="95"/>
  <c r="E12" i="94"/>
  <c r="F22" i="80"/>
  <c r="D15" i="91"/>
  <c r="B15" i="91"/>
  <c r="E14" i="87"/>
  <c r="N9" i="100"/>
  <c r="R9" i="100"/>
  <c r="S23" i="100" s="1"/>
  <c r="N13" i="89"/>
  <c r="R13" i="89"/>
  <c r="S27" i="89" s="1"/>
  <c r="N16" i="95"/>
  <c r="N16" i="113"/>
  <c r="S34" i="101"/>
  <c r="E46" i="101"/>
  <c r="E34" i="101"/>
  <c r="E22" i="101"/>
  <c r="S46" i="101"/>
  <c r="W9" i="109"/>
  <c r="Q42" i="113"/>
  <c r="Q30" i="113"/>
  <c r="W11" i="100"/>
  <c r="T45" i="111"/>
  <c r="Z51" i="113"/>
  <c r="E10" i="87"/>
  <c r="D16" i="113"/>
  <c r="S34" i="88"/>
  <c r="U34" i="88" s="1"/>
  <c r="S22" i="88"/>
  <c r="U22" i="88" s="1"/>
  <c r="E46" i="88"/>
  <c r="G46" i="88" s="1"/>
  <c r="E34" i="88"/>
  <c r="G34" i="88" s="1"/>
  <c r="D16" i="95"/>
  <c r="E22" i="88"/>
  <c r="G22" i="88" s="1"/>
  <c r="S46" i="88"/>
  <c r="U46" i="88" s="1"/>
  <c r="F45" i="105"/>
  <c r="R51" i="95"/>
  <c r="F45" i="101"/>
  <c r="N51" i="95"/>
  <c r="T21" i="111"/>
  <c r="Z27" i="113"/>
  <c r="Z63" i="113" s="1"/>
  <c r="N10" i="112"/>
  <c r="G15" i="111"/>
  <c r="E11" i="87"/>
  <c r="T45" i="107"/>
  <c r="V51" i="113"/>
  <c r="W15" i="101"/>
  <c r="I3" i="95"/>
  <c r="U8" i="97" s="1"/>
  <c r="I3" i="113"/>
  <c r="V7" i="94"/>
  <c r="T21" i="102"/>
  <c r="O39" i="113"/>
  <c r="O27" i="113"/>
  <c r="O63" i="113" s="1"/>
  <c r="W8" i="105"/>
  <c r="F11" i="105"/>
  <c r="E11" i="94"/>
  <c r="P24" i="97"/>
  <c r="P44" i="97" s="1"/>
  <c r="D63" i="113"/>
  <c r="P34" i="97" s="1"/>
  <c r="F45" i="109"/>
  <c r="X51" i="95"/>
  <c r="T21" i="106"/>
  <c r="S27" i="113"/>
  <c r="S63" i="113" s="1"/>
  <c r="S39" i="113"/>
  <c r="F13" i="102"/>
  <c r="E13" i="87"/>
  <c r="H15" i="88"/>
  <c r="T33" i="108"/>
  <c r="W39" i="113"/>
  <c r="G14" i="93"/>
  <c r="F10" i="101"/>
  <c r="T10" i="101" s="1"/>
  <c r="F15" i="110"/>
  <c r="W7" i="91"/>
  <c r="R7" i="91"/>
  <c r="N7" i="91"/>
  <c r="N24" i="97"/>
  <c r="N44" i="97" s="1"/>
  <c r="B63" i="113"/>
  <c r="N34" i="97" s="1"/>
  <c r="F21" i="100"/>
  <c r="M39" i="95"/>
  <c r="M27" i="95"/>
  <c r="N8" i="111"/>
  <c r="W15" i="108"/>
  <c r="R33" i="113"/>
  <c r="R45" i="113"/>
  <c r="W15" i="109"/>
  <c r="V4" i="113"/>
  <c r="V4" i="95"/>
  <c r="F21" i="105"/>
  <c r="R39" i="95"/>
  <c r="R27" i="95"/>
  <c r="R20" i="113"/>
  <c r="E38" i="105"/>
  <c r="S38" i="105"/>
  <c r="R20" i="95"/>
  <c r="E50" i="105"/>
  <c r="E26" i="105"/>
  <c r="S50" i="105"/>
  <c r="F13" i="110"/>
  <c r="T21" i="107"/>
  <c r="V27" i="113"/>
  <c r="V63" i="113" s="1"/>
  <c r="B23" i="113"/>
  <c r="E29" i="80"/>
  <c r="S41" i="80"/>
  <c r="E53" i="80"/>
  <c r="B23" i="95"/>
  <c r="S53" i="80"/>
  <c r="E41" i="80"/>
  <c r="S29" i="80"/>
  <c r="W34" i="113"/>
  <c r="N15" i="101"/>
  <c r="R15" i="101"/>
  <c r="S29" i="101" s="1"/>
  <c r="W10" i="88"/>
  <c r="X39" i="95"/>
  <c r="F33" i="109"/>
  <c r="W11" i="101"/>
  <c r="G16" i="101"/>
  <c r="F45" i="110"/>
  <c r="Y51" i="95"/>
  <c r="B21" i="113"/>
  <c r="S51" i="80"/>
  <c r="S39" i="80"/>
  <c r="E27" i="80"/>
  <c r="E51" i="80"/>
  <c r="B21" i="95"/>
  <c r="E39" i="80"/>
  <c r="S27" i="80"/>
  <c r="N16" i="103"/>
  <c r="R16" i="103"/>
  <c r="S30" i="103" s="1"/>
  <c r="F9" i="112"/>
  <c r="X33" i="113"/>
  <c r="N11" i="101"/>
  <c r="E10" i="94"/>
  <c r="E46" i="110"/>
  <c r="F21" i="112"/>
  <c r="AA51" i="95"/>
  <c r="AA27" i="95"/>
  <c r="F45" i="89"/>
  <c r="L51" i="95"/>
  <c r="T21" i="108"/>
  <c r="W27" i="113"/>
  <c r="W63" i="113" s="1"/>
  <c r="Q39" i="95"/>
  <c r="Q27" i="95"/>
  <c r="F21" i="104"/>
  <c r="T46" i="80"/>
  <c r="B12" i="91"/>
  <c r="D12" i="91"/>
  <c r="H16" i="88"/>
  <c r="F45" i="100"/>
  <c r="M51" i="95"/>
  <c r="E8" i="87"/>
  <c r="R8" i="87" s="1"/>
  <c r="E25" i="93" l="1"/>
  <c r="S16" i="95"/>
  <c r="N12" i="107"/>
  <c r="E25" i="88"/>
  <c r="D31" i="95" s="1"/>
  <c r="S35" i="117"/>
  <c r="U35" i="117" s="1"/>
  <c r="U47" i="120"/>
  <c r="X20" i="95"/>
  <c r="Q43" i="113"/>
  <c r="R9" i="104"/>
  <c r="S23" i="104" s="1"/>
  <c r="P20" i="113"/>
  <c r="H18" i="95"/>
  <c r="T16" i="97" s="1"/>
  <c r="U22" i="103"/>
  <c r="H18" i="113"/>
  <c r="S50" i="109"/>
  <c r="X56" i="113" s="1"/>
  <c r="X20" i="113"/>
  <c r="Q19" i="113"/>
  <c r="E38" i="109"/>
  <c r="E27" i="104"/>
  <c r="Q45" i="95" s="1"/>
  <c r="S36" i="103"/>
  <c r="E48" i="103"/>
  <c r="P54" i="95" s="1"/>
  <c r="P42" i="113"/>
  <c r="E50" i="109"/>
  <c r="X56" i="95" s="1"/>
  <c r="E37" i="104"/>
  <c r="F23" i="120"/>
  <c r="E36" i="93"/>
  <c r="N9" i="104"/>
  <c r="E50" i="103"/>
  <c r="Q33" i="113"/>
  <c r="E24" i="93"/>
  <c r="S36" i="93"/>
  <c r="H42" i="113" s="1"/>
  <c r="S38" i="103"/>
  <c r="Q21" i="95"/>
  <c r="S37" i="104"/>
  <c r="E36" i="103"/>
  <c r="P18" i="113"/>
  <c r="E51" i="104"/>
  <c r="Q57" i="95" s="1"/>
  <c r="S49" i="104"/>
  <c r="Q55" i="113" s="1"/>
  <c r="F47" i="120"/>
  <c r="P18" i="95"/>
  <c r="R9" i="108"/>
  <c r="S23" i="108" s="1"/>
  <c r="N9" i="108"/>
  <c r="E48" i="93"/>
  <c r="H54" i="95" s="1"/>
  <c r="S48" i="93"/>
  <c r="H54" i="113" s="1"/>
  <c r="P20" i="95"/>
  <c r="Q21" i="113"/>
  <c r="S51" i="104"/>
  <c r="Q57" i="113" s="1"/>
  <c r="Q19" i="95"/>
  <c r="E25" i="104"/>
  <c r="Q31" i="95" s="1"/>
  <c r="S48" i="103"/>
  <c r="P54" i="113" s="1"/>
  <c r="E34" i="110"/>
  <c r="F34" i="110" s="1"/>
  <c r="Y16" i="95"/>
  <c r="S46" i="110"/>
  <c r="U46" i="110" s="1"/>
  <c r="E49" i="93"/>
  <c r="S34" i="110"/>
  <c r="U34" i="110" s="1"/>
  <c r="E22" i="110"/>
  <c r="F22" i="110" s="1"/>
  <c r="Y16" i="113"/>
  <c r="H19" i="113"/>
  <c r="E47" i="80"/>
  <c r="G47" i="80" s="1"/>
  <c r="W13" i="106"/>
  <c r="V8" i="112"/>
  <c r="O42" i="113"/>
  <c r="E36" i="102"/>
  <c r="N13" i="106"/>
  <c r="W24" i="95"/>
  <c r="W12" i="120"/>
  <c r="F35" i="120"/>
  <c r="R16" i="121"/>
  <c r="E30" i="121" s="1"/>
  <c r="U35" i="120"/>
  <c r="S28" i="80"/>
  <c r="E34" i="106"/>
  <c r="F34" i="106" s="1"/>
  <c r="E26" i="109"/>
  <c r="S38" i="109"/>
  <c r="X44" i="113" s="1"/>
  <c r="S49" i="88"/>
  <c r="E48" i="102"/>
  <c r="O54" i="95" s="1"/>
  <c r="E25" i="107"/>
  <c r="V31" i="95" s="1"/>
  <c r="S39" i="104"/>
  <c r="E39" i="104"/>
  <c r="E54" i="108"/>
  <c r="W60" i="95" s="1"/>
  <c r="E49" i="104"/>
  <c r="Q55" i="95" s="1"/>
  <c r="R10" i="120"/>
  <c r="E48" i="120" s="1"/>
  <c r="N15" i="121"/>
  <c r="F46" i="120"/>
  <c r="E24" i="103"/>
  <c r="P42" i="95" s="1"/>
  <c r="U9" i="101"/>
  <c r="N5" i="95" s="1"/>
  <c r="S23" i="80"/>
  <c r="U23" i="80" s="1"/>
  <c r="U22" i="105"/>
  <c r="V8" i="105"/>
  <c r="S49" i="93"/>
  <c r="H55" i="113" s="1"/>
  <c r="H19" i="95"/>
  <c r="O18" i="113"/>
  <c r="O18" i="95"/>
  <c r="S48" i="102"/>
  <c r="O54" i="113" s="1"/>
  <c r="E24" i="102"/>
  <c r="O42" i="95" s="1"/>
  <c r="E52" i="106"/>
  <c r="S58" i="95" s="1"/>
  <c r="S22" i="113"/>
  <c r="S49" i="119"/>
  <c r="E54" i="117"/>
  <c r="E37" i="93"/>
  <c r="H43" i="95" s="1"/>
  <c r="S37" i="93"/>
  <c r="H43" i="113" s="1"/>
  <c r="S36" i="102"/>
  <c r="S25" i="90"/>
  <c r="S48" i="118"/>
  <c r="E49" i="119"/>
  <c r="S42" i="117"/>
  <c r="S54" i="117"/>
  <c r="R4" i="95"/>
  <c r="E35" i="80"/>
  <c r="G35" i="80" s="1"/>
  <c r="S47" i="80"/>
  <c r="T47" i="80" s="1"/>
  <c r="V8" i="104"/>
  <c r="R9" i="107"/>
  <c r="S23" i="107" s="1"/>
  <c r="U23" i="107" s="1"/>
  <c r="S35" i="106"/>
  <c r="E36" i="118"/>
  <c r="U10" i="93"/>
  <c r="H6" i="95" s="1"/>
  <c r="T11" i="97" s="1"/>
  <c r="B17" i="95"/>
  <c r="N15" i="97" s="1"/>
  <c r="B31" i="32" s="1"/>
  <c r="S35" i="80"/>
  <c r="T35" i="80" s="1"/>
  <c r="Q4" i="95"/>
  <c r="W21" i="113"/>
  <c r="E23" i="80"/>
  <c r="F23" i="80" s="1"/>
  <c r="G22" i="104"/>
  <c r="E35" i="106"/>
  <c r="E27" i="108"/>
  <c r="W33" i="95" s="1"/>
  <c r="S47" i="106"/>
  <c r="S53" i="113" s="1"/>
  <c r="S39" i="108"/>
  <c r="W45" i="113" s="1"/>
  <c r="S51" i="108"/>
  <c r="W57" i="113" s="1"/>
  <c r="N10" i="120"/>
  <c r="E42" i="117"/>
  <c r="U9" i="89"/>
  <c r="U10" i="89" s="1"/>
  <c r="L6" i="113" s="1"/>
  <c r="S12" i="107"/>
  <c r="W9" i="107"/>
  <c r="V9" i="107" s="1"/>
  <c r="S41" i="113"/>
  <c r="E23" i="106"/>
  <c r="S29" i="95" s="1"/>
  <c r="W21" i="95"/>
  <c r="F46" i="118"/>
  <c r="S30" i="117"/>
  <c r="U9" i="109"/>
  <c r="X5" i="113" s="1"/>
  <c r="T13" i="106"/>
  <c r="E47" i="106"/>
  <c r="S53" i="95" s="1"/>
  <c r="S17" i="113"/>
  <c r="S17" i="95"/>
  <c r="E39" i="108"/>
  <c r="W45" i="95" s="1"/>
  <c r="E51" i="108"/>
  <c r="W57" i="95" s="1"/>
  <c r="U10" i="120"/>
  <c r="V10" i="120" s="1"/>
  <c r="E40" i="80"/>
  <c r="B46" i="95" s="1"/>
  <c r="E49" i="88"/>
  <c r="D55" i="95" s="1"/>
  <c r="S37" i="88"/>
  <c r="W10" i="121"/>
  <c r="E37" i="119"/>
  <c r="R12" i="120"/>
  <c r="E50" i="120" s="1"/>
  <c r="R33" i="95"/>
  <c r="R14" i="90"/>
  <c r="S28" i="90" s="1"/>
  <c r="R15" i="90"/>
  <c r="E53" i="90" s="1"/>
  <c r="S52" i="80"/>
  <c r="B58" i="113" s="1"/>
  <c r="B22" i="95"/>
  <c r="S46" i="106"/>
  <c r="U46" i="106" s="1"/>
  <c r="S34" i="106"/>
  <c r="T34" i="106" s="1"/>
  <c r="W12" i="107"/>
  <c r="N10" i="90"/>
  <c r="E38" i="103"/>
  <c r="D19" i="95"/>
  <c r="S25" i="88"/>
  <c r="D31" i="113" s="1"/>
  <c r="E25" i="90"/>
  <c r="E31" i="95" s="1"/>
  <c r="E29" i="100"/>
  <c r="M47" i="95" s="1"/>
  <c r="S42" i="108"/>
  <c r="W48" i="113" s="1"/>
  <c r="E30" i="108"/>
  <c r="W36" i="95" s="1"/>
  <c r="W11" i="88"/>
  <c r="T22" i="120"/>
  <c r="S37" i="119"/>
  <c r="N10" i="121"/>
  <c r="T12" i="108"/>
  <c r="S10" i="105"/>
  <c r="AA55" i="95"/>
  <c r="E52" i="80"/>
  <c r="B58" i="95" s="1"/>
  <c r="E46" i="106"/>
  <c r="F46" i="106" s="1"/>
  <c r="W19" i="95"/>
  <c r="E37" i="107"/>
  <c r="V43" i="95" s="1"/>
  <c r="S40" i="80"/>
  <c r="B46" i="113" s="1"/>
  <c r="E22" i="106"/>
  <c r="F22" i="106" s="1"/>
  <c r="S16" i="113"/>
  <c r="R10" i="90"/>
  <c r="S36" i="90" s="1"/>
  <c r="S50" i="103"/>
  <c r="P56" i="113" s="1"/>
  <c r="E26" i="103"/>
  <c r="P44" i="95" s="1"/>
  <c r="M35" i="113"/>
  <c r="E37" i="88"/>
  <c r="W24" i="113"/>
  <c r="E42" i="108"/>
  <c r="W48" i="95" s="1"/>
  <c r="M23" i="95"/>
  <c r="E25" i="119"/>
  <c r="U9" i="108"/>
  <c r="W5" i="95" s="1"/>
  <c r="N11" i="88"/>
  <c r="T12" i="107"/>
  <c r="T15" i="106"/>
  <c r="W10" i="100"/>
  <c r="S23" i="117"/>
  <c r="T23" i="117" s="1"/>
  <c r="E35" i="117"/>
  <c r="F35" i="117" s="1"/>
  <c r="S10" i="100"/>
  <c r="T16" i="102"/>
  <c r="R10" i="100"/>
  <c r="S24" i="100" s="1"/>
  <c r="Q30" i="95"/>
  <c r="N9" i="117"/>
  <c r="W9" i="117"/>
  <c r="V9" i="117" s="1"/>
  <c r="S47" i="117"/>
  <c r="T47" i="117" s="1"/>
  <c r="E23" i="117"/>
  <c r="G23" i="117" s="1"/>
  <c r="S12" i="108"/>
  <c r="S16" i="87"/>
  <c r="S15" i="106"/>
  <c r="N14" i="90"/>
  <c r="S12" i="106"/>
  <c r="S14" i="104"/>
  <c r="S13" i="106"/>
  <c r="M16" i="109"/>
  <c r="N16" i="109" s="1"/>
  <c r="S16" i="109"/>
  <c r="G13" i="101"/>
  <c r="H13" i="101" s="1"/>
  <c r="I13" i="101" s="1"/>
  <c r="J13" i="119"/>
  <c r="W13" i="119" s="1"/>
  <c r="S13" i="119"/>
  <c r="G13" i="111"/>
  <c r="H13" i="111" s="1"/>
  <c r="I13" i="111" s="1"/>
  <c r="S41" i="116"/>
  <c r="S29" i="116"/>
  <c r="E29" i="116"/>
  <c r="S53" i="116"/>
  <c r="E53" i="116"/>
  <c r="E41" i="116"/>
  <c r="S10" i="101"/>
  <c r="T14" i="88"/>
  <c r="S14" i="88"/>
  <c r="W15" i="90"/>
  <c r="D5" i="113"/>
  <c r="S49" i="90"/>
  <c r="E55" i="113" s="1"/>
  <c r="S37" i="90"/>
  <c r="E43" i="113" s="1"/>
  <c r="E24" i="118"/>
  <c r="S24" i="118"/>
  <c r="S11" i="121"/>
  <c r="T11" i="121"/>
  <c r="W15" i="121"/>
  <c r="S11" i="111"/>
  <c r="R16" i="90"/>
  <c r="N16" i="90"/>
  <c r="W16" i="90"/>
  <c r="G10" i="117"/>
  <c r="S10" i="117"/>
  <c r="U10" i="117" s="1"/>
  <c r="T12" i="115"/>
  <c r="S16" i="102"/>
  <c r="T12" i="112"/>
  <c r="S9" i="115"/>
  <c r="T16" i="87"/>
  <c r="T8" i="91"/>
  <c r="U8" i="91" s="1"/>
  <c r="S11" i="89"/>
  <c r="J13" i="88"/>
  <c r="T13" i="88"/>
  <c r="S13" i="88"/>
  <c r="S13" i="94"/>
  <c r="T14" i="112"/>
  <c r="S13" i="99"/>
  <c r="H11" i="120"/>
  <c r="S11" i="120"/>
  <c r="U11" i="120" s="1"/>
  <c r="T13" i="119"/>
  <c r="S10" i="99"/>
  <c r="S15" i="102"/>
  <c r="T13" i="94"/>
  <c r="T12" i="106"/>
  <c r="T13" i="107"/>
  <c r="G13" i="118"/>
  <c r="H13" i="118" s="1"/>
  <c r="I13" i="118" s="1"/>
  <c r="H13" i="100"/>
  <c r="I13" i="100" s="1"/>
  <c r="V8" i="102"/>
  <c r="E19" i="95"/>
  <c r="E49" i="90"/>
  <c r="E55" i="95" s="1"/>
  <c r="E48" i="118"/>
  <c r="K14" i="116"/>
  <c r="N14" i="116" s="1"/>
  <c r="T14" i="116"/>
  <c r="G13" i="103"/>
  <c r="H13" i="103" s="1"/>
  <c r="I13" i="103" s="1"/>
  <c r="H11" i="117"/>
  <c r="R11" i="117" s="1"/>
  <c r="T11" i="117"/>
  <c r="I12" i="119"/>
  <c r="R12" i="119" s="1"/>
  <c r="T12" i="119"/>
  <c r="F34" i="120"/>
  <c r="N11" i="116"/>
  <c r="W11" i="116"/>
  <c r="R11" i="116"/>
  <c r="S11" i="117"/>
  <c r="G10" i="119"/>
  <c r="S10" i="119"/>
  <c r="H12" i="90"/>
  <c r="S14" i="105"/>
  <c r="S13" i="107"/>
  <c r="T15" i="87"/>
  <c r="T16" i="109"/>
  <c r="T11" i="89"/>
  <c r="S15" i="93"/>
  <c r="T10" i="100"/>
  <c r="S15" i="87"/>
  <c r="S12" i="115"/>
  <c r="H14" i="103"/>
  <c r="I14" i="103" s="1"/>
  <c r="J14" i="103" s="1"/>
  <c r="Q43" i="95"/>
  <c r="S7" i="92"/>
  <c r="U7" i="92" s="1"/>
  <c r="E19" i="113"/>
  <c r="G15" i="119"/>
  <c r="H15" i="119" s="1"/>
  <c r="I15" i="119" s="1"/>
  <c r="J15" i="119" s="1"/>
  <c r="K15" i="119" s="1"/>
  <c r="W16" i="121"/>
  <c r="M16" i="120"/>
  <c r="S16" i="120"/>
  <c r="T11" i="106"/>
  <c r="S9" i="87"/>
  <c r="U9" i="87" s="1"/>
  <c r="T14" i="104"/>
  <c r="T15" i="102"/>
  <c r="S11" i="109"/>
  <c r="S14" i="116"/>
  <c r="T14" i="105"/>
  <c r="T9" i="94"/>
  <c r="S12" i="112"/>
  <c r="T13" i="99"/>
  <c r="S14" i="112"/>
  <c r="S41" i="100"/>
  <c r="T46" i="118"/>
  <c r="M23" i="113"/>
  <c r="E41" i="100"/>
  <c r="U8" i="94"/>
  <c r="T34" i="120"/>
  <c r="S53" i="100"/>
  <c r="M59" i="113" s="1"/>
  <c r="E53" i="100"/>
  <c r="M59" i="95" s="1"/>
  <c r="U9" i="99"/>
  <c r="U23" i="99" s="1"/>
  <c r="F22" i="118"/>
  <c r="F22" i="120"/>
  <c r="U9" i="105"/>
  <c r="S49" i="108"/>
  <c r="W55" i="113" s="1"/>
  <c r="E25" i="108"/>
  <c r="W31" i="95" s="1"/>
  <c r="V19" i="113"/>
  <c r="E49" i="107"/>
  <c r="V19" i="95"/>
  <c r="U10" i="90"/>
  <c r="U11" i="90" s="1"/>
  <c r="U10" i="107"/>
  <c r="V6" i="113" s="1"/>
  <c r="E49" i="108"/>
  <c r="W55" i="95" s="1"/>
  <c r="S37" i="108"/>
  <c r="W43" i="113" s="1"/>
  <c r="P30" i="95"/>
  <c r="G34" i="112"/>
  <c r="S49" i="107"/>
  <c r="V55" i="113" s="1"/>
  <c r="U22" i="119"/>
  <c r="E37" i="108"/>
  <c r="W43" i="95" s="1"/>
  <c r="W19" i="113"/>
  <c r="AA4" i="95"/>
  <c r="S37" i="107"/>
  <c r="V43" i="113" s="1"/>
  <c r="F34" i="118"/>
  <c r="U9" i="102"/>
  <c r="U10" i="102" s="1"/>
  <c r="T24" i="102" s="1"/>
  <c r="V9" i="90"/>
  <c r="S41" i="105"/>
  <c r="S34" i="113"/>
  <c r="U22" i="102"/>
  <c r="O4" i="113"/>
  <c r="V5" i="113"/>
  <c r="S52" i="106"/>
  <c r="S58" i="113" s="1"/>
  <c r="E28" i="106"/>
  <c r="S40" i="106"/>
  <c r="E5" i="113"/>
  <c r="R23" i="95"/>
  <c r="O4" i="95"/>
  <c r="P4" i="95"/>
  <c r="V8" i="103"/>
  <c r="S22" i="95"/>
  <c r="U9" i="100"/>
  <c r="T22" i="118"/>
  <c r="E5" i="95"/>
  <c r="Q10" i="97" s="1"/>
  <c r="E26" i="32" s="1"/>
  <c r="E40" i="106"/>
  <c r="U9" i="111"/>
  <c r="G23" i="111" s="1"/>
  <c r="T34" i="118"/>
  <c r="V9" i="121"/>
  <c r="U10" i="121"/>
  <c r="U9" i="104"/>
  <c r="U10" i="104" s="1"/>
  <c r="E41" i="105"/>
  <c r="R23" i="113"/>
  <c r="U10" i="80"/>
  <c r="G48" i="80" s="1"/>
  <c r="G34" i="119"/>
  <c r="E53" i="105"/>
  <c r="R59" i="95" s="1"/>
  <c r="U34" i="112"/>
  <c r="U22" i="104"/>
  <c r="U22" i="112"/>
  <c r="U34" i="119"/>
  <c r="U46" i="119"/>
  <c r="S53" i="105"/>
  <c r="R59" i="113" s="1"/>
  <c r="E29" i="105"/>
  <c r="R47" i="95" s="1"/>
  <c r="G22" i="112"/>
  <c r="U9" i="112"/>
  <c r="G46" i="119"/>
  <c r="G22" i="119"/>
  <c r="U9" i="118"/>
  <c r="U10" i="118" s="1"/>
  <c r="U11" i="88"/>
  <c r="D6" i="113"/>
  <c r="D6" i="95"/>
  <c r="P11" i="97" s="1"/>
  <c r="D27" i="32" s="1"/>
  <c r="T35" i="117"/>
  <c r="F47" i="117"/>
  <c r="V10" i="88"/>
  <c r="G10" i="105"/>
  <c r="W8" i="115"/>
  <c r="V8" i="115" s="1"/>
  <c r="U33" i="115"/>
  <c r="T33" i="115"/>
  <c r="U9" i="119"/>
  <c r="F16" i="115"/>
  <c r="F9" i="115"/>
  <c r="W9" i="115" s="1"/>
  <c r="G16" i="118"/>
  <c r="H16" i="116"/>
  <c r="I16" i="116" s="1"/>
  <c r="J16" i="116" s="1"/>
  <c r="K16" i="116" s="1"/>
  <c r="L16" i="116" s="1"/>
  <c r="E25" i="118"/>
  <c r="E49" i="118"/>
  <c r="S49" i="118"/>
  <c r="E37" i="118"/>
  <c r="S25" i="118"/>
  <c r="S37" i="118"/>
  <c r="H15" i="120"/>
  <c r="H14" i="107"/>
  <c r="I14" i="107" s="1"/>
  <c r="J14" i="107" s="1"/>
  <c r="H15" i="107"/>
  <c r="I15" i="107" s="1"/>
  <c r="J15" i="107" s="1"/>
  <c r="K15" i="107" s="1"/>
  <c r="H12" i="93"/>
  <c r="G16" i="112"/>
  <c r="F12" i="87"/>
  <c r="G12" i="87" s="1"/>
  <c r="H12" i="87" s="1"/>
  <c r="T12" i="87" s="1"/>
  <c r="F15" i="115"/>
  <c r="U21" i="115"/>
  <c r="T21" i="115"/>
  <c r="N9" i="119"/>
  <c r="R9" i="119"/>
  <c r="H14" i="120"/>
  <c r="I14" i="120" s="1"/>
  <c r="J14" i="120" s="1"/>
  <c r="F10" i="115"/>
  <c r="N9" i="118"/>
  <c r="R9" i="118"/>
  <c r="W9" i="118"/>
  <c r="F13" i="115"/>
  <c r="R12" i="115"/>
  <c r="U9" i="103"/>
  <c r="U10" i="103" s="1"/>
  <c r="P6" i="113" s="1"/>
  <c r="P66" i="113" s="1"/>
  <c r="E22" i="117"/>
  <c r="S46" i="117"/>
  <c r="E46" i="117"/>
  <c r="E34" i="117"/>
  <c r="S22" i="117"/>
  <c r="S34" i="117"/>
  <c r="U9" i="110"/>
  <c r="U10" i="110" s="1"/>
  <c r="G14" i="118"/>
  <c r="H13" i="121"/>
  <c r="I13" i="121" s="1"/>
  <c r="G13" i="117"/>
  <c r="G21" i="115"/>
  <c r="F21" i="115"/>
  <c r="U45" i="115"/>
  <c r="T45" i="115"/>
  <c r="H11" i="121"/>
  <c r="W12" i="115"/>
  <c r="F11" i="115"/>
  <c r="G11" i="115" s="1"/>
  <c r="H13" i="116"/>
  <c r="U9" i="106"/>
  <c r="S5" i="113" s="1"/>
  <c r="S65" i="113" s="1"/>
  <c r="S36" i="121"/>
  <c r="S24" i="121"/>
  <c r="S48" i="121"/>
  <c r="E36" i="121"/>
  <c r="E24" i="121"/>
  <c r="E48" i="121"/>
  <c r="S23" i="116"/>
  <c r="U23" i="116" s="1"/>
  <c r="S47" i="116"/>
  <c r="U47" i="116" s="1"/>
  <c r="E23" i="116"/>
  <c r="G23" i="116" s="1"/>
  <c r="E47" i="116"/>
  <c r="G47" i="116" s="1"/>
  <c r="E35" i="116"/>
  <c r="G35" i="116" s="1"/>
  <c r="S35" i="116"/>
  <c r="U35" i="116" s="1"/>
  <c r="W9" i="119"/>
  <c r="G11" i="99"/>
  <c r="T11" i="99" s="1"/>
  <c r="F10" i="87"/>
  <c r="T10" i="87" s="1"/>
  <c r="G33" i="115"/>
  <c r="F33" i="115"/>
  <c r="G45" i="115"/>
  <c r="F45" i="115"/>
  <c r="V9" i="116"/>
  <c r="U10" i="116"/>
  <c r="F14" i="115"/>
  <c r="H14" i="121"/>
  <c r="I14" i="121" s="1"/>
  <c r="J14" i="121" s="1"/>
  <c r="R8" i="115"/>
  <c r="S35" i="121"/>
  <c r="E47" i="121"/>
  <c r="S23" i="121"/>
  <c r="E35" i="121"/>
  <c r="S47" i="121"/>
  <c r="E23" i="121"/>
  <c r="G15" i="118"/>
  <c r="H15" i="118" s="1"/>
  <c r="I15" i="118" s="1"/>
  <c r="J15" i="118" s="1"/>
  <c r="K15" i="118" s="1"/>
  <c r="G12" i="118"/>
  <c r="H12" i="118" s="1"/>
  <c r="T12" i="118" s="1"/>
  <c r="V8" i="119"/>
  <c r="T34" i="119"/>
  <c r="F22" i="119"/>
  <c r="F34" i="119"/>
  <c r="T46" i="119"/>
  <c r="T22" i="119"/>
  <c r="F46" i="119"/>
  <c r="S41" i="121"/>
  <c r="E29" i="121"/>
  <c r="S53" i="121"/>
  <c r="S29" i="121"/>
  <c r="E53" i="121"/>
  <c r="E41" i="121"/>
  <c r="G47" i="117"/>
  <c r="S42" i="80"/>
  <c r="S54" i="80"/>
  <c r="B60" i="113" s="1"/>
  <c r="R13" i="99"/>
  <c r="S27" i="99" s="1"/>
  <c r="B24" i="95"/>
  <c r="E54" i="80"/>
  <c r="B60" i="95" s="1"/>
  <c r="E30" i="80"/>
  <c r="B36" i="95" s="1"/>
  <c r="B24" i="113"/>
  <c r="S30" i="80"/>
  <c r="B36" i="113" s="1"/>
  <c r="R12" i="112"/>
  <c r="S26" i="112" s="1"/>
  <c r="AA56" i="113" s="1"/>
  <c r="N12" i="112"/>
  <c r="W13" i="99"/>
  <c r="I13" i="90"/>
  <c r="L15" i="93"/>
  <c r="N15" i="93" s="1"/>
  <c r="G12" i="101"/>
  <c r="H12" i="101" s="1"/>
  <c r="T12" i="101" s="1"/>
  <c r="F13" i="87"/>
  <c r="G13" i="87" s="1"/>
  <c r="H13" i="87" s="1"/>
  <c r="I13" i="87" s="1"/>
  <c r="T13" i="87" s="1"/>
  <c r="F16" i="94"/>
  <c r="G16" i="94" s="1"/>
  <c r="H16" i="94" s="1"/>
  <c r="I16" i="94" s="1"/>
  <c r="J16" i="94" s="1"/>
  <c r="K16" i="94" s="1"/>
  <c r="L16" i="94" s="1"/>
  <c r="F9" i="87"/>
  <c r="N9" i="87" s="1"/>
  <c r="H16" i="100"/>
  <c r="D4" i="96"/>
  <c r="D1" i="96"/>
  <c r="F4" i="96"/>
  <c r="K2" i="96"/>
  <c r="J4" i="96" s="1"/>
  <c r="P23" i="113"/>
  <c r="V7" i="91"/>
  <c r="S41" i="103"/>
  <c r="S53" i="103"/>
  <c r="P59" i="113" s="1"/>
  <c r="E41" i="103"/>
  <c r="P23" i="95"/>
  <c r="E53" i="103"/>
  <c r="P59" i="95" s="1"/>
  <c r="E29" i="103"/>
  <c r="P47" i="95" s="1"/>
  <c r="U22" i="89"/>
  <c r="E36" i="112"/>
  <c r="B5" i="95"/>
  <c r="N10" i="97" s="1"/>
  <c r="B26" i="32" s="1"/>
  <c r="H40" i="113"/>
  <c r="P43" i="95"/>
  <c r="F34" i="90"/>
  <c r="V9" i="80"/>
  <c r="U22" i="110"/>
  <c r="T34" i="93"/>
  <c r="G46" i="110"/>
  <c r="V8" i="89"/>
  <c r="L4" i="95"/>
  <c r="L63" i="95" s="1"/>
  <c r="E31" i="113"/>
  <c r="F22" i="93"/>
  <c r="G22" i="93"/>
  <c r="G34" i="93"/>
  <c r="U22" i="108"/>
  <c r="E34" i="108"/>
  <c r="W40" i="95" s="1"/>
  <c r="E22" i="108"/>
  <c r="W28" i="95" s="1"/>
  <c r="S46" i="108"/>
  <c r="U46" i="108" s="1"/>
  <c r="G34" i="90"/>
  <c r="E46" i="108"/>
  <c r="W52" i="95" s="1"/>
  <c r="S34" i="108"/>
  <c r="U34" i="108" s="1"/>
  <c r="H52" i="95"/>
  <c r="F46" i="93"/>
  <c r="W16" i="113"/>
  <c r="W16" i="95"/>
  <c r="V8" i="99"/>
  <c r="S42" i="105"/>
  <c r="S4" i="95"/>
  <c r="S54" i="105"/>
  <c r="R60" i="113" s="1"/>
  <c r="S4" i="113"/>
  <c r="U22" i="106"/>
  <c r="E42" i="105"/>
  <c r="E54" i="105"/>
  <c r="R60" i="95" s="1"/>
  <c r="R24" i="95"/>
  <c r="E30" i="105"/>
  <c r="G46" i="90"/>
  <c r="R24" i="113"/>
  <c r="E52" i="95"/>
  <c r="H52" i="113"/>
  <c r="V8" i="110"/>
  <c r="Y4" i="95"/>
  <c r="X45" i="95"/>
  <c r="E28" i="113"/>
  <c r="Q25" i="97" s="1"/>
  <c r="Q45" i="97" s="1"/>
  <c r="S42" i="106"/>
  <c r="M22" i="95"/>
  <c r="T22" i="90"/>
  <c r="W14" i="112"/>
  <c r="F34" i="93"/>
  <c r="O30" i="95"/>
  <c r="AA18" i="95"/>
  <c r="U46" i="93"/>
  <c r="E48" i="112"/>
  <c r="S36" i="112"/>
  <c r="AA18" i="113"/>
  <c r="U4" i="113"/>
  <c r="X57" i="113"/>
  <c r="S48" i="112"/>
  <c r="H63" i="95"/>
  <c r="T29" i="97" s="1"/>
  <c r="B64" i="113"/>
  <c r="N35" i="97" s="1"/>
  <c r="E24" i="112"/>
  <c r="F22" i="104"/>
  <c r="E40" i="100"/>
  <c r="Q20" i="113"/>
  <c r="S54" i="106"/>
  <c r="S60" i="113" s="1"/>
  <c r="M22" i="113"/>
  <c r="E42" i="106"/>
  <c r="E30" i="106"/>
  <c r="S36" i="95" s="1"/>
  <c r="S52" i="100"/>
  <c r="M58" i="113" s="1"/>
  <c r="S24" i="95"/>
  <c r="S40" i="100"/>
  <c r="S24" i="113"/>
  <c r="E52" i="100"/>
  <c r="M58" i="95" s="1"/>
  <c r="E42" i="99"/>
  <c r="E28" i="100"/>
  <c r="M46" i="95" s="1"/>
  <c r="E54" i="106"/>
  <c r="S60" i="95" s="1"/>
  <c r="U23" i="88"/>
  <c r="U16" i="95"/>
  <c r="D5" i="95"/>
  <c r="P10" i="97" s="1"/>
  <c r="D26" i="32" s="1"/>
  <c r="S38" i="89"/>
  <c r="V9" i="88"/>
  <c r="X33" i="95"/>
  <c r="E30" i="99"/>
  <c r="S54" i="99"/>
  <c r="U60" i="113" s="1"/>
  <c r="E54" i="99"/>
  <c r="U60" i="95" s="1"/>
  <c r="B63" i="95"/>
  <c r="N29" i="97" s="1"/>
  <c r="B40" i="32" s="1"/>
  <c r="U24" i="95"/>
  <c r="Q20" i="95"/>
  <c r="E26" i="104"/>
  <c r="E50" i="104"/>
  <c r="Q56" i="95" s="1"/>
  <c r="E38" i="104"/>
  <c r="S50" i="104"/>
  <c r="Q56" i="113" s="1"/>
  <c r="S38" i="104"/>
  <c r="Q39" i="97"/>
  <c r="N39" i="97"/>
  <c r="N45" i="97"/>
  <c r="V5" i="95"/>
  <c r="T39" i="97"/>
  <c r="T45" i="97"/>
  <c r="S46" i="102"/>
  <c r="U46" i="102" s="1"/>
  <c r="W15" i="106"/>
  <c r="E46" i="102"/>
  <c r="G46" i="102" s="1"/>
  <c r="O16" i="113"/>
  <c r="E63" i="95"/>
  <c r="Q29" i="97" s="1"/>
  <c r="E40" i="32" s="1"/>
  <c r="U16" i="113"/>
  <c r="S46" i="99"/>
  <c r="U46" i="99" s="1"/>
  <c r="E22" i="99"/>
  <c r="G22" i="99" s="1"/>
  <c r="E34" i="99"/>
  <c r="F34" i="99" s="1"/>
  <c r="E46" i="99"/>
  <c r="G46" i="99" s="1"/>
  <c r="W13" i="107"/>
  <c r="S34" i="99"/>
  <c r="T34" i="99" s="1"/>
  <c r="W12" i="108"/>
  <c r="W13" i="94"/>
  <c r="G34" i="100"/>
  <c r="U34" i="100"/>
  <c r="U53" i="113"/>
  <c r="Q52" i="113"/>
  <c r="U46" i="104"/>
  <c r="B57" i="95"/>
  <c r="B33" i="95"/>
  <c r="T34" i="101"/>
  <c r="U34" i="101"/>
  <c r="E50" i="89"/>
  <c r="B34" i="95"/>
  <c r="W16" i="102"/>
  <c r="V52" i="95"/>
  <c r="G46" i="107"/>
  <c r="Y54" i="113"/>
  <c r="S42" i="99"/>
  <c r="W15" i="87"/>
  <c r="D41" i="113"/>
  <c r="U35" i="88"/>
  <c r="Z52" i="113"/>
  <c r="U46" i="111"/>
  <c r="G22" i="100"/>
  <c r="S34" i="102"/>
  <c r="N58" i="95"/>
  <c r="B45" i="113"/>
  <c r="B57" i="113"/>
  <c r="W11" i="89"/>
  <c r="B47" i="113"/>
  <c r="L20" i="113"/>
  <c r="U53" i="95"/>
  <c r="Z53" i="113"/>
  <c r="V40" i="113"/>
  <c r="U34" i="107"/>
  <c r="Z60" i="113"/>
  <c r="X52" i="113"/>
  <c r="U46" i="109"/>
  <c r="D53" i="113"/>
  <c r="U47" i="88"/>
  <c r="Z40" i="95"/>
  <c r="G34" i="111"/>
  <c r="M52" i="95"/>
  <c r="G46" i="100"/>
  <c r="X32" i="95"/>
  <c r="N55" i="95"/>
  <c r="O16" i="95"/>
  <c r="T46" i="104"/>
  <c r="Q52" i="95"/>
  <c r="G46" i="104"/>
  <c r="E40" i="113"/>
  <c r="U34" i="90"/>
  <c r="T34" i="90"/>
  <c r="F46" i="112"/>
  <c r="G46" i="112"/>
  <c r="O58" i="113"/>
  <c r="Z48" i="95"/>
  <c r="Y42" i="95"/>
  <c r="D41" i="95"/>
  <c r="G35" i="88"/>
  <c r="U59" i="113"/>
  <c r="G22" i="111"/>
  <c r="X44" i="95"/>
  <c r="F34" i="104"/>
  <c r="G34" i="104"/>
  <c r="Y54" i="95"/>
  <c r="N52" i="113"/>
  <c r="U46" i="101"/>
  <c r="S50" i="89"/>
  <c r="H30" i="95"/>
  <c r="T21" i="97" s="1"/>
  <c r="X52" i="95"/>
  <c r="G46" i="109"/>
  <c r="D29" i="95"/>
  <c r="P20" i="97" s="1"/>
  <c r="D36" i="32" s="1"/>
  <c r="G23" i="88"/>
  <c r="U59" i="95"/>
  <c r="Z40" i="113"/>
  <c r="U34" i="111"/>
  <c r="N58" i="113"/>
  <c r="Z48" i="113"/>
  <c r="P56" i="95"/>
  <c r="B35" i="95"/>
  <c r="Z41" i="95"/>
  <c r="W8" i="87"/>
  <c r="V8" i="87" s="1"/>
  <c r="R56" i="113"/>
  <c r="B45" i="95"/>
  <c r="G22" i="101"/>
  <c r="E38" i="89"/>
  <c r="O58" i="95"/>
  <c r="X40" i="95"/>
  <c r="G34" i="109"/>
  <c r="Y42" i="113"/>
  <c r="U24" i="113"/>
  <c r="D55" i="113"/>
  <c r="U49" i="88"/>
  <c r="N55" i="113"/>
  <c r="E22" i="102"/>
  <c r="G22" i="102" s="1"/>
  <c r="T34" i="104"/>
  <c r="U34" i="104"/>
  <c r="E52" i="113"/>
  <c r="U46" i="90"/>
  <c r="T46" i="90"/>
  <c r="U22" i="99"/>
  <c r="B59" i="95"/>
  <c r="V40" i="95"/>
  <c r="G34" i="107"/>
  <c r="B47" i="95"/>
  <c r="R56" i="95"/>
  <c r="G34" i="101"/>
  <c r="E26" i="89"/>
  <c r="H42" i="95"/>
  <c r="Z53" i="95"/>
  <c r="V52" i="113"/>
  <c r="U46" i="107"/>
  <c r="X40" i="113"/>
  <c r="U34" i="109"/>
  <c r="D53" i="95"/>
  <c r="G47" i="88"/>
  <c r="T46" i="112"/>
  <c r="U46" i="112"/>
  <c r="E34" i="102"/>
  <c r="Z52" i="95"/>
  <c r="G46" i="111"/>
  <c r="B59" i="113"/>
  <c r="B48" i="95"/>
  <c r="N52" i="95"/>
  <c r="G46" i="101"/>
  <c r="L20" i="95"/>
  <c r="Z41" i="113"/>
  <c r="Z60" i="95"/>
  <c r="M52" i="113"/>
  <c r="U46" i="100"/>
  <c r="C4" i="113"/>
  <c r="C4" i="95"/>
  <c r="C23" i="113"/>
  <c r="E53" i="87"/>
  <c r="C23" i="95"/>
  <c r="E29" i="87"/>
  <c r="E41" i="87"/>
  <c r="S29" i="87"/>
  <c r="S41" i="87"/>
  <c r="S53" i="87"/>
  <c r="R9" i="112"/>
  <c r="S23" i="112" s="1"/>
  <c r="N9" i="112"/>
  <c r="W9" i="112"/>
  <c r="R44" i="113"/>
  <c r="R32" i="113"/>
  <c r="E33" i="91"/>
  <c r="G33" i="91" s="1"/>
  <c r="F15" i="95"/>
  <c r="S33" i="91"/>
  <c r="U33" i="91" s="1"/>
  <c r="F15" i="113"/>
  <c r="S21" i="91"/>
  <c r="U21" i="91" s="1"/>
  <c r="S45" i="91"/>
  <c r="U45" i="91" s="1"/>
  <c r="E45" i="91"/>
  <c r="G45" i="91" s="1"/>
  <c r="E21" i="91"/>
  <c r="G21" i="91" s="1"/>
  <c r="P14" i="97"/>
  <c r="D30" i="32" s="1"/>
  <c r="AA54" i="113"/>
  <c r="AA30" i="113"/>
  <c r="F14" i="87"/>
  <c r="N10" i="106"/>
  <c r="R10" i="106"/>
  <c r="S24" i="106" s="1"/>
  <c r="F33" i="94"/>
  <c r="I39" i="95"/>
  <c r="B34" i="113"/>
  <c r="F14" i="94"/>
  <c r="G14" i="94" s="1"/>
  <c r="H14" i="94" s="1"/>
  <c r="I14" i="94" s="1"/>
  <c r="J14" i="94" s="1"/>
  <c r="U29" i="95"/>
  <c r="U41" i="95"/>
  <c r="R10" i="107"/>
  <c r="S24" i="107" s="1"/>
  <c r="N10" i="107"/>
  <c r="D12" i="92"/>
  <c r="B12" i="92"/>
  <c r="N9" i="110"/>
  <c r="R9" i="110"/>
  <c r="S23" i="110" s="1"/>
  <c r="Z29" i="95"/>
  <c r="Y20" i="113"/>
  <c r="S38" i="110"/>
  <c r="E38" i="110"/>
  <c r="E50" i="110"/>
  <c r="E26" i="110"/>
  <c r="S50" i="110"/>
  <c r="Y20" i="95"/>
  <c r="M19" i="113"/>
  <c r="M19" i="95"/>
  <c r="E37" i="100"/>
  <c r="S37" i="100"/>
  <c r="E25" i="100"/>
  <c r="E49" i="100"/>
  <c r="S49" i="100"/>
  <c r="F22" i="109"/>
  <c r="X28" i="95"/>
  <c r="X63" i="95" s="1"/>
  <c r="W42" i="113"/>
  <c r="C27" i="95"/>
  <c r="F21" i="87"/>
  <c r="E14" i="91"/>
  <c r="N9" i="101"/>
  <c r="R9" i="101"/>
  <c r="S23" i="101" s="1"/>
  <c r="W9" i="101"/>
  <c r="N15" i="87"/>
  <c r="R13" i="94"/>
  <c r="S27" i="94" s="1"/>
  <c r="R16" i="95"/>
  <c r="R16" i="113"/>
  <c r="S34" i="105"/>
  <c r="E34" i="105"/>
  <c r="E22" i="105"/>
  <c r="G22" i="105" s="1"/>
  <c r="E46" i="105"/>
  <c r="G46" i="105" s="1"/>
  <c r="S46" i="105"/>
  <c r="U46" i="105" s="1"/>
  <c r="W9" i="110"/>
  <c r="N46" i="113"/>
  <c r="N34" i="113"/>
  <c r="W4" i="113"/>
  <c r="W4" i="95"/>
  <c r="V8" i="108"/>
  <c r="I16" i="88"/>
  <c r="J16" i="88" s="1"/>
  <c r="K16" i="88" s="1"/>
  <c r="L16" i="88" s="1"/>
  <c r="Y28" i="95"/>
  <c r="C16" i="113"/>
  <c r="S34" i="87"/>
  <c r="S22" i="87"/>
  <c r="U22" i="87" s="1"/>
  <c r="E34" i="87"/>
  <c r="C16" i="95"/>
  <c r="O14" i="97" s="1"/>
  <c r="C30" i="32" s="1"/>
  <c r="E46" i="87"/>
  <c r="E22" i="87"/>
  <c r="S46" i="87"/>
  <c r="E12" i="91"/>
  <c r="F12" i="91" s="1"/>
  <c r="G12" i="91" s="1"/>
  <c r="H12" i="91" s="1"/>
  <c r="I12" i="91" s="1"/>
  <c r="N12" i="91" s="1"/>
  <c r="P24" i="113"/>
  <c r="E30" i="103"/>
  <c r="P24" i="95"/>
  <c r="S42" i="103"/>
  <c r="S54" i="103"/>
  <c r="E54" i="103"/>
  <c r="E42" i="103"/>
  <c r="B35" i="113"/>
  <c r="G13" i="110"/>
  <c r="Z4" i="113"/>
  <c r="T34" i="111"/>
  <c r="Z4" i="95"/>
  <c r="F34" i="111"/>
  <c r="F46" i="111"/>
  <c r="T46" i="111"/>
  <c r="G10" i="101"/>
  <c r="W10" i="101" s="1"/>
  <c r="W17" i="113"/>
  <c r="D40" i="95"/>
  <c r="F34" i="88"/>
  <c r="F12" i="94"/>
  <c r="T45" i="94"/>
  <c r="I51" i="113"/>
  <c r="T22" i="106"/>
  <c r="S28" i="113"/>
  <c r="S40" i="113"/>
  <c r="D8" i="92"/>
  <c r="T8" i="92" s="1"/>
  <c r="B8" i="92"/>
  <c r="B16" i="92"/>
  <c r="D16" i="92"/>
  <c r="T22" i="107"/>
  <c r="V28" i="113"/>
  <c r="V64" i="113" s="1"/>
  <c r="G15" i="112"/>
  <c r="H31" i="113"/>
  <c r="H11" i="111"/>
  <c r="T22" i="108"/>
  <c r="W28" i="113"/>
  <c r="T23" i="80"/>
  <c r="B29" i="113"/>
  <c r="N26" i="97" s="1"/>
  <c r="E11" i="91"/>
  <c r="W30" i="113"/>
  <c r="C39" i="95"/>
  <c r="F33" i="87"/>
  <c r="E8" i="91"/>
  <c r="W8" i="91" s="1"/>
  <c r="H11" i="109"/>
  <c r="G14" i="89"/>
  <c r="H53" i="95"/>
  <c r="F47" i="93"/>
  <c r="E13" i="91"/>
  <c r="T35" i="88"/>
  <c r="N43" i="95"/>
  <c r="N31" i="95"/>
  <c r="N46" i="95"/>
  <c r="N34" i="95"/>
  <c r="Y52" i="95"/>
  <c r="F46" i="110"/>
  <c r="H15" i="111"/>
  <c r="D52" i="95"/>
  <c r="F46" i="88"/>
  <c r="L21" i="113"/>
  <c r="L21" i="95"/>
  <c r="E27" i="89"/>
  <c r="S39" i="89"/>
  <c r="E39" i="89"/>
  <c r="E51" i="89"/>
  <c r="S51" i="89"/>
  <c r="F9" i="94"/>
  <c r="W9" i="94" s="1"/>
  <c r="T33" i="94"/>
  <c r="I39" i="113"/>
  <c r="W12" i="106"/>
  <c r="O46" i="95"/>
  <c r="O34" i="95"/>
  <c r="E9" i="91"/>
  <c r="S9" i="91" s="1"/>
  <c r="S36" i="113"/>
  <c r="S48" i="113"/>
  <c r="R16" i="87"/>
  <c r="H12" i="100"/>
  <c r="H31" i="95"/>
  <c r="T33" i="87"/>
  <c r="C39" i="113"/>
  <c r="P32" i="113"/>
  <c r="P44" i="113"/>
  <c r="U36" i="113"/>
  <c r="U48" i="113"/>
  <c r="L16" i="95"/>
  <c r="L16" i="113"/>
  <c r="S34" i="89"/>
  <c r="E34" i="89"/>
  <c r="E46" i="89"/>
  <c r="G46" i="89" s="1"/>
  <c r="E22" i="89"/>
  <c r="G22" i="89" s="1"/>
  <c r="S46" i="89"/>
  <c r="U46" i="89" s="1"/>
  <c r="M4" i="113"/>
  <c r="V8" i="100"/>
  <c r="M4" i="95"/>
  <c r="F34" i="100"/>
  <c r="F22" i="100"/>
  <c r="F46" i="100"/>
  <c r="T46" i="100"/>
  <c r="H12" i="111"/>
  <c r="U47" i="95"/>
  <c r="U35" i="95"/>
  <c r="H41" i="95"/>
  <c r="F35" i="93"/>
  <c r="F22" i="111"/>
  <c r="Z28" i="95"/>
  <c r="T22" i="100"/>
  <c r="M28" i="113"/>
  <c r="M40" i="113"/>
  <c r="S21" i="113"/>
  <c r="S39" i="106"/>
  <c r="E51" i="106"/>
  <c r="E39" i="106"/>
  <c r="S51" i="106"/>
  <c r="S21" i="95"/>
  <c r="E27" i="106"/>
  <c r="D20" i="113"/>
  <c r="S38" i="88"/>
  <c r="S26" i="88"/>
  <c r="E26" i="88"/>
  <c r="E38" i="88"/>
  <c r="E50" i="88"/>
  <c r="D20" i="95"/>
  <c r="S50" i="88"/>
  <c r="R44" i="95"/>
  <c r="R32" i="95"/>
  <c r="I15" i="88"/>
  <c r="F11" i="94"/>
  <c r="T22" i="88"/>
  <c r="D28" i="113"/>
  <c r="N40" i="95"/>
  <c r="N28" i="95"/>
  <c r="Q24" i="113"/>
  <c r="S54" i="104"/>
  <c r="S42" i="104"/>
  <c r="Q24" i="95"/>
  <c r="E54" i="104"/>
  <c r="E42" i="104"/>
  <c r="E30" i="104"/>
  <c r="L44" i="113"/>
  <c r="L32" i="113"/>
  <c r="T21" i="94"/>
  <c r="I27" i="113"/>
  <c r="U24" i="97" s="1"/>
  <c r="U44" i="97" s="1"/>
  <c r="R9" i="105"/>
  <c r="S23" i="105" s="1"/>
  <c r="N9" i="105"/>
  <c r="R12" i="106"/>
  <c r="S26" i="106" s="1"/>
  <c r="N12" i="106"/>
  <c r="U29" i="113"/>
  <c r="U41" i="113"/>
  <c r="D15" i="92"/>
  <c r="B15" i="92"/>
  <c r="D14" i="92"/>
  <c r="B14" i="92"/>
  <c r="R16" i="102"/>
  <c r="S30" i="102" s="1"/>
  <c r="N16" i="102"/>
  <c r="Z29" i="113"/>
  <c r="X17" i="113"/>
  <c r="S35" i="109"/>
  <c r="E35" i="109"/>
  <c r="E23" i="109"/>
  <c r="X17" i="95"/>
  <c r="E47" i="109"/>
  <c r="S47" i="109"/>
  <c r="Z36" i="95"/>
  <c r="H55" i="95"/>
  <c r="T22" i="109"/>
  <c r="X28" i="113"/>
  <c r="X64" i="113" s="1"/>
  <c r="P16" i="95"/>
  <c r="P16" i="113"/>
  <c r="S34" i="103"/>
  <c r="E46" i="103"/>
  <c r="G46" i="103" s="1"/>
  <c r="E34" i="103"/>
  <c r="E22" i="103"/>
  <c r="G22" i="103" s="1"/>
  <c r="S46" i="103"/>
  <c r="U46" i="103" s="1"/>
  <c r="W54" i="113"/>
  <c r="O20" i="113"/>
  <c r="S38" i="102"/>
  <c r="O20" i="95"/>
  <c r="E50" i="102"/>
  <c r="E26" i="102"/>
  <c r="E38" i="102"/>
  <c r="S50" i="102"/>
  <c r="T45" i="87"/>
  <c r="C51" i="113"/>
  <c r="N14" i="105"/>
  <c r="R14" i="105"/>
  <c r="S28" i="105" s="1"/>
  <c r="E17" i="113"/>
  <c r="S23" i="90"/>
  <c r="U23" i="90" s="1"/>
  <c r="S35" i="90"/>
  <c r="U35" i="90" s="1"/>
  <c r="E47" i="90"/>
  <c r="G47" i="90" s="1"/>
  <c r="E23" i="90"/>
  <c r="G23" i="90" s="1"/>
  <c r="E35" i="90"/>
  <c r="G35" i="90" s="1"/>
  <c r="E17" i="95"/>
  <c r="Q15" i="97" s="1"/>
  <c r="E31" i="32" s="1"/>
  <c r="S47" i="90"/>
  <c r="U47" i="90" s="1"/>
  <c r="G10" i="99"/>
  <c r="W10" i="99" s="1"/>
  <c r="H29" i="95"/>
  <c r="F23" i="93"/>
  <c r="T22" i="111"/>
  <c r="Z28" i="113"/>
  <c r="T46" i="109"/>
  <c r="AA52" i="95"/>
  <c r="AA28" i="95"/>
  <c r="F22" i="112"/>
  <c r="T34" i="100"/>
  <c r="N14" i="112"/>
  <c r="R14" i="112"/>
  <c r="S28" i="112" s="1"/>
  <c r="E10" i="91"/>
  <c r="T47" i="88"/>
  <c r="W23" i="113"/>
  <c r="W23" i="95"/>
  <c r="E29" i="108"/>
  <c r="E41" i="108"/>
  <c r="E53" i="108"/>
  <c r="S41" i="108"/>
  <c r="S53" i="108"/>
  <c r="T22" i="110"/>
  <c r="Y28" i="113"/>
  <c r="Y64" i="113" s="1"/>
  <c r="N23" i="113"/>
  <c r="N23" i="95"/>
  <c r="E53" i="101"/>
  <c r="E29" i="101"/>
  <c r="E41" i="101"/>
  <c r="S41" i="101"/>
  <c r="S53" i="101"/>
  <c r="R36" i="113"/>
  <c r="R48" i="113"/>
  <c r="B33" i="113"/>
  <c r="R13" i="107"/>
  <c r="S27" i="107" s="1"/>
  <c r="N13" i="107"/>
  <c r="G15" i="110"/>
  <c r="H14" i="93"/>
  <c r="D40" i="113"/>
  <c r="T34" i="88"/>
  <c r="M17" i="113"/>
  <c r="S35" i="100"/>
  <c r="E35" i="100"/>
  <c r="E23" i="100"/>
  <c r="M17" i="95"/>
  <c r="E47" i="100"/>
  <c r="S47" i="100"/>
  <c r="Q32" i="113"/>
  <c r="Q44" i="113"/>
  <c r="P17" i="113"/>
  <c r="S35" i="103"/>
  <c r="E23" i="103"/>
  <c r="E47" i="103"/>
  <c r="P17" i="95"/>
  <c r="E35" i="103"/>
  <c r="S47" i="103"/>
  <c r="D11" i="92"/>
  <c r="B11" i="92"/>
  <c r="W7" i="92"/>
  <c r="N7" i="92"/>
  <c r="R7" i="92"/>
  <c r="S21" i="92" s="1"/>
  <c r="W16" i="87"/>
  <c r="T21" i="87"/>
  <c r="C27" i="113"/>
  <c r="G15" i="89"/>
  <c r="R35" i="113"/>
  <c r="R47" i="113"/>
  <c r="T23" i="93"/>
  <c r="H29" i="113"/>
  <c r="F34" i="109"/>
  <c r="AA40" i="95"/>
  <c r="F34" i="112"/>
  <c r="N10" i="111"/>
  <c r="R10" i="111"/>
  <c r="S24" i="111" s="1"/>
  <c r="P35" i="113"/>
  <c r="P47" i="113"/>
  <c r="F23" i="88"/>
  <c r="X32" i="113"/>
  <c r="T22" i="102"/>
  <c r="O40" i="113"/>
  <c r="O28" i="113"/>
  <c r="F15" i="94"/>
  <c r="G15" i="94" s="1"/>
  <c r="H15" i="94" s="1"/>
  <c r="I15" i="94" s="1"/>
  <c r="J15" i="94" s="1"/>
  <c r="K15" i="94" s="1"/>
  <c r="S15" i="94" s="1"/>
  <c r="B9" i="92"/>
  <c r="D9" i="92"/>
  <c r="N10" i="89"/>
  <c r="R10" i="89"/>
  <c r="S24" i="89" s="1"/>
  <c r="W42" i="95"/>
  <c r="X23" i="113"/>
  <c r="X23" i="95"/>
  <c r="S41" i="109"/>
  <c r="S53" i="109"/>
  <c r="E41" i="109"/>
  <c r="E53" i="109"/>
  <c r="E29" i="109"/>
  <c r="Y30" i="113"/>
  <c r="V20" i="113"/>
  <c r="E26" i="107"/>
  <c r="V20" i="95"/>
  <c r="S38" i="107"/>
  <c r="E50" i="107"/>
  <c r="E38" i="107"/>
  <c r="S50" i="107"/>
  <c r="N14" i="104"/>
  <c r="R14" i="104"/>
  <c r="S28" i="104" s="1"/>
  <c r="R9" i="89"/>
  <c r="S23" i="89" s="1"/>
  <c r="N9" i="89"/>
  <c r="H14" i="109"/>
  <c r="I14" i="109" s="1"/>
  <c r="J14" i="109" s="1"/>
  <c r="T23" i="88"/>
  <c r="D29" i="113"/>
  <c r="P26" i="97" s="1"/>
  <c r="U35" i="113"/>
  <c r="U47" i="113"/>
  <c r="H41" i="113"/>
  <c r="T35" i="93"/>
  <c r="F46" i="109"/>
  <c r="F47" i="88"/>
  <c r="G13" i="112"/>
  <c r="G11" i="105"/>
  <c r="F11" i="87"/>
  <c r="D52" i="113"/>
  <c r="T46" i="88"/>
  <c r="T22" i="101"/>
  <c r="N28" i="113"/>
  <c r="N40" i="113"/>
  <c r="E15" i="91"/>
  <c r="F15" i="91" s="1"/>
  <c r="G15" i="91" s="1"/>
  <c r="H15" i="91" s="1"/>
  <c r="I15" i="91" s="1"/>
  <c r="J15" i="91" s="1"/>
  <c r="K15" i="91" s="1"/>
  <c r="L15" i="91" s="1"/>
  <c r="N15" i="91" s="1"/>
  <c r="T22" i="99"/>
  <c r="U28" i="113"/>
  <c r="U40" i="113"/>
  <c r="F21" i="94"/>
  <c r="I27" i="95"/>
  <c r="S28" i="95"/>
  <c r="B13" i="92"/>
  <c r="D13" i="92"/>
  <c r="O34" i="113"/>
  <c r="O46" i="113"/>
  <c r="F22" i="107"/>
  <c r="V28" i="95"/>
  <c r="V63" i="95" s="1"/>
  <c r="Z36" i="113"/>
  <c r="G14" i="110"/>
  <c r="W54" i="95"/>
  <c r="Q17" i="113"/>
  <c r="S35" i="104"/>
  <c r="Q17" i="95"/>
  <c r="E47" i="104"/>
  <c r="E35" i="104"/>
  <c r="E23" i="104"/>
  <c r="S47" i="104"/>
  <c r="K14" i="88"/>
  <c r="E16" i="91"/>
  <c r="F16" i="91" s="1"/>
  <c r="G16" i="91" s="1"/>
  <c r="H16" i="91" s="1"/>
  <c r="I16" i="91" s="1"/>
  <c r="J16" i="91" s="1"/>
  <c r="K16" i="91" s="1"/>
  <c r="L16" i="91" s="1"/>
  <c r="M16" i="91" s="1"/>
  <c r="R16" i="91" s="1"/>
  <c r="W14" i="105"/>
  <c r="T22" i="112"/>
  <c r="AA28" i="113"/>
  <c r="AA64" i="113" s="1"/>
  <c r="AA52" i="113"/>
  <c r="H64" i="113"/>
  <c r="T35" i="97" s="1"/>
  <c r="G11" i="102"/>
  <c r="S11" i="102" s="1"/>
  <c r="F35" i="88"/>
  <c r="N31" i="113"/>
  <c r="N43" i="113"/>
  <c r="N11" i="89"/>
  <c r="R11" i="89"/>
  <c r="S25" i="89" s="1"/>
  <c r="N15" i="106"/>
  <c r="R15" i="106"/>
  <c r="S29" i="106" s="1"/>
  <c r="F46" i="104"/>
  <c r="Q28" i="95"/>
  <c r="Q40" i="95"/>
  <c r="W9" i="105"/>
  <c r="W14" i="104"/>
  <c r="M46" i="113"/>
  <c r="M34" i="113"/>
  <c r="N15" i="102"/>
  <c r="R15" i="102"/>
  <c r="S29" i="102" s="1"/>
  <c r="W15" i="102"/>
  <c r="H11" i="106"/>
  <c r="R12" i="108"/>
  <c r="S26" i="108" s="1"/>
  <c r="N12" i="108"/>
  <c r="F10" i="94"/>
  <c r="S10" i="94" s="1"/>
  <c r="H16" i="101"/>
  <c r="N8" i="87"/>
  <c r="G13" i="102"/>
  <c r="D28" i="95"/>
  <c r="F22" i="88"/>
  <c r="W10" i="106"/>
  <c r="F45" i="94"/>
  <c r="I51" i="95"/>
  <c r="F3" i="95"/>
  <c r="R8" i="97" s="1"/>
  <c r="F24" i="32" s="1"/>
  <c r="F3" i="113"/>
  <c r="W10" i="107"/>
  <c r="D10" i="92"/>
  <c r="B10" i="92"/>
  <c r="H30" i="113"/>
  <c r="N4" i="113"/>
  <c r="F34" i="101"/>
  <c r="V8" i="101"/>
  <c r="F46" i="101"/>
  <c r="N4" i="95"/>
  <c r="F22" i="101"/>
  <c r="T46" i="101"/>
  <c r="H13" i="93"/>
  <c r="G16" i="110"/>
  <c r="W31" i="113"/>
  <c r="G11" i="110"/>
  <c r="S11" i="110" s="1"/>
  <c r="W30" i="95"/>
  <c r="Y30" i="95"/>
  <c r="C51" i="95"/>
  <c r="F45" i="87"/>
  <c r="H53" i="113"/>
  <c r="T47" i="93"/>
  <c r="Q23" i="113"/>
  <c r="E29" i="104"/>
  <c r="Q23" i="95"/>
  <c r="S53" i="104"/>
  <c r="E53" i="104"/>
  <c r="S41" i="104"/>
  <c r="E41" i="104"/>
  <c r="T34" i="109"/>
  <c r="AA40" i="113"/>
  <c r="T34" i="112"/>
  <c r="M40" i="95"/>
  <c r="M28" i="95"/>
  <c r="G14" i="99"/>
  <c r="I16" i="113"/>
  <c r="S34" i="94"/>
  <c r="E46" i="94"/>
  <c r="I16" i="95"/>
  <c r="U14" i="97" s="1"/>
  <c r="E22" i="94"/>
  <c r="E34" i="94"/>
  <c r="S46" i="94"/>
  <c r="R9" i="102"/>
  <c r="S23" i="102" s="1"/>
  <c r="N9" i="102"/>
  <c r="D18" i="113"/>
  <c r="S36" i="88"/>
  <c r="U36" i="88" s="1"/>
  <c r="S24" i="88"/>
  <c r="U24" i="88" s="1"/>
  <c r="E48" i="88"/>
  <c r="G48" i="88" s="1"/>
  <c r="D18" i="95"/>
  <c r="P16" i="97" s="1"/>
  <c r="D32" i="32" s="1"/>
  <c r="E24" i="88"/>
  <c r="G24" i="88" s="1"/>
  <c r="E36" i="88"/>
  <c r="G36" i="88" s="1"/>
  <c r="S48" i="88"/>
  <c r="U48" i="88" s="1"/>
  <c r="V8" i="111"/>
  <c r="G12" i="99"/>
  <c r="T22" i="104"/>
  <c r="Q28" i="113"/>
  <c r="Q64" i="113" s="1"/>
  <c r="Q40" i="113"/>
  <c r="N5" i="113" l="1"/>
  <c r="E41" i="90"/>
  <c r="E47" i="95" s="1"/>
  <c r="B41" i="95"/>
  <c r="G22" i="110"/>
  <c r="G24" i="121"/>
  <c r="U36" i="121"/>
  <c r="E36" i="90"/>
  <c r="G23" i="109"/>
  <c r="S30" i="121"/>
  <c r="G37" i="88"/>
  <c r="T36" i="93"/>
  <c r="S40" i="90"/>
  <c r="E46" i="113" s="1"/>
  <c r="G36" i="93"/>
  <c r="G34" i="106"/>
  <c r="E40" i="90"/>
  <c r="E23" i="107"/>
  <c r="G23" i="107" s="1"/>
  <c r="F47" i="80"/>
  <c r="U23" i="103"/>
  <c r="S52" i="113"/>
  <c r="S35" i="107"/>
  <c r="U35" i="107" s="1"/>
  <c r="G34" i="110"/>
  <c r="R13" i="119"/>
  <c r="E27" i="119" s="1"/>
  <c r="U24" i="93"/>
  <c r="T25" i="90"/>
  <c r="G23" i="104"/>
  <c r="S24" i="120"/>
  <c r="T24" i="120" s="1"/>
  <c r="F49" i="88"/>
  <c r="T46" i="110"/>
  <c r="E35" i="108"/>
  <c r="G35" i="108" s="1"/>
  <c r="E22" i="95"/>
  <c r="E22" i="113"/>
  <c r="Y40" i="113"/>
  <c r="T49" i="88"/>
  <c r="E47" i="107"/>
  <c r="G47" i="107" s="1"/>
  <c r="Y40" i="95"/>
  <c r="B53" i="95"/>
  <c r="Q33" i="95"/>
  <c r="G35" i="117"/>
  <c r="F25" i="88"/>
  <c r="S52" i="90"/>
  <c r="E52" i="90"/>
  <c r="E58" i="95" s="1"/>
  <c r="T46" i="106"/>
  <c r="S47" i="107"/>
  <c r="U47" i="107" s="1"/>
  <c r="E35" i="107"/>
  <c r="G35" i="107" s="1"/>
  <c r="V10" i="121"/>
  <c r="E28" i="90"/>
  <c r="E34" i="95" s="1"/>
  <c r="T34" i="110"/>
  <c r="V17" i="95"/>
  <c r="V17" i="113"/>
  <c r="W16" i="109"/>
  <c r="T36" i="103"/>
  <c r="U48" i="103"/>
  <c r="Y52" i="113"/>
  <c r="E23" i="108"/>
  <c r="W29" i="95" s="1"/>
  <c r="W64" i="95" s="1"/>
  <c r="Q63" i="95"/>
  <c r="S47" i="108"/>
  <c r="T47" i="108" s="1"/>
  <c r="E47" i="108"/>
  <c r="F47" i="108" s="1"/>
  <c r="W17" i="95"/>
  <c r="S35" i="108"/>
  <c r="U35" i="108" s="1"/>
  <c r="S50" i="120"/>
  <c r="U11" i="107"/>
  <c r="T49" i="107" s="1"/>
  <c r="F37" i="88"/>
  <c r="F48" i="102"/>
  <c r="S41" i="90"/>
  <c r="E47" i="113" s="1"/>
  <c r="S24" i="90"/>
  <c r="U24" i="90" s="1"/>
  <c r="G35" i="109"/>
  <c r="U23" i="109"/>
  <c r="S41" i="95"/>
  <c r="F35" i="80"/>
  <c r="S42" i="121"/>
  <c r="W14" i="116"/>
  <c r="E29" i="90"/>
  <c r="E35" i="95" s="1"/>
  <c r="U47" i="109"/>
  <c r="V9" i="109"/>
  <c r="U34" i="106"/>
  <c r="D43" i="95"/>
  <c r="S29" i="90"/>
  <c r="E35" i="113" s="1"/>
  <c r="E23" i="113"/>
  <c r="E24" i="90"/>
  <c r="E30" i="95" s="1"/>
  <c r="E18" i="113"/>
  <c r="G47" i="109"/>
  <c r="U35" i="109"/>
  <c r="R16" i="109"/>
  <c r="S30" i="109" s="1"/>
  <c r="G23" i="80"/>
  <c r="U35" i="80"/>
  <c r="E42" i="121"/>
  <c r="S54" i="121"/>
  <c r="S48" i="90"/>
  <c r="U48" i="90" s="1"/>
  <c r="E23" i="95"/>
  <c r="E18" i="95"/>
  <c r="Q16" i="97" s="1"/>
  <c r="E32" i="32" s="1"/>
  <c r="B29" i="95"/>
  <c r="N20" i="97" s="1"/>
  <c r="B36" i="32" s="1"/>
  <c r="X5" i="95"/>
  <c r="B41" i="113"/>
  <c r="M35" i="95"/>
  <c r="U10" i="109"/>
  <c r="T36" i="109" s="1"/>
  <c r="E54" i="121"/>
  <c r="F24" i="103"/>
  <c r="W11" i="117"/>
  <c r="V9" i="101"/>
  <c r="U47" i="80"/>
  <c r="G37" i="107"/>
  <c r="E38" i="120"/>
  <c r="E36" i="120"/>
  <c r="G36" i="120" s="1"/>
  <c r="U23" i="101"/>
  <c r="B53" i="113"/>
  <c r="E24" i="120"/>
  <c r="G24" i="120" s="1"/>
  <c r="S36" i="120"/>
  <c r="U36" i="120" s="1"/>
  <c r="W5" i="113"/>
  <c r="U10" i="101"/>
  <c r="U11" i="101" s="1"/>
  <c r="U25" i="101" s="1"/>
  <c r="U10" i="108"/>
  <c r="U48" i="108" s="1"/>
  <c r="E26" i="120"/>
  <c r="S48" i="120"/>
  <c r="U48" i="120" s="1"/>
  <c r="V9" i="108"/>
  <c r="U23" i="108"/>
  <c r="V6" i="95"/>
  <c r="F36" i="102"/>
  <c r="S51" i="99"/>
  <c r="U57" i="113" s="1"/>
  <c r="T23" i="111"/>
  <c r="U24" i="102"/>
  <c r="O6" i="113"/>
  <c r="O66" i="113" s="1"/>
  <c r="G23" i="106"/>
  <c r="F35" i="106"/>
  <c r="Q5" i="113"/>
  <c r="V9" i="111"/>
  <c r="V9" i="112"/>
  <c r="U48" i="102"/>
  <c r="O6" i="95"/>
  <c r="O65" i="95" s="1"/>
  <c r="G48" i="102"/>
  <c r="F48" i="80"/>
  <c r="U11" i="80"/>
  <c r="B7" i="113" s="1"/>
  <c r="B67" i="113" s="1"/>
  <c r="U37" i="88"/>
  <c r="T48" i="93"/>
  <c r="F48" i="93"/>
  <c r="G48" i="93"/>
  <c r="H6" i="113"/>
  <c r="H66" i="113" s="1"/>
  <c r="U11" i="93"/>
  <c r="T49" i="93" s="1"/>
  <c r="T24" i="93"/>
  <c r="F24" i="93"/>
  <c r="U36" i="93"/>
  <c r="V10" i="93"/>
  <c r="N12" i="119"/>
  <c r="F36" i="93"/>
  <c r="U48" i="93"/>
  <c r="G24" i="93"/>
  <c r="D43" i="113"/>
  <c r="N13" i="119"/>
  <c r="S13" i="118"/>
  <c r="R14" i="116"/>
  <c r="S52" i="116" s="1"/>
  <c r="T14" i="94"/>
  <c r="U25" i="88"/>
  <c r="U47" i="117"/>
  <c r="V11" i="88"/>
  <c r="E36" i="100"/>
  <c r="G22" i="106"/>
  <c r="S40" i="95"/>
  <c r="S48" i="100"/>
  <c r="M54" i="113" s="1"/>
  <c r="V10" i="89"/>
  <c r="F25" i="90"/>
  <c r="U23" i="117"/>
  <c r="G24" i="90"/>
  <c r="E48" i="100"/>
  <c r="M54" i="95" s="1"/>
  <c r="P32" i="95"/>
  <c r="G49" i="88"/>
  <c r="F23" i="106"/>
  <c r="N11" i="117"/>
  <c r="U48" i="121"/>
  <c r="S26" i="120"/>
  <c r="S53" i="90"/>
  <c r="E59" i="113" s="1"/>
  <c r="E48" i="90"/>
  <c r="G48" i="90" s="1"/>
  <c r="E27" i="99"/>
  <c r="U45" i="95" s="1"/>
  <c r="M18" i="95"/>
  <c r="M18" i="113"/>
  <c r="T37" i="88"/>
  <c r="S52" i="95"/>
  <c r="G25" i="88"/>
  <c r="L6" i="95"/>
  <c r="L65" i="95" s="1"/>
  <c r="G46" i="106"/>
  <c r="D7" i="95"/>
  <c r="D66" i="95" s="1"/>
  <c r="G48" i="121"/>
  <c r="U24" i="121"/>
  <c r="W12" i="119"/>
  <c r="S38" i="120"/>
  <c r="T10" i="94"/>
  <c r="E24" i="100"/>
  <c r="M42" i="95" s="1"/>
  <c r="S36" i="100"/>
  <c r="G23" i="108"/>
  <c r="U9" i="94"/>
  <c r="S15" i="119"/>
  <c r="S8" i="92"/>
  <c r="U8" i="92" s="1"/>
  <c r="T9" i="91"/>
  <c r="U9" i="91" s="1"/>
  <c r="F23" i="117"/>
  <c r="S13" i="103"/>
  <c r="T13" i="100"/>
  <c r="U10" i="99"/>
  <c r="U6" i="113" s="1"/>
  <c r="S13" i="101"/>
  <c r="R35" i="95"/>
  <c r="T14" i="103"/>
  <c r="I12" i="90"/>
  <c r="W12" i="90" s="1"/>
  <c r="T12" i="90"/>
  <c r="S25" i="116"/>
  <c r="S49" i="116"/>
  <c r="E37" i="116"/>
  <c r="E49" i="116"/>
  <c r="E25" i="116"/>
  <c r="S37" i="116"/>
  <c r="T12" i="91"/>
  <c r="T15" i="91"/>
  <c r="R13" i="88"/>
  <c r="N13" i="88"/>
  <c r="W13" i="88"/>
  <c r="J13" i="111"/>
  <c r="W13" i="111" s="1"/>
  <c r="T13" i="111"/>
  <c r="S11" i="99"/>
  <c r="F24" i="108"/>
  <c r="H11" i="99"/>
  <c r="W11" i="99" s="1"/>
  <c r="K14" i="109"/>
  <c r="W14" i="109" s="1"/>
  <c r="S14" i="109"/>
  <c r="T14" i="109"/>
  <c r="E51" i="99"/>
  <c r="U57" i="95" s="1"/>
  <c r="F10" i="91"/>
  <c r="T10" i="91" s="1"/>
  <c r="K14" i="94"/>
  <c r="R14" i="94" s="1"/>
  <c r="S28" i="94" s="1"/>
  <c r="S14" i="94"/>
  <c r="G14" i="87"/>
  <c r="H14" i="87" s="1"/>
  <c r="I14" i="87" s="1"/>
  <c r="J14" i="87" s="1"/>
  <c r="T14" i="87" s="1"/>
  <c r="U37" i="90"/>
  <c r="S7" i="96"/>
  <c r="L15" i="118"/>
  <c r="W15" i="118" s="1"/>
  <c r="S15" i="118"/>
  <c r="T12" i="93"/>
  <c r="S12" i="93"/>
  <c r="R11" i="120"/>
  <c r="N11" i="120"/>
  <c r="E24" i="95"/>
  <c r="S42" i="90"/>
  <c r="E48" i="113" s="1"/>
  <c r="E54" i="90"/>
  <c r="E60" i="95" s="1"/>
  <c r="E42" i="90"/>
  <c r="E48" i="95" s="1"/>
  <c r="E24" i="113"/>
  <c r="E30" i="90"/>
  <c r="E36" i="95" s="1"/>
  <c r="S30" i="90"/>
  <c r="E36" i="113" s="1"/>
  <c r="S54" i="90"/>
  <c r="E60" i="113" s="1"/>
  <c r="J13" i="101"/>
  <c r="T13" i="101"/>
  <c r="S12" i="91"/>
  <c r="H16" i="112"/>
  <c r="S39" i="99"/>
  <c r="AA63" i="95"/>
  <c r="I12" i="100"/>
  <c r="W12" i="100" s="1"/>
  <c r="T12" i="100"/>
  <c r="S12" i="100"/>
  <c r="U22" i="94"/>
  <c r="M16" i="94"/>
  <c r="W16" i="94" s="1"/>
  <c r="S16" i="94"/>
  <c r="T16" i="94"/>
  <c r="T13" i="90"/>
  <c r="S13" i="90"/>
  <c r="K14" i="121"/>
  <c r="R14" i="121" s="1"/>
  <c r="T14" i="121"/>
  <c r="S14" i="121"/>
  <c r="T35" i="116"/>
  <c r="H11" i="115"/>
  <c r="N11" i="115" s="1"/>
  <c r="T11" i="115"/>
  <c r="S11" i="115"/>
  <c r="L15" i="107"/>
  <c r="W15" i="107" s="1"/>
  <c r="S15" i="107"/>
  <c r="T15" i="107"/>
  <c r="T16" i="116"/>
  <c r="S16" i="116"/>
  <c r="L15" i="119"/>
  <c r="T15" i="119"/>
  <c r="N10" i="119"/>
  <c r="W10" i="119"/>
  <c r="R10" i="119"/>
  <c r="J13" i="118"/>
  <c r="T13" i="118"/>
  <c r="S16" i="91"/>
  <c r="R10" i="117"/>
  <c r="N10" i="117"/>
  <c r="W10" i="117"/>
  <c r="V10" i="117" s="1"/>
  <c r="T16" i="91"/>
  <c r="T12" i="111"/>
  <c r="S12" i="111"/>
  <c r="I12" i="118"/>
  <c r="W12" i="118" s="1"/>
  <c r="S12" i="118"/>
  <c r="J13" i="121"/>
  <c r="N13" i="121" s="1"/>
  <c r="S13" i="121"/>
  <c r="T13" i="121"/>
  <c r="T11" i="105"/>
  <c r="S11" i="105"/>
  <c r="E39" i="99"/>
  <c r="S16" i="88"/>
  <c r="T16" i="88"/>
  <c r="F14" i="91"/>
  <c r="G14" i="91" s="1"/>
  <c r="H14" i="91" s="1"/>
  <c r="I14" i="91" s="1"/>
  <c r="J14" i="91" s="1"/>
  <c r="S14" i="91" s="1"/>
  <c r="V9" i="106"/>
  <c r="T7" i="96"/>
  <c r="J13" i="87"/>
  <c r="R13" i="87" s="1"/>
  <c r="E27" i="87" s="1"/>
  <c r="S13" i="87"/>
  <c r="G10" i="87"/>
  <c r="S10" i="87"/>
  <c r="U10" i="87" s="1"/>
  <c r="C6" i="113" s="1"/>
  <c r="T10" i="115"/>
  <c r="S10" i="115"/>
  <c r="K14" i="120"/>
  <c r="N14" i="120" s="1"/>
  <c r="T14" i="120"/>
  <c r="S14" i="120"/>
  <c r="I12" i="87"/>
  <c r="N12" i="87" s="1"/>
  <c r="S12" i="87"/>
  <c r="K14" i="107"/>
  <c r="N14" i="107" s="1"/>
  <c r="T14" i="107"/>
  <c r="S14" i="107"/>
  <c r="N16" i="120"/>
  <c r="W16" i="120"/>
  <c r="R16" i="120"/>
  <c r="K14" i="103"/>
  <c r="S14" i="103"/>
  <c r="S12" i="90"/>
  <c r="J13" i="103"/>
  <c r="T13" i="103"/>
  <c r="J13" i="100"/>
  <c r="S13" i="100"/>
  <c r="W11" i="120"/>
  <c r="V11" i="120" s="1"/>
  <c r="T11" i="102"/>
  <c r="U11" i="102" s="1"/>
  <c r="U12" i="102" s="1"/>
  <c r="S13" i="111"/>
  <c r="T15" i="118"/>
  <c r="T15" i="94"/>
  <c r="T11" i="110"/>
  <c r="U11" i="110" s="1"/>
  <c r="U12" i="110" s="1"/>
  <c r="S12" i="101"/>
  <c r="S15" i="91"/>
  <c r="U48" i="80"/>
  <c r="W9" i="87"/>
  <c r="V9" i="87" s="1"/>
  <c r="U36" i="90"/>
  <c r="T35" i="111"/>
  <c r="G47" i="111"/>
  <c r="T49" i="90"/>
  <c r="V11" i="90"/>
  <c r="U36" i="109"/>
  <c r="V10" i="109"/>
  <c r="F24" i="80"/>
  <c r="F47" i="111"/>
  <c r="Z5" i="113"/>
  <c r="Z65" i="113" s="1"/>
  <c r="F23" i="111"/>
  <c r="G35" i="111"/>
  <c r="E7" i="95"/>
  <c r="E66" i="95" s="1"/>
  <c r="G24" i="109"/>
  <c r="F24" i="109"/>
  <c r="X6" i="113"/>
  <c r="X66" i="113" s="1"/>
  <c r="E6" i="95"/>
  <c r="Q11" i="97" s="1"/>
  <c r="E27" i="32" s="1"/>
  <c r="U36" i="80"/>
  <c r="T24" i="80"/>
  <c r="U47" i="104"/>
  <c r="G36" i="90"/>
  <c r="W15" i="93"/>
  <c r="F35" i="111"/>
  <c r="X6" i="95"/>
  <c r="X65" i="95" s="1"/>
  <c r="F36" i="109"/>
  <c r="F36" i="80"/>
  <c r="V10" i="90"/>
  <c r="G48" i="109"/>
  <c r="T36" i="120"/>
  <c r="U11" i="121"/>
  <c r="U12" i="121" s="1"/>
  <c r="F47" i="116"/>
  <c r="F23" i="116"/>
  <c r="G48" i="120"/>
  <c r="F48" i="120"/>
  <c r="M5" i="113"/>
  <c r="U10" i="100"/>
  <c r="T24" i="100" s="1"/>
  <c r="F37" i="107"/>
  <c r="U10" i="112"/>
  <c r="G36" i="112" s="1"/>
  <c r="AA5" i="113"/>
  <c r="AA5" i="95"/>
  <c r="G24" i="102"/>
  <c r="V10" i="102"/>
  <c r="T48" i="102"/>
  <c r="T36" i="102"/>
  <c r="G36" i="102"/>
  <c r="F24" i="102"/>
  <c r="U36" i="102"/>
  <c r="G15" i="115"/>
  <c r="H15" i="115" s="1"/>
  <c r="I15" i="115" s="1"/>
  <c r="J15" i="115" s="1"/>
  <c r="K15" i="115" s="1"/>
  <c r="V55" i="95"/>
  <c r="U25" i="90"/>
  <c r="F49" i="90"/>
  <c r="F37" i="90"/>
  <c r="G25" i="90"/>
  <c r="E7" i="113"/>
  <c r="E67" i="113" s="1"/>
  <c r="U49" i="90"/>
  <c r="G49" i="90"/>
  <c r="T37" i="90"/>
  <c r="U23" i="106"/>
  <c r="U35" i="106"/>
  <c r="T35" i="106"/>
  <c r="F47" i="106"/>
  <c r="U47" i="106"/>
  <c r="G35" i="106"/>
  <c r="T47" i="106"/>
  <c r="T23" i="106"/>
  <c r="S5" i="95"/>
  <c r="S64" i="95" s="1"/>
  <c r="G47" i="106"/>
  <c r="T48" i="103"/>
  <c r="V10" i="103"/>
  <c r="P6" i="95"/>
  <c r="P65" i="95" s="1"/>
  <c r="U24" i="103"/>
  <c r="F48" i="103"/>
  <c r="T24" i="103"/>
  <c r="G36" i="103"/>
  <c r="F36" i="103"/>
  <c r="U36" i="103"/>
  <c r="G48" i="103"/>
  <c r="U48" i="118"/>
  <c r="U36" i="118"/>
  <c r="G36" i="118"/>
  <c r="G24" i="118"/>
  <c r="U24" i="118"/>
  <c r="V10" i="107"/>
  <c r="U24" i="89"/>
  <c r="U23" i="112"/>
  <c r="U23" i="104"/>
  <c r="G24" i="80"/>
  <c r="U24" i="80"/>
  <c r="V9" i="118"/>
  <c r="R15" i="93"/>
  <c r="S29" i="93" s="1"/>
  <c r="G47" i="104"/>
  <c r="U21" i="95"/>
  <c r="U21" i="113"/>
  <c r="O64" i="113"/>
  <c r="T25" i="88"/>
  <c r="T47" i="111"/>
  <c r="Z5" i="95"/>
  <c r="Z64" i="95" s="1"/>
  <c r="U24" i="107"/>
  <c r="U35" i="111"/>
  <c r="U47" i="111"/>
  <c r="R9" i="87"/>
  <c r="E23" i="87" s="1"/>
  <c r="C29" i="95" s="1"/>
  <c r="O20" i="97" s="1"/>
  <c r="C36" i="32" s="1"/>
  <c r="E26" i="112"/>
  <c r="AA32" i="95" s="1"/>
  <c r="E6" i="113"/>
  <c r="B6" i="95"/>
  <c r="N11" i="97" s="1"/>
  <c r="N41" i="97" s="1"/>
  <c r="V9" i="104"/>
  <c r="B6" i="113"/>
  <c r="B66" i="113" s="1"/>
  <c r="G36" i="121"/>
  <c r="S34" i="95"/>
  <c r="S46" i="95"/>
  <c r="U10" i="111"/>
  <c r="V10" i="111" s="1"/>
  <c r="U23" i="111"/>
  <c r="T47" i="116"/>
  <c r="F35" i="116"/>
  <c r="Q6" i="113"/>
  <c r="Q66" i="113" s="1"/>
  <c r="T48" i="104"/>
  <c r="U36" i="104"/>
  <c r="Q6" i="95"/>
  <c r="Q65" i="95" s="1"/>
  <c r="T24" i="104"/>
  <c r="G36" i="104"/>
  <c r="T36" i="104"/>
  <c r="G48" i="104"/>
  <c r="U11" i="104"/>
  <c r="U48" i="104"/>
  <c r="V10" i="104"/>
  <c r="F24" i="104"/>
  <c r="F48" i="104"/>
  <c r="U24" i="104"/>
  <c r="G24" i="104"/>
  <c r="F36" i="104"/>
  <c r="Q5" i="95"/>
  <c r="F49" i="80"/>
  <c r="G36" i="80"/>
  <c r="T48" i="80"/>
  <c r="V10" i="80"/>
  <c r="T36" i="80"/>
  <c r="U24" i="110"/>
  <c r="U11" i="109"/>
  <c r="U12" i="109" s="1"/>
  <c r="U24" i="109"/>
  <c r="U47" i="121"/>
  <c r="T47" i="121"/>
  <c r="U35" i="121"/>
  <c r="T35" i="121"/>
  <c r="U11" i="103"/>
  <c r="G49" i="103" s="1"/>
  <c r="G24" i="103"/>
  <c r="N11" i="121"/>
  <c r="R11" i="121"/>
  <c r="G34" i="117"/>
  <c r="F34" i="117"/>
  <c r="G13" i="115"/>
  <c r="H13" i="115" s="1"/>
  <c r="I13" i="115" s="1"/>
  <c r="G10" i="115"/>
  <c r="W10" i="115" s="1"/>
  <c r="U12" i="120"/>
  <c r="F24" i="121"/>
  <c r="T48" i="121"/>
  <c r="H16" i="118"/>
  <c r="G16" i="115"/>
  <c r="N10" i="105"/>
  <c r="R10" i="105"/>
  <c r="W10" i="105"/>
  <c r="G37" i="90"/>
  <c r="G35" i="121"/>
  <c r="F35" i="121"/>
  <c r="E46" i="115"/>
  <c r="S46" i="115"/>
  <c r="E34" i="115"/>
  <c r="S22" i="115"/>
  <c r="E22" i="115"/>
  <c r="S34" i="115"/>
  <c r="G14" i="115"/>
  <c r="G46" i="117"/>
  <c r="F46" i="117"/>
  <c r="E50" i="115"/>
  <c r="S38" i="115"/>
  <c r="S26" i="115"/>
  <c r="S50" i="115"/>
  <c r="E38" i="115"/>
  <c r="E26" i="115"/>
  <c r="I15" i="120"/>
  <c r="F48" i="121"/>
  <c r="V9" i="119"/>
  <c r="U10" i="119"/>
  <c r="U11" i="89"/>
  <c r="U12" i="89" s="1"/>
  <c r="T50" i="89" s="1"/>
  <c r="U23" i="121"/>
  <c r="T23" i="121"/>
  <c r="S25" i="117"/>
  <c r="E37" i="117"/>
  <c r="E25" i="117"/>
  <c r="S49" i="117"/>
  <c r="E49" i="117"/>
  <c r="S37" i="117"/>
  <c r="U11" i="116"/>
  <c r="V10" i="116"/>
  <c r="F36" i="116"/>
  <c r="F48" i="116"/>
  <c r="F24" i="116"/>
  <c r="T24" i="116"/>
  <c r="T48" i="116"/>
  <c r="T36" i="116"/>
  <c r="G36" i="116"/>
  <c r="U48" i="116"/>
  <c r="G24" i="116"/>
  <c r="G48" i="116"/>
  <c r="U36" i="116"/>
  <c r="U24" i="116"/>
  <c r="T23" i="116"/>
  <c r="H13" i="117"/>
  <c r="U34" i="117"/>
  <c r="T34" i="117"/>
  <c r="U46" i="117"/>
  <c r="T46" i="117"/>
  <c r="S35" i="118"/>
  <c r="S23" i="118"/>
  <c r="E35" i="118"/>
  <c r="E47" i="118"/>
  <c r="E23" i="118"/>
  <c r="S47" i="118"/>
  <c r="S35" i="119"/>
  <c r="U35" i="119" s="1"/>
  <c r="E47" i="119"/>
  <c r="G47" i="119" s="1"/>
  <c r="S23" i="119"/>
  <c r="U23" i="119" s="1"/>
  <c r="E35" i="119"/>
  <c r="G35" i="119" s="1"/>
  <c r="S47" i="119"/>
  <c r="U47" i="119" s="1"/>
  <c r="E23" i="119"/>
  <c r="G23" i="119" s="1"/>
  <c r="I12" i="93"/>
  <c r="M16" i="116"/>
  <c r="F36" i="121"/>
  <c r="U9" i="115"/>
  <c r="U11" i="118"/>
  <c r="G25" i="118" s="1"/>
  <c r="V10" i="118"/>
  <c r="T36" i="118"/>
  <c r="F48" i="118"/>
  <c r="T48" i="118"/>
  <c r="F36" i="118"/>
  <c r="T24" i="118"/>
  <c r="F24" i="118"/>
  <c r="G48" i="118"/>
  <c r="U11" i="117"/>
  <c r="U12" i="88"/>
  <c r="U26" i="88" s="1"/>
  <c r="D7" i="113"/>
  <c r="D67" i="113" s="1"/>
  <c r="G23" i="121"/>
  <c r="F23" i="121"/>
  <c r="G47" i="121"/>
  <c r="F47" i="121"/>
  <c r="I13" i="116"/>
  <c r="W11" i="121"/>
  <c r="H14" i="118"/>
  <c r="U22" i="117"/>
  <c r="T22" i="117"/>
  <c r="G22" i="117"/>
  <c r="F22" i="117"/>
  <c r="S26" i="119"/>
  <c r="S38" i="119"/>
  <c r="E26" i="119"/>
  <c r="S50" i="119"/>
  <c r="E38" i="119"/>
  <c r="E50" i="119"/>
  <c r="T24" i="121"/>
  <c r="T36" i="121"/>
  <c r="N9" i="115"/>
  <c r="R9" i="115"/>
  <c r="U10" i="105"/>
  <c r="U10" i="106"/>
  <c r="U24" i="106" s="1"/>
  <c r="B48" i="113"/>
  <c r="AA20" i="113"/>
  <c r="S38" i="112"/>
  <c r="AA44" i="113" s="1"/>
  <c r="S50" i="112"/>
  <c r="AA20" i="95"/>
  <c r="AA32" i="113"/>
  <c r="J13" i="90"/>
  <c r="R13" i="90" s="1"/>
  <c r="E50" i="112"/>
  <c r="E38" i="112"/>
  <c r="AA44" i="95" s="1"/>
  <c r="M16" i="88"/>
  <c r="N16" i="88" s="1"/>
  <c r="I12" i="111"/>
  <c r="W12" i="111" s="1"/>
  <c r="I16" i="100"/>
  <c r="I12" i="101"/>
  <c r="I15" i="111"/>
  <c r="J15" i="111" s="1"/>
  <c r="K15" i="111" s="1"/>
  <c r="D7" i="96"/>
  <c r="C9" i="96"/>
  <c r="C13" i="96"/>
  <c r="C14" i="96"/>
  <c r="C12" i="96"/>
  <c r="C16" i="96"/>
  <c r="C11" i="96"/>
  <c r="C15" i="96"/>
  <c r="C10" i="96"/>
  <c r="C8" i="96"/>
  <c r="AA42" i="95"/>
  <c r="P5" i="113"/>
  <c r="G23" i="103"/>
  <c r="G35" i="103"/>
  <c r="P5" i="95"/>
  <c r="V9" i="103"/>
  <c r="F47" i="103"/>
  <c r="P35" i="95"/>
  <c r="W40" i="113"/>
  <c r="G22" i="94"/>
  <c r="U52" i="113"/>
  <c r="Y63" i="95"/>
  <c r="T34" i="108"/>
  <c r="I4" i="95"/>
  <c r="U9" i="97" s="1"/>
  <c r="W52" i="113"/>
  <c r="U64" i="113"/>
  <c r="Q32" i="95"/>
  <c r="R48" i="95"/>
  <c r="T46" i="108"/>
  <c r="E64" i="113"/>
  <c r="Q35" i="97" s="1"/>
  <c r="O52" i="113"/>
  <c r="G34" i="108"/>
  <c r="F34" i="108"/>
  <c r="U46" i="94"/>
  <c r="G46" i="94"/>
  <c r="F46" i="108"/>
  <c r="G46" i="108"/>
  <c r="V8" i="94"/>
  <c r="G34" i="94"/>
  <c r="U34" i="94"/>
  <c r="I4" i="113"/>
  <c r="T46" i="99"/>
  <c r="AA54" i="95"/>
  <c r="AA30" i="95"/>
  <c r="AA42" i="113"/>
  <c r="T25" i="101"/>
  <c r="F23" i="99"/>
  <c r="F25" i="101"/>
  <c r="R36" i="95"/>
  <c r="G47" i="99"/>
  <c r="F22" i="108"/>
  <c r="G35" i="99"/>
  <c r="S63" i="95"/>
  <c r="U47" i="99"/>
  <c r="U5" i="95"/>
  <c r="U64" i="95" s="1"/>
  <c r="G22" i="108"/>
  <c r="T47" i="99"/>
  <c r="U5" i="113"/>
  <c r="U65" i="113" s="1"/>
  <c r="T23" i="99"/>
  <c r="U35" i="99"/>
  <c r="V9" i="99"/>
  <c r="F35" i="99"/>
  <c r="G23" i="99"/>
  <c r="F47" i="99"/>
  <c r="T35" i="99"/>
  <c r="Z6" i="113"/>
  <c r="S64" i="113"/>
  <c r="M34" i="95"/>
  <c r="U36" i="95"/>
  <c r="U40" i="95"/>
  <c r="U48" i="95"/>
  <c r="S48" i="95"/>
  <c r="N8" i="91"/>
  <c r="T46" i="102"/>
  <c r="Q44" i="95"/>
  <c r="U47" i="100"/>
  <c r="G47" i="100"/>
  <c r="G23" i="100"/>
  <c r="G34" i="99"/>
  <c r="D64" i="95"/>
  <c r="P30" i="97" s="1"/>
  <c r="D41" i="32" s="1"/>
  <c r="N63" i="95"/>
  <c r="U34" i="99"/>
  <c r="F24" i="110"/>
  <c r="R12" i="91"/>
  <c r="S26" i="91" s="1"/>
  <c r="F46" i="99"/>
  <c r="U23" i="100"/>
  <c r="U52" i="95"/>
  <c r="I63" i="113"/>
  <c r="U34" i="97" s="1"/>
  <c r="F46" i="102"/>
  <c r="U23" i="89"/>
  <c r="O52" i="95"/>
  <c r="V9" i="100"/>
  <c r="T41" i="97"/>
  <c r="U28" i="95"/>
  <c r="U63" i="95" s="1"/>
  <c r="F22" i="99"/>
  <c r="F23" i="103"/>
  <c r="P40" i="97"/>
  <c r="P46" i="97"/>
  <c r="T24" i="110"/>
  <c r="N40" i="97"/>
  <c r="N46" i="97"/>
  <c r="V10" i="110"/>
  <c r="F35" i="103"/>
  <c r="M5" i="95"/>
  <c r="H65" i="95"/>
  <c r="T31" i="97" s="1"/>
  <c r="N64" i="113"/>
  <c r="R8" i="91"/>
  <c r="S22" i="91" s="1"/>
  <c r="W12" i="91"/>
  <c r="O40" i="95"/>
  <c r="U23" i="102"/>
  <c r="V44" i="113"/>
  <c r="V44" i="95"/>
  <c r="T35" i="103"/>
  <c r="U35" i="103"/>
  <c r="F35" i="104"/>
  <c r="G35" i="104"/>
  <c r="V56" i="95"/>
  <c r="X59" i="95"/>
  <c r="T35" i="100"/>
  <c r="U35" i="100"/>
  <c r="T34" i="103"/>
  <c r="U34" i="103"/>
  <c r="Y44" i="113"/>
  <c r="U23" i="110"/>
  <c r="C59" i="113"/>
  <c r="S57" i="113"/>
  <c r="E59" i="95"/>
  <c r="X59" i="113"/>
  <c r="P53" i="113"/>
  <c r="U47" i="103"/>
  <c r="L57" i="113"/>
  <c r="F34" i="102"/>
  <c r="G34" i="102"/>
  <c r="U48" i="110"/>
  <c r="L56" i="95"/>
  <c r="T35" i="104"/>
  <c r="U35" i="104"/>
  <c r="X47" i="113"/>
  <c r="W59" i="113"/>
  <c r="O56" i="113"/>
  <c r="S57" i="95"/>
  <c r="L57" i="95"/>
  <c r="C52" i="113"/>
  <c r="U46" i="87"/>
  <c r="C47" i="95"/>
  <c r="L56" i="113"/>
  <c r="C40" i="113"/>
  <c r="U34" i="87"/>
  <c r="C47" i="113"/>
  <c r="W47" i="113"/>
  <c r="C28" i="95"/>
  <c r="O19" i="97" s="1"/>
  <c r="C35" i="32" s="1"/>
  <c r="G22" i="87"/>
  <c r="F34" i="105"/>
  <c r="G34" i="105"/>
  <c r="Y56" i="113"/>
  <c r="C35" i="95"/>
  <c r="G24" i="110"/>
  <c r="X47" i="95"/>
  <c r="U21" i="92"/>
  <c r="P53" i="95"/>
  <c r="G47" i="103"/>
  <c r="W59" i="95"/>
  <c r="F22" i="102"/>
  <c r="P60" i="95"/>
  <c r="C52" i="95"/>
  <c r="G46" i="87"/>
  <c r="W63" i="95"/>
  <c r="T34" i="105"/>
  <c r="U34" i="105"/>
  <c r="M55" i="113"/>
  <c r="Y32" i="95"/>
  <c r="G36" i="110"/>
  <c r="W16" i="91"/>
  <c r="V56" i="113"/>
  <c r="W47" i="95"/>
  <c r="O56" i="95"/>
  <c r="F34" i="103"/>
  <c r="G34" i="103"/>
  <c r="U23" i="105"/>
  <c r="Q60" i="95"/>
  <c r="F34" i="89"/>
  <c r="G34" i="89"/>
  <c r="L45" i="95"/>
  <c r="O28" i="95"/>
  <c r="O63" i="95" s="1"/>
  <c r="P60" i="113"/>
  <c r="M55" i="95"/>
  <c r="Y56" i="95"/>
  <c r="C59" i="95"/>
  <c r="T34" i="102"/>
  <c r="U34" i="102"/>
  <c r="Q60" i="113"/>
  <c r="X35" i="95"/>
  <c r="F35" i="100"/>
  <c r="G35" i="100"/>
  <c r="W35" i="95"/>
  <c r="T34" i="89"/>
  <c r="U34" i="89"/>
  <c r="C40" i="95"/>
  <c r="G34" i="87"/>
  <c r="L44" i="95"/>
  <c r="U36" i="110"/>
  <c r="G48" i="110"/>
  <c r="T24" i="88"/>
  <c r="D30" i="113"/>
  <c r="D66" i="113" s="1"/>
  <c r="H14" i="99"/>
  <c r="I14" i="99" s="1"/>
  <c r="J14" i="99" s="1"/>
  <c r="D42" i="113"/>
  <c r="T36" i="88"/>
  <c r="I28" i="95"/>
  <c r="F22" i="94"/>
  <c r="Q35" i="113"/>
  <c r="Q47" i="113"/>
  <c r="H11" i="110"/>
  <c r="Y5" i="113"/>
  <c r="Y5" i="95"/>
  <c r="V9" i="110"/>
  <c r="L19" i="113"/>
  <c r="S37" i="89"/>
  <c r="E49" i="89"/>
  <c r="E37" i="89"/>
  <c r="E25" i="89"/>
  <c r="L19" i="95"/>
  <c r="S49" i="89"/>
  <c r="F24" i="113"/>
  <c r="F24" i="95"/>
  <c r="E30" i="91"/>
  <c r="E54" i="91"/>
  <c r="E42" i="91"/>
  <c r="S54" i="91"/>
  <c r="S42" i="91"/>
  <c r="S30" i="91"/>
  <c r="Q53" i="113"/>
  <c r="T47" i="104"/>
  <c r="Q22" i="113"/>
  <c r="S40" i="104"/>
  <c r="E28" i="104"/>
  <c r="Q22" i="95"/>
  <c r="E52" i="104"/>
  <c r="S52" i="104"/>
  <c r="E40" i="104"/>
  <c r="F24" i="90"/>
  <c r="Z18" i="113"/>
  <c r="S36" i="111"/>
  <c r="Z18" i="95"/>
  <c r="E24" i="111"/>
  <c r="G24" i="111" s="1"/>
  <c r="E36" i="111"/>
  <c r="E48" i="111"/>
  <c r="S48" i="111"/>
  <c r="M53" i="113"/>
  <c r="T47" i="100"/>
  <c r="I14" i="93"/>
  <c r="N59" i="113"/>
  <c r="W35" i="113"/>
  <c r="T22" i="103"/>
  <c r="P40" i="113"/>
  <c r="P28" i="113"/>
  <c r="P64" i="113" s="1"/>
  <c r="T23" i="109"/>
  <c r="X29" i="113"/>
  <c r="X65" i="113" s="1"/>
  <c r="D56" i="95"/>
  <c r="Y6" i="113"/>
  <c r="Y66" i="113" s="1"/>
  <c r="T36" i="110"/>
  <c r="Y6" i="95"/>
  <c r="Y65" i="95" s="1"/>
  <c r="F48" i="110"/>
  <c r="F36" i="110"/>
  <c r="T48" i="110"/>
  <c r="H13" i="110"/>
  <c r="P48" i="113"/>
  <c r="P36" i="113"/>
  <c r="E54" i="109"/>
  <c r="E30" i="109"/>
  <c r="E42" i="109"/>
  <c r="R52" i="113"/>
  <c r="T46" i="105"/>
  <c r="I21" i="113"/>
  <c r="S39" i="94"/>
  <c r="E27" i="94"/>
  <c r="I21" i="95"/>
  <c r="E51" i="94"/>
  <c r="E39" i="94"/>
  <c r="S51" i="94"/>
  <c r="T21" i="91"/>
  <c r="F27" i="113"/>
  <c r="R24" i="97" s="1"/>
  <c r="R44" i="97" s="1"/>
  <c r="AA17" i="113"/>
  <c r="S35" i="112"/>
  <c r="U35" i="112" s="1"/>
  <c r="AA17" i="95"/>
  <c r="E23" i="112"/>
  <c r="G23" i="112" s="1"/>
  <c r="E47" i="112"/>
  <c r="E35" i="112"/>
  <c r="G35" i="112" s="1"/>
  <c r="S47" i="112"/>
  <c r="O9" i="97"/>
  <c r="C25" i="32" s="1"/>
  <c r="H13" i="102"/>
  <c r="I16" i="101"/>
  <c r="J16" i="101" s="1"/>
  <c r="K16" i="101" s="1"/>
  <c r="L16" i="101" s="1"/>
  <c r="W20" i="113"/>
  <c r="E26" i="108"/>
  <c r="W20" i="95"/>
  <c r="S38" i="108"/>
  <c r="E38" i="108"/>
  <c r="E50" i="108"/>
  <c r="S50" i="108"/>
  <c r="Q41" i="95"/>
  <c r="Q29" i="95"/>
  <c r="F23" i="104"/>
  <c r="W15" i="91"/>
  <c r="H11" i="105"/>
  <c r="E46" i="95"/>
  <c r="H13" i="112"/>
  <c r="I13" i="112" s="1"/>
  <c r="V32" i="95"/>
  <c r="P29" i="95"/>
  <c r="P41" i="95"/>
  <c r="M53" i="95"/>
  <c r="F47" i="100"/>
  <c r="AA22" i="113"/>
  <c r="AA22" i="95"/>
  <c r="S40" i="112"/>
  <c r="E40" i="112"/>
  <c r="E28" i="112"/>
  <c r="S52" i="112"/>
  <c r="E52" i="112"/>
  <c r="E41" i="95"/>
  <c r="F35" i="90"/>
  <c r="E14" i="92"/>
  <c r="S20" i="113"/>
  <c r="E38" i="106"/>
  <c r="E26" i="106"/>
  <c r="S38" i="106"/>
  <c r="S20" i="95"/>
  <c r="E50" i="106"/>
  <c r="S50" i="106"/>
  <c r="Q36" i="113"/>
  <c r="Q48" i="113"/>
  <c r="D44" i="95"/>
  <c r="L52" i="113"/>
  <c r="T46" i="89"/>
  <c r="F9" i="91"/>
  <c r="L5" i="113"/>
  <c r="L5" i="95"/>
  <c r="L64" i="95" s="1"/>
  <c r="R52" i="95"/>
  <c r="F46" i="105"/>
  <c r="N17" i="113"/>
  <c r="S35" i="101"/>
  <c r="E23" i="101"/>
  <c r="G23" i="101" s="1"/>
  <c r="E35" i="101"/>
  <c r="E47" i="101"/>
  <c r="G47" i="101" s="1"/>
  <c r="N17" i="95"/>
  <c r="S47" i="101"/>
  <c r="U47" i="101" s="1"/>
  <c r="E35" i="110"/>
  <c r="Y17" i="113"/>
  <c r="S35" i="110"/>
  <c r="E47" i="110"/>
  <c r="Y17" i="95"/>
  <c r="E23" i="110"/>
  <c r="G23" i="110" s="1"/>
  <c r="S47" i="110"/>
  <c r="B65" i="113"/>
  <c r="N36" i="97" s="1"/>
  <c r="F46" i="87"/>
  <c r="E10" i="92"/>
  <c r="H11" i="102"/>
  <c r="E34" i="113"/>
  <c r="N16" i="91"/>
  <c r="L18" i="113"/>
  <c r="S36" i="89"/>
  <c r="L18" i="95"/>
  <c r="E48" i="89"/>
  <c r="G48" i="89" s="1"/>
  <c r="E24" i="89"/>
  <c r="G24" i="89" s="1"/>
  <c r="E36" i="89"/>
  <c r="S48" i="89"/>
  <c r="U48" i="89" s="1"/>
  <c r="G3" i="95"/>
  <c r="S8" i="97" s="1"/>
  <c r="G24" i="32" s="1"/>
  <c r="G3" i="113"/>
  <c r="V7" i="92"/>
  <c r="T23" i="103"/>
  <c r="P41" i="113"/>
  <c r="P29" i="113"/>
  <c r="E29" i="95"/>
  <c r="F23" i="90"/>
  <c r="X53" i="113"/>
  <c r="T47" i="109"/>
  <c r="Q36" i="95"/>
  <c r="Q48" i="95"/>
  <c r="G11" i="94"/>
  <c r="D32" i="95"/>
  <c r="S45" i="113"/>
  <c r="S33" i="113"/>
  <c r="M63" i="95"/>
  <c r="L40" i="95"/>
  <c r="F22" i="89"/>
  <c r="R11" i="111"/>
  <c r="S25" i="111" s="1"/>
  <c r="N11" i="111"/>
  <c r="W11" i="111"/>
  <c r="W64" i="113"/>
  <c r="R40" i="95"/>
  <c r="R28" i="95"/>
  <c r="R63" i="95" s="1"/>
  <c r="F22" i="105"/>
  <c r="Y32" i="113"/>
  <c r="T33" i="91"/>
  <c r="F39" i="113"/>
  <c r="D54" i="113"/>
  <c r="T48" i="88"/>
  <c r="D42" i="95"/>
  <c r="F36" i="88"/>
  <c r="O17" i="113"/>
  <c r="S35" i="102"/>
  <c r="E23" i="102"/>
  <c r="G23" i="102" s="1"/>
  <c r="E47" i="102"/>
  <c r="F47" i="102" s="1"/>
  <c r="O17" i="95"/>
  <c r="E35" i="102"/>
  <c r="S47" i="102"/>
  <c r="T22" i="94"/>
  <c r="I28" i="113"/>
  <c r="Q59" i="95"/>
  <c r="H16" i="110"/>
  <c r="O23" i="113"/>
  <c r="O23" i="95"/>
  <c r="E29" i="102"/>
  <c r="S41" i="102"/>
  <c r="S53" i="102"/>
  <c r="E53" i="102"/>
  <c r="E41" i="102"/>
  <c r="Q53" i="95"/>
  <c r="F47" i="104"/>
  <c r="E42" i="95"/>
  <c r="F36" i="90"/>
  <c r="E9" i="92"/>
  <c r="F9" i="92" s="1"/>
  <c r="R9" i="92" s="1"/>
  <c r="S23" i="92" s="1"/>
  <c r="R15" i="91"/>
  <c r="E11" i="92"/>
  <c r="F11" i="92" s="1"/>
  <c r="G11" i="92" s="1"/>
  <c r="T11" i="92" s="1"/>
  <c r="M41" i="95"/>
  <c r="M29" i="95"/>
  <c r="F23" i="100"/>
  <c r="H15" i="110"/>
  <c r="N47" i="113"/>
  <c r="N35" i="113"/>
  <c r="T20" i="97"/>
  <c r="T40" i="97" s="1"/>
  <c r="H64" i="95"/>
  <c r="T30" i="97" s="1"/>
  <c r="E53" i="95"/>
  <c r="F47" i="90"/>
  <c r="O44" i="95"/>
  <c r="O32" i="95"/>
  <c r="X53" i="95"/>
  <c r="F47" i="109"/>
  <c r="E15" i="92"/>
  <c r="F15" i="92" s="1"/>
  <c r="G15" i="92" s="1"/>
  <c r="H15" i="92" s="1"/>
  <c r="I15" i="92" s="1"/>
  <c r="J15" i="92" s="1"/>
  <c r="K15" i="92" s="1"/>
  <c r="R17" i="113"/>
  <c r="S35" i="105"/>
  <c r="R17" i="95"/>
  <c r="E23" i="105"/>
  <c r="G23" i="105" s="1"/>
  <c r="E47" i="105"/>
  <c r="F47" i="105" s="1"/>
  <c r="E35" i="105"/>
  <c r="S47" i="105"/>
  <c r="D32" i="113"/>
  <c r="S33" i="95"/>
  <c r="S45" i="95"/>
  <c r="L52" i="95"/>
  <c r="F46" i="89"/>
  <c r="E30" i="87"/>
  <c r="C24" i="113"/>
  <c r="C24" i="95"/>
  <c r="E54" i="87"/>
  <c r="E42" i="87"/>
  <c r="S30" i="87"/>
  <c r="S54" i="87"/>
  <c r="S42" i="87"/>
  <c r="F11" i="91"/>
  <c r="E16" i="92"/>
  <c r="R5" i="113"/>
  <c r="V9" i="105"/>
  <c r="R5" i="95"/>
  <c r="G12" i="94"/>
  <c r="T23" i="108"/>
  <c r="W29" i="113"/>
  <c r="S18" i="113"/>
  <c r="S36" i="106"/>
  <c r="S18" i="95"/>
  <c r="E36" i="106"/>
  <c r="E24" i="106"/>
  <c r="E48" i="106"/>
  <c r="S48" i="106"/>
  <c r="T34" i="87"/>
  <c r="D30" i="95"/>
  <c r="F24" i="88"/>
  <c r="I40" i="113"/>
  <c r="T34" i="94"/>
  <c r="Q59" i="113"/>
  <c r="P19" i="97"/>
  <c r="D63" i="95"/>
  <c r="P29" i="97" s="1"/>
  <c r="D40" i="32" s="1"/>
  <c r="R14" i="88"/>
  <c r="N14" i="88"/>
  <c r="H14" i="110"/>
  <c r="I14" i="110" s="1"/>
  <c r="J14" i="110" s="1"/>
  <c r="S14" i="110" s="1"/>
  <c r="E58" i="113"/>
  <c r="T47" i="103"/>
  <c r="N47" i="95"/>
  <c r="N35" i="95"/>
  <c r="E41" i="113"/>
  <c r="T35" i="90"/>
  <c r="R22" i="113"/>
  <c r="R22" i="95"/>
  <c r="E28" i="105"/>
  <c r="E52" i="105"/>
  <c r="E40" i="105"/>
  <c r="S40" i="105"/>
  <c r="S52" i="105"/>
  <c r="O32" i="113"/>
  <c r="O44" i="113"/>
  <c r="P52" i="113"/>
  <c r="T46" i="103"/>
  <c r="J15" i="88"/>
  <c r="K15" i="88" s="1"/>
  <c r="D44" i="113"/>
  <c r="M64" i="113"/>
  <c r="V53" i="95"/>
  <c r="H14" i="89"/>
  <c r="W41" i="113"/>
  <c r="T35" i="108"/>
  <c r="Z63" i="95"/>
  <c r="P48" i="95"/>
  <c r="P36" i="95"/>
  <c r="T22" i="87"/>
  <c r="C28" i="113"/>
  <c r="O25" i="97" s="1"/>
  <c r="T22" i="105"/>
  <c r="R28" i="113"/>
  <c r="R64" i="113" s="1"/>
  <c r="R40" i="113"/>
  <c r="M43" i="95"/>
  <c r="M31" i="95"/>
  <c r="E12" i="92"/>
  <c r="F33" i="91"/>
  <c r="F39" i="95"/>
  <c r="C35" i="113"/>
  <c r="G10" i="94"/>
  <c r="W10" i="94" s="1"/>
  <c r="O5" i="113"/>
  <c r="V9" i="102"/>
  <c r="O5" i="95"/>
  <c r="T23" i="104"/>
  <c r="Q41" i="113"/>
  <c r="Q29" i="113"/>
  <c r="L17" i="113"/>
  <c r="S35" i="89"/>
  <c r="E23" i="89"/>
  <c r="L17" i="95"/>
  <c r="E47" i="89"/>
  <c r="E35" i="89"/>
  <c r="S47" i="89"/>
  <c r="X35" i="113"/>
  <c r="E42" i="113"/>
  <c r="T36" i="90"/>
  <c r="N59" i="95"/>
  <c r="T23" i="90"/>
  <c r="E29" i="113"/>
  <c r="P40" i="95"/>
  <c r="P28" i="95"/>
  <c r="P63" i="95" s="1"/>
  <c r="F22" i="103"/>
  <c r="X29" i="95"/>
  <c r="F23" i="109"/>
  <c r="P25" i="97"/>
  <c r="P45" i="97" s="1"/>
  <c r="D64" i="113"/>
  <c r="P35" i="97" s="1"/>
  <c r="D65" i="113"/>
  <c r="P36" i="97" s="1"/>
  <c r="T22" i="89"/>
  <c r="L28" i="113"/>
  <c r="L64" i="113" s="1"/>
  <c r="L40" i="113"/>
  <c r="M30" i="113"/>
  <c r="M42" i="113"/>
  <c r="W14" i="88"/>
  <c r="F13" i="91"/>
  <c r="G13" i="91" s="1"/>
  <c r="H13" i="91" s="1"/>
  <c r="I13" i="91" s="1"/>
  <c r="M31" i="113"/>
  <c r="M43" i="113"/>
  <c r="F21" i="91"/>
  <c r="F27" i="95"/>
  <c r="T46" i="87"/>
  <c r="I13" i="93"/>
  <c r="D54" i="95"/>
  <c r="F48" i="88"/>
  <c r="I52" i="113"/>
  <c r="T46" i="94"/>
  <c r="Q35" i="95"/>
  <c r="Q47" i="95"/>
  <c r="N11" i="106"/>
  <c r="R11" i="106"/>
  <c r="S25" i="106" s="1"/>
  <c r="W11" i="106"/>
  <c r="S23" i="113"/>
  <c r="E29" i="106"/>
  <c r="S23" i="95"/>
  <c r="S41" i="106"/>
  <c r="E41" i="106"/>
  <c r="S53" i="106"/>
  <c r="E53" i="106"/>
  <c r="G11" i="87"/>
  <c r="L15" i="94"/>
  <c r="T26" i="97"/>
  <c r="T46" i="97" s="1"/>
  <c r="H65" i="113"/>
  <c r="T36" i="97" s="1"/>
  <c r="H15" i="89"/>
  <c r="T23" i="100"/>
  <c r="M29" i="113"/>
  <c r="M65" i="113" s="1"/>
  <c r="M41" i="113"/>
  <c r="V21" i="113"/>
  <c r="E27" i="107"/>
  <c r="E51" i="107"/>
  <c r="S39" i="107"/>
  <c r="V21" i="95"/>
  <c r="E39" i="107"/>
  <c r="S51" i="107"/>
  <c r="R10" i="99"/>
  <c r="S24" i="99" s="1"/>
  <c r="N10" i="99"/>
  <c r="X41" i="95"/>
  <c r="F35" i="109"/>
  <c r="O24" i="113"/>
  <c r="S42" i="102"/>
  <c r="S54" i="102"/>
  <c r="E42" i="102"/>
  <c r="E54" i="102"/>
  <c r="E30" i="102"/>
  <c r="O24" i="95"/>
  <c r="D56" i="113"/>
  <c r="R9" i="94"/>
  <c r="S23" i="94" s="1"/>
  <c r="N9" i="94"/>
  <c r="T35" i="107"/>
  <c r="R11" i="109"/>
  <c r="S25" i="109" s="1"/>
  <c r="N11" i="109"/>
  <c r="W11" i="109"/>
  <c r="E8" i="92"/>
  <c r="W8" i="92" s="1"/>
  <c r="Z64" i="113"/>
  <c r="V18" i="113"/>
  <c r="S36" i="107"/>
  <c r="U36" i="107" s="1"/>
  <c r="E48" i="107"/>
  <c r="G48" i="107" s="1"/>
  <c r="V18" i="95"/>
  <c r="E24" i="107"/>
  <c r="G24" i="107" s="1"/>
  <c r="E36" i="107"/>
  <c r="G36" i="107" s="1"/>
  <c r="S48" i="107"/>
  <c r="U48" i="107" s="1"/>
  <c r="F45" i="91"/>
  <c r="F51" i="95"/>
  <c r="F22" i="87"/>
  <c r="V9" i="89"/>
  <c r="I52" i="95"/>
  <c r="F46" i="94"/>
  <c r="H12" i="99"/>
  <c r="I40" i="95"/>
  <c r="F34" i="94"/>
  <c r="E13" i="92"/>
  <c r="F13" i="92" s="1"/>
  <c r="G13" i="92" s="1"/>
  <c r="H13" i="92" s="1"/>
  <c r="I13" i="92" s="1"/>
  <c r="J13" i="92" s="1"/>
  <c r="R13" i="92" s="1"/>
  <c r="S27" i="92" s="1"/>
  <c r="V32" i="113"/>
  <c r="U45" i="113"/>
  <c r="U33" i="113"/>
  <c r="O24" i="97"/>
  <c r="O44" i="97" s="1"/>
  <c r="C63" i="113"/>
  <c r="O34" i="97" s="1"/>
  <c r="G15" i="95"/>
  <c r="G15" i="113"/>
  <c r="S45" i="92"/>
  <c r="U45" i="92" s="1"/>
  <c r="S33" i="92"/>
  <c r="U33" i="92" s="1"/>
  <c r="E33" i="92"/>
  <c r="G33" i="92" s="1"/>
  <c r="E45" i="92"/>
  <c r="G45" i="92" s="1"/>
  <c r="E21" i="92"/>
  <c r="G21" i="92" s="1"/>
  <c r="E53" i="113"/>
  <c r="T47" i="90"/>
  <c r="P52" i="95"/>
  <c r="F46" i="103"/>
  <c r="X41" i="113"/>
  <c r="T35" i="109"/>
  <c r="L45" i="113"/>
  <c r="L33" i="113"/>
  <c r="T23" i="107"/>
  <c r="V29" i="113"/>
  <c r="V65" i="113" s="1"/>
  <c r="H15" i="112"/>
  <c r="N10" i="101"/>
  <c r="R10" i="101"/>
  <c r="S24" i="101" s="1"/>
  <c r="Y44" i="95"/>
  <c r="T45" i="91"/>
  <c r="F51" i="113"/>
  <c r="F34" i="87"/>
  <c r="V41" i="113" l="1"/>
  <c r="V29" i="95"/>
  <c r="V64" i="95" s="1"/>
  <c r="F35" i="107"/>
  <c r="F23" i="107"/>
  <c r="S35" i="87"/>
  <c r="C41" i="113" s="1"/>
  <c r="V41" i="95"/>
  <c r="F23" i="108"/>
  <c r="E51" i="119"/>
  <c r="S27" i="119"/>
  <c r="S51" i="119"/>
  <c r="E30" i="113"/>
  <c r="G24" i="106"/>
  <c r="W53" i="95"/>
  <c r="T49" i="101"/>
  <c r="F49" i="107"/>
  <c r="T24" i="90"/>
  <c r="N6" i="95"/>
  <c r="N7" i="113"/>
  <c r="N67" i="113" s="1"/>
  <c r="F37" i="101"/>
  <c r="T37" i="101"/>
  <c r="G49" i="107"/>
  <c r="V11" i="107"/>
  <c r="V10" i="101"/>
  <c r="U49" i="101"/>
  <c r="V11" i="101"/>
  <c r="T37" i="107"/>
  <c r="U12" i="107"/>
  <c r="U26" i="107" s="1"/>
  <c r="U25" i="107"/>
  <c r="F25" i="107"/>
  <c r="U24" i="101"/>
  <c r="Q65" i="113"/>
  <c r="F47" i="107"/>
  <c r="T47" i="107"/>
  <c r="N6" i="113"/>
  <c r="G37" i="101"/>
  <c r="S39" i="119"/>
  <c r="V7" i="95"/>
  <c r="V66" i="95" s="1"/>
  <c r="U37" i="107"/>
  <c r="U12" i="101"/>
  <c r="G47" i="108"/>
  <c r="U24" i="120"/>
  <c r="V53" i="113"/>
  <c r="G25" i="101"/>
  <c r="F49" i="101"/>
  <c r="U37" i="101"/>
  <c r="N7" i="95"/>
  <c r="N66" i="95" s="1"/>
  <c r="G49" i="101"/>
  <c r="E39" i="119"/>
  <c r="U49" i="107"/>
  <c r="G25" i="107"/>
  <c r="R11" i="115"/>
  <c r="G37" i="80"/>
  <c r="S54" i="109"/>
  <c r="X60" i="113" s="1"/>
  <c r="X24" i="95"/>
  <c r="F50" i="88"/>
  <c r="F25" i="80"/>
  <c r="F36" i="120"/>
  <c r="F48" i="109"/>
  <c r="G36" i="109"/>
  <c r="F26" i="88"/>
  <c r="S42" i="109"/>
  <c r="X48" i="113" s="1"/>
  <c r="X24" i="113"/>
  <c r="F35" i="108"/>
  <c r="B64" i="95"/>
  <c r="N30" i="97" s="1"/>
  <c r="B41" i="32" s="1"/>
  <c r="F37" i="80"/>
  <c r="T48" i="109"/>
  <c r="T24" i="109"/>
  <c r="E41" i="93"/>
  <c r="H47" i="95" s="1"/>
  <c r="W41" i="95"/>
  <c r="N11" i="99"/>
  <c r="T49" i="80"/>
  <c r="B7" i="95"/>
  <c r="B66" i="95" s="1"/>
  <c r="U37" i="80"/>
  <c r="V11" i="80"/>
  <c r="H23" i="95"/>
  <c r="E39" i="87"/>
  <c r="C45" i="95" s="1"/>
  <c r="U25" i="80"/>
  <c r="T37" i="80"/>
  <c r="U49" i="80"/>
  <c r="U12" i="80"/>
  <c r="F26" i="80" s="1"/>
  <c r="K14" i="91"/>
  <c r="W14" i="91" s="1"/>
  <c r="E53" i="93"/>
  <c r="H59" i="95" s="1"/>
  <c r="M30" i="95"/>
  <c r="N14" i="121"/>
  <c r="G25" i="80"/>
  <c r="T25" i="80"/>
  <c r="G49" i="80"/>
  <c r="U48" i="111"/>
  <c r="U50" i="107"/>
  <c r="G50" i="107"/>
  <c r="Z6" i="95"/>
  <c r="U13" i="107"/>
  <c r="U27" i="107" s="1"/>
  <c r="T48" i="108"/>
  <c r="G48" i="111"/>
  <c r="U36" i="111"/>
  <c r="U24" i="111"/>
  <c r="E40" i="116"/>
  <c r="U36" i="108"/>
  <c r="T38" i="107"/>
  <c r="V8" i="113"/>
  <c r="V68" i="113" s="1"/>
  <c r="W53" i="113"/>
  <c r="E66" i="113"/>
  <c r="N14" i="94"/>
  <c r="G36" i="111"/>
  <c r="X64" i="95"/>
  <c r="W65" i="113"/>
  <c r="G36" i="108"/>
  <c r="E28" i="116"/>
  <c r="G25" i="93"/>
  <c r="G48" i="108"/>
  <c r="V10" i="108"/>
  <c r="T48" i="90"/>
  <c r="E52" i="116"/>
  <c r="S40" i="116"/>
  <c r="W6" i="95"/>
  <c r="W65" i="95" s="1"/>
  <c r="T25" i="93"/>
  <c r="G24" i="108"/>
  <c r="W6" i="113"/>
  <c r="W66" i="113" s="1"/>
  <c r="F48" i="108"/>
  <c r="U47" i="108"/>
  <c r="E54" i="113"/>
  <c r="S28" i="116"/>
  <c r="U11" i="108"/>
  <c r="W7" i="95" s="1"/>
  <c r="W66" i="95" s="1"/>
  <c r="U24" i="108"/>
  <c r="T24" i="108"/>
  <c r="F36" i="108"/>
  <c r="T36" i="108"/>
  <c r="T25" i="107"/>
  <c r="V7" i="113"/>
  <c r="V67" i="113" s="1"/>
  <c r="U48" i="109"/>
  <c r="V11" i="109"/>
  <c r="E51" i="87"/>
  <c r="C57" i="95" s="1"/>
  <c r="W13" i="121"/>
  <c r="F24" i="120"/>
  <c r="S51" i="87"/>
  <c r="C57" i="113" s="1"/>
  <c r="C21" i="95"/>
  <c r="W13" i="87"/>
  <c r="N13" i="87"/>
  <c r="U11" i="105"/>
  <c r="U12" i="105" s="1"/>
  <c r="R8" i="113" s="1"/>
  <c r="R68" i="113" s="1"/>
  <c r="T48" i="120"/>
  <c r="R13" i="121"/>
  <c r="S39" i="121" s="1"/>
  <c r="W11" i="115"/>
  <c r="S39" i="87"/>
  <c r="C45" i="113" s="1"/>
  <c r="C21" i="113"/>
  <c r="U10" i="94"/>
  <c r="V10" i="94" s="1"/>
  <c r="G37" i="93"/>
  <c r="H7" i="113"/>
  <c r="H67" i="113" s="1"/>
  <c r="T50" i="88"/>
  <c r="V11" i="103"/>
  <c r="T37" i="103"/>
  <c r="H7" i="95"/>
  <c r="H66" i="95" s="1"/>
  <c r="U50" i="89"/>
  <c r="W14" i="121"/>
  <c r="F37" i="93"/>
  <c r="F49" i="93"/>
  <c r="G49" i="93"/>
  <c r="W14" i="107"/>
  <c r="F24" i="100"/>
  <c r="U33" i="95"/>
  <c r="X7" i="95"/>
  <c r="G50" i="89"/>
  <c r="C17" i="95"/>
  <c r="O15" i="97" s="1"/>
  <c r="C31" i="32" s="1"/>
  <c r="T26" i="89"/>
  <c r="U25" i="109"/>
  <c r="X7" i="113"/>
  <c r="N14" i="109"/>
  <c r="S47" i="87"/>
  <c r="C53" i="113" s="1"/>
  <c r="L8" i="95"/>
  <c r="L67" i="95" s="1"/>
  <c r="S23" i="87"/>
  <c r="U23" i="87" s="1"/>
  <c r="F36" i="112"/>
  <c r="N15" i="118"/>
  <c r="T36" i="112"/>
  <c r="U24" i="99"/>
  <c r="I5" i="113"/>
  <c r="V12" i="89"/>
  <c r="AA56" i="95"/>
  <c r="U25" i="93"/>
  <c r="U49" i="93"/>
  <c r="U37" i="93"/>
  <c r="V11" i="93"/>
  <c r="F25" i="93"/>
  <c r="T37" i="93"/>
  <c r="U38" i="107"/>
  <c r="R15" i="118"/>
  <c r="E29" i="118" s="1"/>
  <c r="F50" i="107"/>
  <c r="T26" i="107"/>
  <c r="V8" i="95"/>
  <c r="V67" i="95" s="1"/>
  <c r="G10" i="91"/>
  <c r="R10" i="91" s="1"/>
  <c r="G38" i="107"/>
  <c r="G26" i="107"/>
  <c r="R12" i="87"/>
  <c r="S38" i="87" s="1"/>
  <c r="C44" i="113" s="1"/>
  <c r="U12" i="93"/>
  <c r="H8" i="113" s="1"/>
  <c r="T50" i="107"/>
  <c r="F38" i="107"/>
  <c r="V12" i="107"/>
  <c r="N12" i="100"/>
  <c r="F26" i="107"/>
  <c r="U26" i="120"/>
  <c r="U13" i="101"/>
  <c r="U14" i="101" s="1"/>
  <c r="F28" i="101" s="1"/>
  <c r="S10" i="91"/>
  <c r="U10" i="91" s="1"/>
  <c r="F6" i="113" s="1"/>
  <c r="R11" i="99"/>
  <c r="S25" i="99" s="1"/>
  <c r="R12" i="118"/>
  <c r="E50" i="118" s="1"/>
  <c r="W14" i="120"/>
  <c r="S53" i="93"/>
  <c r="H59" i="113" s="1"/>
  <c r="E29" i="93"/>
  <c r="H35" i="95" s="1"/>
  <c r="T38" i="88"/>
  <c r="R12" i="100"/>
  <c r="S26" i="100" s="1"/>
  <c r="F48" i="90"/>
  <c r="U48" i="100"/>
  <c r="E35" i="87"/>
  <c r="C41" i="95" s="1"/>
  <c r="S50" i="87"/>
  <c r="C56" i="113" s="1"/>
  <c r="N12" i="118"/>
  <c r="R14" i="120"/>
  <c r="S40" i="120" s="1"/>
  <c r="W12" i="87"/>
  <c r="S41" i="93"/>
  <c r="H47" i="113" s="1"/>
  <c r="H23" i="113"/>
  <c r="S27" i="87"/>
  <c r="C33" i="113" s="1"/>
  <c r="E54" i="95"/>
  <c r="E47" i="87"/>
  <c r="C53" i="95" s="1"/>
  <c r="C17" i="113"/>
  <c r="G48" i="112"/>
  <c r="U12" i="90"/>
  <c r="E8" i="95" s="1"/>
  <c r="U7" i="96"/>
  <c r="J3" i="95" s="1"/>
  <c r="V8" i="97" s="1"/>
  <c r="U11" i="99"/>
  <c r="V11" i="99" s="1"/>
  <c r="T48" i="100"/>
  <c r="V10" i="100"/>
  <c r="T26" i="88"/>
  <c r="R14" i="109"/>
  <c r="S28" i="109" s="1"/>
  <c r="W14" i="94"/>
  <c r="B27" i="32"/>
  <c r="V11" i="121"/>
  <c r="R14" i="107"/>
  <c r="F48" i="100"/>
  <c r="M6" i="95"/>
  <c r="F38" i="88"/>
  <c r="U36" i="100"/>
  <c r="G24" i="100"/>
  <c r="G48" i="100"/>
  <c r="G36" i="100"/>
  <c r="U6" i="95"/>
  <c r="F36" i="100"/>
  <c r="M6" i="113"/>
  <c r="M66" i="113" s="1"/>
  <c r="T36" i="100"/>
  <c r="V10" i="99"/>
  <c r="S11" i="87"/>
  <c r="T11" i="87"/>
  <c r="J13" i="91"/>
  <c r="T13" i="91"/>
  <c r="T13" i="112"/>
  <c r="S13" i="112"/>
  <c r="S14" i="99"/>
  <c r="T14" i="99"/>
  <c r="N14" i="103"/>
  <c r="W14" i="103"/>
  <c r="R14" i="103"/>
  <c r="T14" i="91"/>
  <c r="S13" i="91"/>
  <c r="N15" i="107"/>
  <c r="R15" i="107"/>
  <c r="N16" i="94"/>
  <c r="R16" i="94"/>
  <c r="T13" i="92"/>
  <c r="S25" i="120"/>
  <c r="S37" i="120"/>
  <c r="E49" i="120"/>
  <c r="E25" i="120"/>
  <c r="S49" i="120"/>
  <c r="E37" i="120"/>
  <c r="R13" i="111"/>
  <c r="N13" i="111"/>
  <c r="S13" i="92"/>
  <c r="T13" i="93"/>
  <c r="S13" i="93"/>
  <c r="T15" i="88"/>
  <c r="S15" i="88"/>
  <c r="S15" i="111"/>
  <c r="T15" i="111"/>
  <c r="N13" i="103"/>
  <c r="R13" i="103"/>
  <c r="W13" i="103"/>
  <c r="S11" i="92"/>
  <c r="N10" i="87"/>
  <c r="R10" i="87"/>
  <c r="W10" i="87"/>
  <c r="V10" i="87" s="1"/>
  <c r="N13" i="118"/>
  <c r="W13" i="118"/>
  <c r="R13" i="118"/>
  <c r="I16" i="112"/>
  <c r="J16" i="112" s="1"/>
  <c r="K16" i="112" s="1"/>
  <c r="L16" i="112" s="1"/>
  <c r="N12" i="90"/>
  <c r="R12" i="90"/>
  <c r="T11" i="94"/>
  <c r="S11" i="94"/>
  <c r="S16" i="101"/>
  <c r="T16" i="101"/>
  <c r="S13" i="116"/>
  <c r="T13" i="116"/>
  <c r="S13" i="115"/>
  <c r="T13" i="115"/>
  <c r="L15" i="115"/>
  <c r="S15" i="115"/>
  <c r="S15" i="92"/>
  <c r="S36" i="117"/>
  <c r="E36" i="117"/>
  <c r="S24" i="117"/>
  <c r="S48" i="117"/>
  <c r="E24" i="117"/>
  <c r="E48" i="117"/>
  <c r="E24" i="119"/>
  <c r="G24" i="119" s="1"/>
  <c r="S36" i="119"/>
  <c r="T36" i="119" s="1"/>
  <c r="E48" i="119"/>
  <c r="G48" i="119" s="1"/>
  <c r="S24" i="119"/>
  <c r="E36" i="119"/>
  <c r="F36" i="119" s="1"/>
  <c r="S48" i="119"/>
  <c r="T48" i="119" s="1"/>
  <c r="T14" i="110"/>
  <c r="T15" i="92"/>
  <c r="R13" i="101"/>
  <c r="N13" i="101"/>
  <c r="W13" i="101"/>
  <c r="S9" i="92"/>
  <c r="T12" i="99"/>
  <c r="S12" i="99"/>
  <c r="N13" i="100"/>
  <c r="W13" i="100"/>
  <c r="R13" i="100"/>
  <c r="E30" i="120"/>
  <c r="E54" i="120"/>
  <c r="S42" i="120"/>
  <c r="S54" i="120"/>
  <c r="E42" i="120"/>
  <c r="S30" i="120"/>
  <c r="R15" i="119"/>
  <c r="N15" i="119"/>
  <c r="W15" i="119"/>
  <c r="K14" i="87"/>
  <c r="S14" i="87"/>
  <c r="D21" i="113"/>
  <c r="D21" i="95"/>
  <c r="S39" i="88"/>
  <c r="D45" i="113" s="1"/>
  <c r="E51" i="88"/>
  <c r="D57" i="95" s="1"/>
  <c r="E39" i="88"/>
  <c r="D45" i="95" s="1"/>
  <c r="S27" i="88"/>
  <c r="D33" i="113" s="1"/>
  <c r="E27" i="88"/>
  <c r="D33" i="95" s="1"/>
  <c r="S51" i="88"/>
  <c r="D57" i="113" s="1"/>
  <c r="T9" i="92"/>
  <c r="T15" i="115"/>
  <c r="G37" i="118"/>
  <c r="Q64" i="95"/>
  <c r="B65" i="95"/>
  <c r="N31" i="97" s="1"/>
  <c r="B42" i="32" s="1"/>
  <c r="U49" i="103"/>
  <c r="U48" i="112"/>
  <c r="F37" i="103"/>
  <c r="R6" i="113"/>
  <c r="U40" i="101"/>
  <c r="P7" i="95"/>
  <c r="P66" i="95" s="1"/>
  <c r="U48" i="106"/>
  <c r="U38" i="105"/>
  <c r="F49" i="103"/>
  <c r="G37" i="103"/>
  <c r="F25" i="103"/>
  <c r="U25" i="103"/>
  <c r="P7" i="113"/>
  <c r="P67" i="113" s="1"/>
  <c r="F24" i="112"/>
  <c r="U36" i="112"/>
  <c r="R6" i="95"/>
  <c r="G38" i="120"/>
  <c r="U50" i="120"/>
  <c r="AA6" i="113"/>
  <c r="AA66" i="113" s="1"/>
  <c r="G24" i="112"/>
  <c r="G48" i="106"/>
  <c r="G26" i="105"/>
  <c r="T25" i="103"/>
  <c r="G25" i="103"/>
  <c r="U37" i="103"/>
  <c r="F48" i="112"/>
  <c r="G26" i="120"/>
  <c r="U38" i="120"/>
  <c r="T48" i="112"/>
  <c r="V10" i="105"/>
  <c r="G26" i="89"/>
  <c r="V11" i="89"/>
  <c r="T38" i="89"/>
  <c r="F50" i="89"/>
  <c r="F26" i="89"/>
  <c r="L8" i="113"/>
  <c r="L68" i="113" s="1"/>
  <c r="U11" i="111"/>
  <c r="U12" i="111" s="1"/>
  <c r="U13" i="111" s="1"/>
  <c r="U11" i="112"/>
  <c r="T24" i="112"/>
  <c r="AA6" i="95"/>
  <c r="AA65" i="95" s="1"/>
  <c r="U24" i="112"/>
  <c r="V10" i="112"/>
  <c r="G38" i="89"/>
  <c r="F38" i="89"/>
  <c r="U38" i="89"/>
  <c r="U11" i="100"/>
  <c r="U12" i="100" s="1"/>
  <c r="U24" i="100"/>
  <c r="U25" i="104"/>
  <c r="U12" i="104"/>
  <c r="Q7" i="113"/>
  <c r="Q67" i="113" s="1"/>
  <c r="U37" i="104"/>
  <c r="V11" i="104"/>
  <c r="G37" i="104"/>
  <c r="F37" i="104"/>
  <c r="G25" i="104"/>
  <c r="G49" i="104"/>
  <c r="Q7" i="95"/>
  <c r="Q66" i="95" s="1"/>
  <c r="T25" i="104"/>
  <c r="U49" i="104"/>
  <c r="T37" i="104"/>
  <c r="F25" i="104"/>
  <c r="T49" i="104"/>
  <c r="F49" i="104"/>
  <c r="G26" i="88"/>
  <c r="U50" i="88"/>
  <c r="U26" i="110"/>
  <c r="Y8" i="95"/>
  <c r="Y67" i="95" s="1"/>
  <c r="T26" i="110"/>
  <c r="V12" i="110"/>
  <c r="G26" i="110"/>
  <c r="G50" i="110"/>
  <c r="F26" i="110"/>
  <c r="T38" i="110"/>
  <c r="U38" i="110"/>
  <c r="U50" i="110"/>
  <c r="T50" i="110"/>
  <c r="F38" i="110"/>
  <c r="Y8" i="113"/>
  <c r="Y68" i="113" s="1"/>
  <c r="G38" i="110"/>
  <c r="F50" i="110"/>
  <c r="U26" i="102"/>
  <c r="V12" i="102"/>
  <c r="G38" i="102"/>
  <c r="G50" i="102"/>
  <c r="T26" i="102"/>
  <c r="T38" i="102"/>
  <c r="U50" i="102"/>
  <c r="F50" i="102"/>
  <c r="T50" i="102"/>
  <c r="O8" i="113"/>
  <c r="O68" i="113" s="1"/>
  <c r="U38" i="102"/>
  <c r="F26" i="102"/>
  <c r="O8" i="95"/>
  <c r="O67" i="95" s="1"/>
  <c r="F38" i="102"/>
  <c r="G26" i="102"/>
  <c r="T25" i="117"/>
  <c r="V11" i="117"/>
  <c r="F37" i="117"/>
  <c r="F25" i="117"/>
  <c r="T37" i="117"/>
  <c r="F49" i="117"/>
  <c r="T49" i="117"/>
  <c r="U12" i="117"/>
  <c r="U10" i="115"/>
  <c r="G35" i="118"/>
  <c r="F35" i="118"/>
  <c r="I13" i="117"/>
  <c r="U37" i="117"/>
  <c r="G37" i="117"/>
  <c r="T35" i="119"/>
  <c r="F47" i="119"/>
  <c r="G22" i="115"/>
  <c r="F22" i="115"/>
  <c r="G46" i="115"/>
  <c r="F46" i="115"/>
  <c r="G50" i="88"/>
  <c r="S24" i="105"/>
  <c r="E36" i="105"/>
  <c r="R18" i="113"/>
  <c r="R18" i="95"/>
  <c r="S36" i="105"/>
  <c r="E48" i="105"/>
  <c r="E24" i="105"/>
  <c r="S48" i="105"/>
  <c r="U13" i="120"/>
  <c r="F26" i="120"/>
  <c r="V12" i="120"/>
  <c r="F50" i="120"/>
  <c r="T26" i="120"/>
  <c r="F38" i="120"/>
  <c r="T38" i="120"/>
  <c r="T50" i="120"/>
  <c r="E37" i="121"/>
  <c r="S49" i="121"/>
  <c r="E49" i="121"/>
  <c r="S37" i="121"/>
  <c r="S25" i="121"/>
  <c r="E25" i="121"/>
  <c r="W7" i="113"/>
  <c r="W67" i="113" s="1"/>
  <c r="T49" i="108"/>
  <c r="V11" i="108"/>
  <c r="G37" i="108"/>
  <c r="U13" i="109"/>
  <c r="U26" i="109"/>
  <c r="F50" i="109"/>
  <c r="G26" i="109"/>
  <c r="X8" i="95"/>
  <c r="X67" i="95" s="1"/>
  <c r="F26" i="109"/>
  <c r="G50" i="109"/>
  <c r="U38" i="109"/>
  <c r="T26" i="109"/>
  <c r="F38" i="109"/>
  <c r="V12" i="109"/>
  <c r="T38" i="109"/>
  <c r="G38" i="109"/>
  <c r="T50" i="109"/>
  <c r="X8" i="113"/>
  <c r="X68" i="113" s="1"/>
  <c r="U50" i="109"/>
  <c r="H11" i="94"/>
  <c r="R11" i="94" s="1"/>
  <c r="S25" i="94" s="1"/>
  <c r="S23" i="115"/>
  <c r="U23" i="115" s="1"/>
  <c r="S35" i="115"/>
  <c r="U35" i="115" s="1"/>
  <c r="E47" i="115"/>
  <c r="G47" i="115" s="1"/>
  <c r="S47" i="115"/>
  <c r="U47" i="115" s="1"/>
  <c r="E23" i="115"/>
  <c r="G23" i="115" s="1"/>
  <c r="E35" i="115"/>
  <c r="G35" i="115" s="1"/>
  <c r="E37" i="115"/>
  <c r="E25" i="115"/>
  <c r="E49" i="115"/>
  <c r="S25" i="115"/>
  <c r="S37" i="115"/>
  <c r="S49" i="115"/>
  <c r="U47" i="118"/>
  <c r="T47" i="118"/>
  <c r="U23" i="118"/>
  <c r="T23" i="118"/>
  <c r="G49" i="117"/>
  <c r="U25" i="117"/>
  <c r="U11" i="119"/>
  <c r="T24" i="119"/>
  <c r="V10" i="119"/>
  <c r="U24" i="119"/>
  <c r="F35" i="119"/>
  <c r="E40" i="120"/>
  <c r="U22" i="115"/>
  <c r="T22" i="115"/>
  <c r="H16" i="115"/>
  <c r="I16" i="118"/>
  <c r="G50" i="120"/>
  <c r="J13" i="115"/>
  <c r="U11" i="106"/>
  <c r="U25" i="106" s="1"/>
  <c r="S6" i="95"/>
  <c r="S6" i="113"/>
  <c r="U13" i="105"/>
  <c r="U12" i="118"/>
  <c r="V11" i="118"/>
  <c r="F49" i="118"/>
  <c r="F37" i="118"/>
  <c r="T37" i="118"/>
  <c r="F25" i="118"/>
  <c r="T49" i="118"/>
  <c r="T25" i="118"/>
  <c r="U25" i="118"/>
  <c r="G23" i="118"/>
  <c r="F23" i="118"/>
  <c r="U35" i="118"/>
  <c r="T35" i="118"/>
  <c r="U12" i="116"/>
  <c r="V11" i="116"/>
  <c r="T25" i="116"/>
  <c r="F25" i="116"/>
  <c r="F49" i="116"/>
  <c r="T37" i="116"/>
  <c r="F37" i="116"/>
  <c r="T49" i="116"/>
  <c r="U25" i="116"/>
  <c r="G37" i="116"/>
  <c r="U37" i="116"/>
  <c r="U49" i="116"/>
  <c r="G49" i="116"/>
  <c r="G25" i="116"/>
  <c r="U49" i="117"/>
  <c r="F23" i="119"/>
  <c r="U13" i="121"/>
  <c r="V12" i="121"/>
  <c r="F50" i="121"/>
  <c r="T50" i="121"/>
  <c r="T38" i="121"/>
  <c r="T26" i="121"/>
  <c r="F38" i="121"/>
  <c r="F26" i="121"/>
  <c r="G38" i="121"/>
  <c r="U26" i="121"/>
  <c r="G26" i="121"/>
  <c r="G50" i="121"/>
  <c r="U38" i="121"/>
  <c r="U50" i="121"/>
  <c r="G49" i="118"/>
  <c r="J15" i="120"/>
  <c r="H14" i="115"/>
  <c r="I14" i="115" s="1"/>
  <c r="J14" i="115" s="1"/>
  <c r="G34" i="115"/>
  <c r="F34" i="115"/>
  <c r="U49" i="118"/>
  <c r="S28" i="121"/>
  <c r="S40" i="121"/>
  <c r="S52" i="121"/>
  <c r="E28" i="121"/>
  <c r="E52" i="121"/>
  <c r="E40" i="121"/>
  <c r="V10" i="106"/>
  <c r="I14" i="118"/>
  <c r="J13" i="116"/>
  <c r="U13" i="88"/>
  <c r="D8" i="113"/>
  <c r="D68" i="113" s="1"/>
  <c r="D8" i="95"/>
  <c r="D67" i="95" s="1"/>
  <c r="V12" i="88"/>
  <c r="V9" i="115"/>
  <c r="R16" i="116"/>
  <c r="N16" i="116"/>
  <c r="W16" i="116"/>
  <c r="R12" i="93"/>
  <c r="N12" i="93"/>
  <c r="W12" i="93"/>
  <c r="G47" i="118"/>
  <c r="F47" i="118"/>
  <c r="G25" i="117"/>
  <c r="U13" i="89"/>
  <c r="U26" i="89"/>
  <c r="G38" i="88"/>
  <c r="T23" i="119"/>
  <c r="T47" i="119"/>
  <c r="U37" i="118"/>
  <c r="U34" i="115"/>
  <c r="T34" i="115"/>
  <c r="U46" i="115"/>
  <c r="T46" i="115"/>
  <c r="U38" i="88"/>
  <c r="R10" i="115"/>
  <c r="N10" i="115"/>
  <c r="U12" i="103"/>
  <c r="T49" i="103"/>
  <c r="W13" i="90"/>
  <c r="N13" i="90"/>
  <c r="N12" i="111"/>
  <c r="R12" i="111"/>
  <c r="S26" i="111" s="1"/>
  <c r="N8" i="113"/>
  <c r="W16" i="88"/>
  <c r="R16" i="88"/>
  <c r="E30" i="88" s="1"/>
  <c r="R12" i="101"/>
  <c r="N12" i="101"/>
  <c r="W12" i="101"/>
  <c r="V12" i="101" s="1"/>
  <c r="F10" i="92"/>
  <c r="G10" i="92" s="1"/>
  <c r="R10" i="92" s="1"/>
  <c r="S24" i="92" s="1"/>
  <c r="K14" i="99"/>
  <c r="N14" i="99" s="1"/>
  <c r="L15" i="111"/>
  <c r="J16" i="100"/>
  <c r="K16" i="100" s="1"/>
  <c r="L16" i="100" s="1"/>
  <c r="J13" i="93"/>
  <c r="R13" i="93" s="1"/>
  <c r="S27" i="93" s="1"/>
  <c r="I12" i="99"/>
  <c r="N12" i="99" s="1"/>
  <c r="D11" i="96"/>
  <c r="B11" i="96"/>
  <c r="B16" i="96"/>
  <c r="D12" i="96"/>
  <c r="B12" i="96"/>
  <c r="D14" i="96"/>
  <c r="E14" i="96" s="1"/>
  <c r="F14" i="96" s="1"/>
  <c r="G14" i="96" s="1"/>
  <c r="H14" i="96" s="1"/>
  <c r="I14" i="96" s="1"/>
  <c r="J14" i="96" s="1"/>
  <c r="K14" i="96" s="1"/>
  <c r="B14" i="96"/>
  <c r="B13" i="96"/>
  <c r="D13" i="96"/>
  <c r="B8" i="96"/>
  <c r="D8" i="96"/>
  <c r="T8" i="96" s="1"/>
  <c r="B9" i="96"/>
  <c r="D9" i="96"/>
  <c r="B10" i="96"/>
  <c r="D10" i="96"/>
  <c r="W7" i="96"/>
  <c r="R7" i="96"/>
  <c r="N7" i="96"/>
  <c r="D16" i="96"/>
  <c r="D15" i="96"/>
  <c r="B15" i="96"/>
  <c r="P65" i="113"/>
  <c r="P64" i="95"/>
  <c r="P39" i="97"/>
  <c r="D35" i="32"/>
  <c r="E34" i="91"/>
  <c r="F34" i="91" s="1"/>
  <c r="N8" i="95"/>
  <c r="S34" i="91"/>
  <c r="T34" i="91" s="1"/>
  <c r="M64" i="95"/>
  <c r="E22" i="91"/>
  <c r="F28" i="95" s="1"/>
  <c r="R19" i="97" s="1"/>
  <c r="F35" i="32" s="1"/>
  <c r="F16" i="113"/>
  <c r="S46" i="91"/>
  <c r="T46" i="91" s="1"/>
  <c r="F16" i="95"/>
  <c r="R14" i="97" s="1"/>
  <c r="F30" i="32" s="1"/>
  <c r="E46" i="91"/>
  <c r="F52" i="95" s="1"/>
  <c r="F23" i="87"/>
  <c r="C5" i="113"/>
  <c r="G23" i="87"/>
  <c r="C5" i="95"/>
  <c r="C64" i="95" s="1"/>
  <c r="O30" i="97" s="1"/>
  <c r="C41" i="32" s="1"/>
  <c r="T23" i="87"/>
  <c r="I5" i="95"/>
  <c r="U10" i="97" s="1"/>
  <c r="S50" i="91"/>
  <c r="F56" i="113" s="1"/>
  <c r="V9" i="95"/>
  <c r="V9" i="94"/>
  <c r="C6" i="95"/>
  <c r="O11" i="97" s="1"/>
  <c r="C27" i="32" s="1"/>
  <c r="E38" i="91"/>
  <c r="F44" i="95" s="1"/>
  <c r="U47" i="87"/>
  <c r="U23" i="94"/>
  <c r="S38" i="91"/>
  <c r="F44" i="113" s="1"/>
  <c r="F20" i="95"/>
  <c r="E50" i="91"/>
  <c r="F56" i="95" s="1"/>
  <c r="E26" i="91"/>
  <c r="F32" i="95" s="1"/>
  <c r="F20" i="113"/>
  <c r="T35" i="87"/>
  <c r="U35" i="87"/>
  <c r="F4" i="95"/>
  <c r="R9" i="97" s="1"/>
  <c r="F25" i="32" s="1"/>
  <c r="F4" i="113"/>
  <c r="U22" i="91"/>
  <c r="F49" i="89"/>
  <c r="L7" i="113"/>
  <c r="V8" i="91"/>
  <c r="F5" i="113"/>
  <c r="L7" i="95"/>
  <c r="L66" i="95" s="1"/>
  <c r="C63" i="95"/>
  <c r="O29" i="97" s="1"/>
  <c r="C40" i="32" s="1"/>
  <c r="U25" i="89"/>
  <c r="T49" i="89"/>
  <c r="F25" i="89"/>
  <c r="O39" i="97"/>
  <c r="O45" i="97"/>
  <c r="N9" i="92"/>
  <c r="F23" i="102"/>
  <c r="F63" i="113"/>
  <c r="R34" i="97" s="1"/>
  <c r="C64" i="113"/>
  <c r="O35" i="97" s="1"/>
  <c r="F23" i="105"/>
  <c r="F35" i="101"/>
  <c r="G35" i="101"/>
  <c r="T35" i="89"/>
  <c r="U35" i="89"/>
  <c r="T36" i="106"/>
  <c r="U36" i="106"/>
  <c r="C48" i="113"/>
  <c r="W56" i="113"/>
  <c r="I45" i="95"/>
  <c r="X36" i="95"/>
  <c r="T36" i="89"/>
  <c r="U36" i="89"/>
  <c r="F35" i="102"/>
  <c r="G35" i="102"/>
  <c r="Y53" i="95"/>
  <c r="G47" i="110"/>
  <c r="W44" i="95"/>
  <c r="L55" i="113"/>
  <c r="U49" i="89"/>
  <c r="V57" i="113"/>
  <c r="S59" i="95"/>
  <c r="S59" i="113"/>
  <c r="L53" i="113"/>
  <c r="U47" i="89"/>
  <c r="C48" i="95"/>
  <c r="Y41" i="113"/>
  <c r="U35" i="110"/>
  <c r="T35" i="101"/>
  <c r="U35" i="101"/>
  <c r="W44" i="113"/>
  <c r="I33" i="95"/>
  <c r="Q58" i="113"/>
  <c r="F48" i="113"/>
  <c r="O60" i="113"/>
  <c r="X60" i="95"/>
  <c r="R58" i="113"/>
  <c r="C60" i="95"/>
  <c r="R53" i="113"/>
  <c r="U47" i="105"/>
  <c r="O53" i="95"/>
  <c r="G47" i="102"/>
  <c r="S56" i="113"/>
  <c r="AA46" i="95"/>
  <c r="I45" i="113"/>
  <c r="Q58" i="95"/>
  <c r="F60" i="113"/>
  <c r="L43" i="95"/>
  <c r="G25" i="89"/>
  <c r="C60" i="113"/>
  <c r="T35" i="105"/>
  <c r="U35" i="105"/>
  <c r="O53" i="113"/>
  <c r="U47" i="102"/>
  <c r="V45" i="113"/>
  <c r="F35" i="89"/>
  <c r="G35" i="89"/>
  <c r="V57" i="95"/>
  <c r="L53" i="95"/>
  <c r="G47" i="89"/>
  <c r="F35" i="105"/>
  <c r="G35" i="105"/>
  <c r="O59" i="95"/>
  <c r="F36" i="89"/>
  <c r="G36" i="89"/>
  <c r="Y41" i="95"/>
  <c r="G35" i="110"/>
  <c r="S56" i="95"/>
  <c r="AA46" i="113"/>
  <c r="W32" i="95"/>
  <c r="T47" i="112"/>
  <c r="U47" i="112"/>
  <c r="X48" i="95"/>
  <c r="F48" i="95"/>
  <c r="F37" i="89"/>
  <c r="G37" i="89"/>
  <c r="I57" i="95"/>
  <c r="V33" i="95"/>
  <c r="T47" i="102"/>
  <c r="F36" i="106"/>
  <c r="G36" i="106"/>
  <c r="R53" i="95"/>
  <c r="G47" i="105"/>
  <c r="O59" i="113"/>
  <c r="T35" i="102"/>
  <c r="U35" i="102"/>
  <c r="F60" i="95"/>
  <c r="L55" i="95"/>
  <c r="G49" i="89"/>
  <c r="W56" i="95"/>
  <c r="O60" i="95"/>
  <c r="N8" i="92"/>
  <c r="L41" i="95"/>
  <c r="G23" i="89"/>
  <c r="R58" i="95"/>
  <c r="C36" i="95"/>
  <c r="C33" i="95"/>
  <c r="Y53" i="113"/>
  <c r="U47" i="110"/>
  <c r="F47" i="112"/>
  <c r="G47" i="112"/>
  <c r="I57" i="113"/>
  <c r="F36" i="95"/>
  <c r="T37" i="89"/>
  <c r="U37" i="89"/>
  <c r="Y7" i="113"/>
  <c r="Y7" i="95"/>
  <c r="V45" i="95"/>
  <c r="N15" i="94"/>
  <c r="R15" i="94"/>
  <c r="S29" i="94" s="1"/>
  <c r="I6" i="95"/>
  <c r="I13" i="102"/>
  <c r="T23" i="89"/>
  <c r="L29" i="113"/>
  <c r="L65" i="113" s="1"/>
  <c r="L41" i="113"/>
  <c r="H35" i="113"/>
  <c r="L15" i="88"/>
  <c r="S54" i="95"/>
  <c r="F48" i="106"/>
  <c r="H11" i="92"/>
  <c r="N53" i="113"/>
  <c r="T47" i="101"/>
  <c r="W32" i="113"/>
  <c r="I13" i="110"/>
  <c r="N10" i="91"/>
  <c r="J14" i="93"/>
  <c r="Z54" i="95"/>
  <c r="F48" i="111"/>
  <c r="Q21" i="97"/>
  <c r="E65" i="95"/>
  <c r="Q31" i="97" s="1"/>
  <c r="E42" i="32" s="1"/>
  <c r="T47" i="110"/>
  <c r="R11" i="110"/>
  <c r="S25" i="110" s="1"/>
  <c r="U25" i="110" s="1"/>
  <c r="N11" i="110"/>
  <c r="W11" i="110"/>
  <c r="V11" i="110" s="1"/>
  <c r="T45" i="92"/>
  <c r="G51" i="113"/>
  <c r="T24" i="107"/>
  <c r="V30" i="113"/>
  <c r="V66" i="113" s="1"/>
  <c r="T24" i="89"/>
  <c r="L30" i="113"/>
  <c r="L66" i="113" s="1"/>
  <c r="L42" i="113"/>
  <c r="I15" i="112"/>
  <c r="V54" i="113"/>
  <c r="T48" i="107"/>
  <c r="O48" i="113"/>
  <c r="O36" i="113"/>
  <c r="R10" i="94"/>
  <c r="S24" i="94" s="1"/>
  <c r="U24" i="94" s="1"/>
  <c r="N10" i="94"/>
  <c r="S42" i="95"/>
  <c r="S30" i="95"/>
  <c r="F24" i="106"/>
  <c r="L15" i="92"/>
  <c r="W15" i="92" s="1"/>
  <c r="F23" i="113"/>
  <c r="S41" i="91"/>
  <c r="S53" i="91"/>
  <c r="E41" i="91"/>
  <c r="E53" i="91"/>
  <c r="E29" i="91"/>
  <c r="F23" i="95"/>
  <c r="S29" i="91"/>
  <c r="I16" i="110"/>
  <c r="J16" i="110" s="1"/>
  <c r="K16" i="110" s="1"/>
  <c r="L16" i="110" s="1"/>
  <c r="Z19" i="113"/>
  <c r="E49" i="111"/>
  <c r="E25" i="111"/>
  <c r="E37" i="111"/>
  <c r="Z19" i="95"/>
  <c r="S37" i="111"/>
  <c r="S49" i="111"/>
  <c r="W15" i="94"/>
  <c r="F23" i="110"/>
  <c r="Y29" i="95"/>
  <c r="Y64" i="95" s="1"/>
  <c r="T47" i="89"/>
  <c r="S44" i="95"/>
  <c r="S32" i="95"/>
  <c r="J13" i="112"/>
  <c r="W13" i="112" s="1"/>
  <c r="AA53" i="95"/>
  <c r="AA29" i="95"/>
  <c r="AA64" i="95" s="1"/>
  <c r="F23" i="112"/>
  <c r="F36" i="111"/>
  <c r="Z42" i="95"/>
  <c r="N13" i="92"/>
  <c r="Q20" i="97"/>
  <c r="E64" i="95"/>
  <c r="Q30" i="97" s="1"/>
  <c r="E41" i="32" s="1"/>
  <c r="R11" i="102"/>
  <c r="S25" i="102" s="1"/>
  <c r="U25" i="102" s="1"/>
  <c r="N11" i="102"/>
  <c r="Z54" i="113"/>
  <c r="T48" i="111"/>
  <c r="F21" i="92"/>
  <c r="G27" i="95"/>
  <c r="V42" i="95"/>
  <c r="F36" i="107"/>
  <c r="I15" i="89"/>
  <c r="Q26" i="97"/>
  <c r="Q46" i="97" s="1"/>
  <c r="E65" i="113"/>
  <c r="Q36" i="97" s="1"/>
  <c r="K14" i="110"/>
  <c r="W14" i="110" s="1"/>
  <c r="G11" i="91"/>
  <c r="I15" i="110"/>
  <c r="O41" i="95"/>
  <c r="O29" i="95"/>
  <c r="O64" i="95" s="1"/>
  <c r="L54" i="113"/>
  <c r="T48" i="89"/>
  <c r="N53" i="95"/>
  <c r="F47" i="101"/>
  <c r="F23" i="89"/>
  <c r="N9" i="91"/>
  <c r="R9" i="91"/>
  <c r="T24" i="111"/>
  <c r="Z30" i="113"/>
  <c r="Z66" i="113" s="1"/>
  <c r="Q34" i="113"/>
  <c r="Q46" i="113"/>
  <c r="T25" i="89"/>
  <c r="L31" i="113"/>
  <c r="L43" i="113"/>
  <c r="F47" i="110"/>
  <c r="S19" i="113"/>
  <c r="S37" i="106"/>
  <c r="S19" i="95"/>
  <c r="E49" i="106"/>
  <c r="E37" i="106"/>
  <c r="E25" i="106"/>
  <c r="S49" i="106"/>
  <c r="F45" i="92"/>
  <c r="G51" i="95"/>
  <c r="V30" i="95"/>
  <c r="V65" i="95" s="1"/>
  <c r="F24" i="107"/>
  <c r="O48" i="95"/>
  <c r="O36" i="95"/>
  <c r="P21" i="97"/>
  <c r="D65" i="95"/>
  <c r="P31" i="97" s="1"/>
  <c r="D42" i="32" s="1"/>
  <c r="R41" i="95"/>
  <c r="R29" i="95"/>
  <c r="R64" i="95" s="1"/>
  <c r="W9" i="92"/>
  <c r="F47" i="89"/>
  <c r="AA58" i="113"/>
  <c r="AA34" i="113"/>
  <c r="T23" i="112"/>
  <c r="AA29" i="113"/>
  <c r="AA65" i="113" s="1"/>
  <c r="AA53" i="113"/>
  <c r="F24" i="111"/>
  <c r="Z30" i="95"/>
  <c r="F35" i="110"/>
  <c r="G21" i="113"/>
  <c r="E51" i="92"/>
  <c r="G21" i="95"/>
  <c r="S39" i="92"/>
  <c r="E39" i="92"/>
  <c r="E27" i="92"/>
  <c r="S51" i="92"/>
  <c r="V33" i="113"/>
  <c r="S47" i="95"/>
  <c r="S35" i="95"/>
  <c r="F12" i="92"/>
  <c r="G12" i="92" s="1"/>
  <c r="H12" i="92" s="1"/>
  <c r="R34" i="113"/>
  <c r="R46" i="113"/>
  <c r="D22" i="113"/>
  <c r="E28" i="88"/>
  <c r="D22" i="95"/>
  <c r="S40" i="88"/>
  <c r="E52" i="88"/>
  <c r="E40" i="88"/>
  <c r="S52" i="88"/>
  <c r="S28" i="88"/>
  <c r="T24" i="106"/>
  <c r="S30" i="113"/>
  <c r="S42" i="113"/>
  <c r="H12" i="94"/>
  <c r="E21" i="113"/>
  <c r="E21" i="95"/>
  <c r="E51" i="90"/>
  <c r="E27" i="90"/>
  <c r="S27" i="90"/>
  <c r="E39" i="90"/>
  <c r="S39" i="90"/>
  <c r="S51" i="90"/>
  <c r="G17" i="113"/>
  <c r="S35" i="92"/>
  <c r="E47" i="92"/>
  <c r="E23" i="92"/>
  <c r="E35" i="92"/>
  <c r="G17" i="95"/>
  <c r="S15" i="97" s="1"/>
  <c r="G31" i="32" s="1"/>
  <c r="S47" i="92"/>
  <c r="O47" i="95"/>
  <c r="O35" i="95"/>
  <c r="U25" i="97"/>
  <c r="U45" i="97" s="1"/>
  <c r="I64" i="113"/>
  <c r="U35" i="97" s="1"/>
  <c r="T23" i="102"/>
  <c r="O29" i="113"/>
  <c r="O65" i="113" s="1"/>
  <c r="O41" i="113"/>
  <c r="L42" i="95"/>
  <c r="F24" i="89"/>
  <c r="T23" i="110"/>
  <c r="Y29" i="113"/>
  <c r="Y65" i="113" s="1"/>
  <c r="N29" i="95"/>
  <c r="N64" i="95" s="1"/>
  <c r="N41" i="95"/>
  <c r="F23" i="101"/>
  <c r="AA41" i="113"/>
  <c r="T35" i="112"/>
  <c r="X36" i="113"/>
  <c r="F36" i="113"/>
  <c r="S54" i="113"/>
  <c r="T48" i="106"/>
  <c r="F33" i="92"/>
  <c r="G39" i="95"/>
  <c r="I17" i="113"/>
  <c r="S35" i="94"/>
  <c r="U35" i="94" s="1"/>
  <c r="I17" i="95"/>
  <c r="U15" i="97" s="1"/>
  <c r="E47" i="94"/>
  <c r="G47" i="94" s="1"/>
  <c r="E35" i="94"/>
  <c r="G35" i="94" s="1"/>
  <c r="E23" i="94"/>
  <c r="G23" i="94" s="1"/>
  <c r="S47" i="94"/>
  <c r="U47" i="94" s="1"/>
  <c r="U18" i="113"/>
  <c r="S36" i="99"/>
  <c r="U18" i="95"/>
  <c r="E48" i="99"/>
  <c r="G48" i="99" s="1"/>
  <c r="E36" i="99"/>
  <c r="E24" i="99"/>
  <c r="G24" i="99" s="1"/>
  <c r="S48" i="99"/>
  <c r="U48" i="99" s="1"/>
  <c r="N18" i="113"/>
  <c r="S36" i="101"/>
  <c r="E24" i="101"/>
  <c r="G24" i="101" s="1"/>
  <c r="E36" i="101"/>
  <c r="E48" i="101"/>
  <c r="G48" i="101" s="1"/>
  <c r="N18" i="95"/>
  <c r="S48" i="101"/>
  <c r="U48" i="101" s="1"/>
  <c r="T33" i="92"/>
  <c r="G39" i="113"/>
  <c r="V54" i="95"/>
  <c r="F48" i="107"/>
  <c r="T51" i="107"/>
  <c r="N13" i="91"/>
  <c r="R13" i="91"/>
  <c r="R46" i="95"/>
  <c r="R34" i="95"/>
  <c r="T47" i="105"/>
  <c r="F16" i="92"/>
  <c r="L54" i="95"/>
  <c r="F48" i="89"/>
  <c r="W11" i="102"/>
  <c r="V11" i="102" s="1"/>
  <c r="S44" i="113"/>
  <c r="S32" i="113"/>
  <c r="F14" i="92"/>
  <c r="R11" i="105"/>
  <c r="S25" i="105" s="1"/>
  <c r="N11" i="105"/>
  <c r="M16" i="101"/>
  <c r="T22" i="91"/>
  <c r="F28" i="113"/>
  <c r="R25" i="97" s="1"/>
  <c r="Z42" i="113"/>
  <c r="T36" i="111"/>
  <c r="T35" i="110"/>
  <c r="W9" i="91"/>
  <c r="O47" i="113"/>
  <c r="O35" i="113"/>
  <c r="I22" i="113"/>
  <c r="E52" i="94"/>
  <c r="E28" i="94"/>
  <c r="I22" i="95"/>
  <c r="E40" i="94"/>
  <c r="S40" i="94"/>
  <c r="S52" i="94"/>
  <c r="G4" i="113"/>
  <c r="V8" i="92"/>
  <c r="G4" i="95"/>
  <c r="AA41" i="95"/>
  <c r="F35" i="112"/>
  <c r="I33" i="113"/>
  <c r="H11" i="87"/>
  <c r="T21" i="92"/>
  <c r="G27" i="113"/>
  <c r="S24" i="97" s="1"/>
  <c r="S44" i="97" s="1"/>
  <c r="W13" i="92"/>
  <c r="V42" i="113"/>
  <c r="T36" i="107"/>
  <c r="X19" i="113"/>
  <c r="S37" i="109"/>
  <c r="U37" i="109" s="1"/>
  <c r="S49" i="109"/>
  <c r="U49" i="109" s="1"/>
  <c r="E49" i="109"/>
  <c r="G49" i="109" s="1"/>
  <c r="E25" i="109"/>
  <c r="G25" i="109" s="1"/>
  <c r="E37" i="109"/>
  <c r="G37" i="109" s="1"/>
  <c r="X19" i="95"/>
  <c r="S35" i="113"/>
  <c r="S47" i="113"/>
  <c r="R8" i="92"/>
  <c r="S22" i="92" s="1"/>
  <c r="U22" i="92" s="1"/>
  <c r="I14" i="89"/>
  <c r="C36" i="113"/>
  <c r="T23" i="105"/>
  <c r="R29" i="113"/>
  <c r="R65" i="113" s="1"/>
  <c r="R41" i="113"/>
  <c r="O7" i="113"/>
  <c r="O7" i="95"/>
  <c r="T23" i="101"/>
  <c r="N29" i="113"/>
  <c r="N65" i="113" s="1"/>
  <c r="N41" i="113"/>
  <c r="AA34" i="95"/>
  <c r="AA58" i="95"/>
  <c r="Q46" i="95"/>
  <c r="Q34" i="95"/>
  <c r="F32" i="113"/>
  <c r="S37" i="99"/>
  <c r="U19" i="97"/>
  <c r="U39" i="97" s="1"/>
  <c r="I63" i="95"/>
  <c r="U29" i="97" s="1"/>
  <c r="W13" i="91"/>
  <c r="W11" i="105"/>
  <c r="F38" i="80" l="1"/>
  <c r="F39" i="107"/>
  <c r="T39" i="107"/>
  <c r="G51" i="107"/>
  <c r="U39" i="107"/>
  <c r="G26" i="80"/>
  <c r="S26" i="118"/>
  <c r="S50" i="118"/>
  <c r="U50" i="118" s="1"/>
  <c r="R14" i="91"/>
  <c r="E27" i="121"/>
  <c r="E52" i="120"/>
  <c r="U11" i="94"/>
  <c r="U25" i="94" s="1"/>
  <c r="N14" i="91"/>
  <c r="I6" i="113"/>
  <c r="S52" i="120"/>
  <c r="S28" i="120"/>
  <c r="U26" i="80"/>
  <c r="U19" i="95"/>
  <c r="E28" i="120"/>
  <c r="E49" i="99"/>
  <c r="G49" i="99" s="1"/>
  <c r="U19" i="113"/>
  <c r="U51" i="107"/>
  <c r="V13" i="107"/>
  <c r="G50" i="80"/>
  <c r="V14" i="101"/>
  <c r="T26" i="105"/>
  <c r="V13" i="101"/>
  <c r="M65" i="95"/>
  <c r="G35" i="87"/>
  <c r="E38" i="118"/>
  <c r="E26" i="118"/>
  <c r="F35" i="87"/>
  <c r="S38" i="118"/>
  <c r="V12" i="90"/>
  <c r="T27" i="107"/>
  <c r="G39" i="107"/>
  <c r="F27" i="107"/>
  <c r="E53" i="118"/>
  <c r="U13" i="80"/>
  <c r="T27" i="80" s="1"/>
  <c r="T38" i="80"/>
  <c r="G38" i="80"/>
  <c r="B8" i="113"/>
  <c r="B68" i="113" s="1"/>
  <c r="F51" i="107"/>
  <c r="G27" i="107"/>
  <c r="V9" i="113"/>
  <c r="S41" i="118"/>
  <c r="T26" i="80"/>
  <c r="V12" i="80"/>
  <c r="U38" i="80"/>
  <c r="F50" i="80"/>
  <c r="U14" i="107"/>
  <c r="V10" i="113" s="1"/>
  <c r="U50" i="80"/>
  <c r="T50" i="80"/>
  <c r="B8" i="95"/>
  <c r="B67" i="95" s="1"/>
  <c r="T47" i="87"/>
  <c r="G47" i="87"/>
  <c r="U28" i="101"/>
  <c r="G25" i="108"/>
  <c r="G49" i="108"/>
  <c r="U37" i="108"/>
  <c r="U12" i="108"/>
  <c r="V12" i="108" s="1"/>
  <c r="F26" i="105"/>
  <c r="R8" i="95"/>
  <c r="R67" i="95" s="1"/>
  <c r="G38" i="105"/>
  <c r="G40" i="101"/>
  <c r="Z65" i="95"/>
  <c r="V7" i="96"/>
  <c r="J3" i="113"/>
  <c r="U15" i="101"/>
  <c r="F25" i="108"/>
  <c r="T25" i="108"/>
  <c r="F37" i="108"/>
  <c r="U25" i="108"/>
  <c r="V12" i="105"/>
  <c r="G28" i="101"/>
  <c r="N9" i="113"/>
  <c r="T38" i="105"/>
  <c r="T52" i="101"/>
  <c r="F50" i="105"/>
  <c r="U52" i="101"/>
  <c r="M20" i="95"/>
  <c r="R7" i="95"/>
  <c r="U26" i="105"/>
  <c r="T37" i="108"/>
  <c r="U49" i="108"/>
  <c r="F49" i="108"/>
  <c r="F52" i="101"/>
  <c r="F38" i="105"/>
  <c r="G50" i="105"/>
  <c r="T40" i="101"/>
  <c r="T28" i="101"/>
  <c r="U50" i="105"/>
  <c r="T50" i="105"/>
  <c r="W10" i="91"/>
  <c r="V10" i="91" s="1"/>
  <c r="V12" i="93"/>
  <c r="E41" i="118"/>
  <c r="S29" i="118"/>
  <c r="U48" i="119"/>
  <c r="H8" i="95"/>
  <c r="S40" i="109"/>
  <c r="X46" i="113" s="1"/>
  <c r="S53" i="118"/>
  <c r="U36" i="119"/>
  <c r="E38" i="87"/>
  <c r="C44" i="95" s="1"/>
  <c r="U39" i="121"/>
  <c r="C29" i="113"/>
  <c r="O26" i="97" s="1"/>
  <c r="F47" i="115"/>
  <c r="S27" i="121"/>
  <c r="T27" i="121" s="1"/>
  <c r="U7" i="113"/>
  <c r="E51" i="121"/>
  <c r="F51" i="121" s="1"/>
  <c r="E39" i="121"/>
  <c r="F39" i="121" s="1"/>
  <c r="V14" i="107"/>
  <c r="S51" i="121"/>
  <c r="U51" i="121" s="1"/>
  <c r="V13" i="121"/>
  <c r="F40" i="101"/>
  <c r="N9" i="95"/>
  <c r="C20" i="113"/>
  <c r="U11" i="87"/>
  <c r="U12" i="87" s="1"/>
  <c r="T38" i="87" s="1"/>
  <c r="S30" i="88"/>
  <c r="D36" i="113" s="1"/>
  <c r="G52" i="101"/>
  <c r="N10" i="95"/>
  <c r="N69" i="95" s="1"/>
  <c r="S66" i="113"/>
  <c r="F23" i="115"/>
  <c r="R14" i="99"/>
  <c r="S28" i="99" s="1"/>
  <c r="N10" i="113"/>
  <c r="N70" i="113" s="1"/>
  <c r="S50" i="100"/>
  <c r="M56" i="113" s="1"/>
  <c r="E38" i="100"/>
  <c r="F38" i="100" s="1"/>
  <c r="U25" i="99"/>
  <c r="U7" i="95"/>
  <c r="E50" i="100"/>
  <c r="M56" i="95" s="1"/>
  <c r="E26" i="100"/>
  <c r="F26" i="100" s="1"/>
  <c r="S65" i="95"/>
  <c r="S38" i="100"/>
  <c r="T38" i="100" s="1"/>
  <c r="M20" i="113"/>
  <c r="N11" i="94"/>
  <c r="F37" i="111"/>
  <c r="S52" i="109"/>
  <c r="X58" i="113" s="1"/>
  <c r="S26" i="87"/>
  <c r="C32" i="113" s="1"/>
  <c r="E26" i="87"/>
  <c r="C32" i="95" s="1"/>
  <c r="E50" i="87"/>
  <c r="C56" i="95" s="1"/>
  <c r="C20" i="95"/>
  <c r="U13" i="90"/>
  <c r="E9" i="95" s="1"/>
  <c r="E25" i="99"/>
  <c r="G25" i="99" s="1"/>
  <c r="S49" i="99"/>
  <c r="U49" i="99" s="1"/>
  <c r="E37" i="99"/>
  <c r="G37" i="99" s="1"/>
  <c r="U27" i="90"/>
  <c r="G36" i="119"/>
  <c r="F24" i="119"/>
  <c r="E8" i="113"/>
  <c r="F47" i="87"/>
  <c r="E52" i="109"/>
  <c r="X58" i="95" s="1"/>
  <c r="X22" i="95"/>
  <c r="T47" i="115"/>
  <c r="F48" i="119"/>
  <c r="E28" i="109"/>
  <c r="X34" i="95" s="1"/>
  <c r="X22" i="113"/>
  <c r="E26" i="111"/>
  <c r="Z32" i="95" s="1"/>
  <c r="S28" i="107"/>
  <c r="V34" i="113" s="1"/>
  <c r="V22" i="95"/>
  <c r="E40" i="107"/>
  <c r="S52" i="107"/>
  <c r="V58" i="113" s="1"/>
  <c r="E52" i="107"/>
  <c r="V58" i="95" s="1"/>
  <c r="E28" i="107"/>
  <c r="V34" i="95" s="1"/>
  <c r="S40" i="107"/>
  <c r="V46" i="113" s="1"/>
  <c r="V22" i="113"/>
  <c r="W11" i="94"/>
  <c r="E40" i="109"/>
  <c r="X46" i="95" s="1"/>
  <c r="U38" i="108"/>
  <c r="W14" i="99"/>
  <c r="T14" i="93"/>
  <c r="S14" i="93"/>
  <c r="T13" i="110"/>
  <c r="S13" i="110"/>
  <c r="U48" i="117"/>
  <c r="T48" i="117"/>
  <c r="G49" i="120"/>
  <c r="F49" i="120"/>
  <c r="S30" i="94"/>
  <c r="I36" i="113" s="1"/>
  <c r="E54" i="94"/>
  <c r="I60" i="95" s="1"/>
  <c r="I24" i="95"/>
  <c r="S54" i="94"/>
  <c r="I60" i="113" s="1"/>
  <c r="E42" i="94"/>
  <c r="I48" i="95" s="1"/>
  <c r="E30" i="94"/>
  <c r="I36" i="95" s="1"/>
  <c r="I24" i="113"/>
  <c r="S42" i="94"/>
  <c r="I48" i="113" s="1"/>
  <c r="S28" i="103"/>
  <c r="P22" i="95"/>
  <c r="E40" i="103"/>
  <c r="E28" i="103"/>
  <c r="E52" i="103"/>
  <c r="P58" i="95" s="1"/>
  <c r="S40" i="103"/>
  <c r="P22" i="113"/>
  <c r="S52" i="103"/>
  <c r="P58" i="113" s="1"/>
  <c r="S8" i="96"/>
  <c r="U8" i="96" s="1"/>
  <c r="I12" i="92"/>
  <c r="N12" i="92" s="1"/>
  <c r="T12" i="92"/>
  <c r="S14" i="115"/>
  <c r="T14" i="115"/>
  <c r="S27" i="101"/>
  <c r="N21" i="95"/>
  <c r="E51" i="101"/>
  <c r="E27" i="101"/>
  <c r="S39" i="101"/>
  <c r="N21" i="113"/>
  <c r="S51" i="101"/>
  <c r="E39" i="101"/>
  <c r="U24" i="117"/>
  <c r="T24" i="117"/>
  <c r="T10" i="92"/>
  <c r="S51" i="118"/>
  <c r="E27" i="118"/>
  <c r="E39" i="118"/>
  <c r="S27" i="118"/>
  <c r="E51" i="118"/>
  <c r="S39" i="118"/>
  <c r="S27" i="111"/>
  <c r="Z33" i="113" s="1"/>
  <c r="E27" i="111"/>
  <c r="Z33" i="95" s="1"/>
  <c r="E39" i="111"/>
  <c r="Z45" i="95" s="1"/>
  <c r="Z21" i="95"/>
  <c r="S51" i="111"/>
  <c r="Z57" i="113" s="1"/>
  <c r="S39" i="111"/>
  <c r="Z45" i="113" s="1"/>
  <c r="E51" i="111"/>
  <c r="Z57" i="95" s="1"/>
  <c r="Z21" i="113"/>
  <c r="G37" i="120"/>
  <c r="F37" i="120"/>
  <c r="T37" i="120"/>
  <c r="U37" i="120"/>
  <c r="T16" i="110"/>
  <c r="S16" i="110"/>
  <c r="T16" i="100"/>
  <c r="S16" i="100"/>
  <c r="J13" i="117"/>
  <c r="N13" i="117" s="1"/>
  <c r="S13" i="117"/>
  <c r="T13" i="117"/>
  <c r="S41" i="119"/>
  <c r="E41" i="119"/>
  <c r="S53" i="119"/>
  <c r="E53" i="119"/>
  <c r="S29" i="119"/>
  <c r="E29" i="119"/>
  <c r="F48" i="117"/>
  <c r="G48" i="117"/>
  <c r="G36" i="117"/>
  <c r="F36" i="117"/>
  <c r="N15" i="115"/>
  <c r="W15" i="115"/>
  <c r="R15" i="115"/>
  <c r="T49" i="120"/>
  <c r="U49" i="120"/>
  <c r="T25" i="120"/>
  <c r="U25" i="120"/>
  <c r="S29" i="107"/>
  <c r="V35" i="113" s="1"/>
  <c r="E29" i="107"/>
  <c r="V35" i="95" s="1"/>
  <c r="S41" i="107"/>
  <c r="V47" i="113" s="1"/>
  <c r="V23" i="95"/>
  <c r="E41" i="107"/>
  <c r="V47" i="95" s="1"/>
  <c r="E53" i="107"/>
  <c r="V59" i="95" s="1"/>
  <c r="V23" i="113"/>
  <c r="S53" i="107"/>
  <c r="V59" i="113" s="1"/>
  <c r="T14" i="96"/>
  <c r="S10" i="92"/>
  <c r="T12" i="94"/>
  <c r="S12" i="94"/>
  <c r="T11" i="91"/>
  <c r="S11" i="91"/>
  <c r="S13" i="102"/>
  <c r="T13" i="102"/>
  <c r="W14" i="87"/>
  <c r="R14" i="87"/>
  <c r="N14" i="87"/>
  <c r="S27" i="100"/>
  <c r="E39" i="100"/>
  <c r="S51" i="100"/>
  <c r="M57" i="113" s="1"/>
  <c r="E51" i="100"/>
  <c r="M57" i="95" s="1"/>
  <c r="M21" i="113"/>
  <c r="E27" i="100"/>
  <c r="S39" i="100"/>
  <c r="M21" i="95"/>
  <c r="F24" i="117"/>
  <c r="G24" i="117"/>
  <c r="U36" i="117"/>
  <c r="T36" i="117"/>
  <c r="S38" i="90"/>
  <c r="E38" i="90"/>
  <c r="E20" i="113"/>
  <c r="E26" i="90"/>
  <c r="E20" i="95"/>
  <c r="S50" i="90"/>
  <c r="S26" i="90"/>
  <c r="E50" i="90"/>
  <c r="M16" i="112"/>
  <c r="T16" i="112"/>
  <c r="S16" i="112"/>
  <c r="S36" i="87"/>
  <c r="C18" i="95"/>
  <c r="O16" i="97" s="1"/>
  <c r="C32" i="32" s="1"/>
  <c r="E48" i="87"/>
  <c r="S48" i="87"/>
  <c r="C18" i="113"/>
  <c r="E36" i="87"/>
  <c r="S24" i="87"/>
  <c r="E24" i="87"/>
  <c r="S27" i="103"/>
  <c r="P21" i="113"/>
  <c r="E39" i="103"/>
  <c r="S39" i="103"/>
  <c r="E51" i="103"/>
  <c r="P57" i="95" s="1"/>
  <c r="P21" i="95"/>
  <c r="S51" i="103"/>
  <c r="P57" i="113" s="1"/>
  <c r="E27" i="103"/>
  <c r="F25" i="120"/>
  <c r="G25" i="120"/>
  <c r="S14" i="96"/>
  <c r="S12" i="92"/>
  <c r="V10" i="95"/>
  <c r="T23" i="115"/>
  <c r="U14" i="111"/>
  <c r="T40" i="111" s="1"/>
  <c r="V11" i="111"/>
  <c r="F25" i="111"/>
  <c r="Z7" i="95"/>
  <c r="T37" i="111"/>
  <c r="F49" i="111"/>
  <c r="Z7" i="113"/>
  <c r="U25" i="111"/>
  <c r="U13" i="100"/>
  <c r="V12" i="100"/>
  <c r="N13" i="93"/>
  <c r="W13" i="93"/>
  <c r="G49" i="106"/>
  <c r="G50" i="108"/>
  <c r="G38" i="108"/>
  <c r="U50" i="108"/>
  <c r="W8" i="95"/>
  <c r="W67" i="95" s="1"/>
  <c r="M7" i="95"/>
  <c r="M66" i="95" s="1"/>
  <c r="G25" i="100"/>
  <c r="V11" i="100"/>
  <c r="U49" i="100"/>
  <c r="F37" i="100"/>
  <c r="T25" i="100"/>
  <c r="T49" i="100"/>
  <c r="G37" i="100"/>
  <c r="F25" i="100"/>
  <c r="F49" i="100"/>
  <c r="M7" i="113"/>
  <c r="M67" i="113" s="1"/>
  <c r="T37" i="100"/>
  <c r="G49" i="100"/>
  <c r="U25" i="100"/>
  <c r="U37" i="100"/>
  <c r="V13" i="111"/>
  <c r="Z9" i="113"/>
  <c r="Z9" i="95"/>
  <c r="T51" i="111"/>
  <c r="AA7" i="113"/>
  <c r="AA67" i="113" s="1"/>
  <c r="G49" i="112"/>
  <c r="U37" i="112"/>
  <c r="U49" i="112"/>
  <c r="V11" i="112"/>
  <c r="F49" i="112"/>
  <c r="U12" i="112"/>
  <c r="U13" i="112" s="1"/>
  <c r="T25" i="112"/>
  <c r="AA7" i="95"/>
  <c r="AA66" i="95" s="1"/>
  <c r="F25" i="112"/>
  <c r="T49" i="112"/>
  <c r="G37" i="112"/>
  <c r="U25" i="112"/>
  <c r="G25" i="112"/>
  <c r="F37" i="112"/>
  <c r="T37" i="112"/>
  <c r="T38" i="108"/>
  <c r="G26" i="108"/>
  <c r="F26" i="108"/>
  <c r="G27" i="121"/>
  <c r="U13" i="104"/>
  <c r="Q8" i="95"/>
  <c r="Q67" i="95" s="1"/>
  <c r="T26" i="104"/>
  <c r="Q8" i="113"/>
  <c r="Q68" i="113" s="1"/>
  <c r="U26" i="104"/>
  <c r="V12" i="104"/>
  <c r="G38" i="104"/>
  <c r="F50" i="104"/>
  <c r="U38" i="104"/>
  <c r="F38" i="104"/>
  <c r="T50" i="104"/>
  <c r="T38" i="104"/>
  <c r="F26" i="104"/>
  <c r="G26" i="104"/>
  <c r="G50" i="104"/>
  <c r="U50" i="104"/>
  <c r="F50" i="108"/>
  <c r="U49" i="106"/>
  <c r="F38" i="108"/>
  <c r="W12" i="99"/>
  <c r="U9" i="92"/>
  <c r="U23" i="92" s="1"/>
  <c r="T35" i="115"/>
  <c r="F35" i="115"/>
  <c r="G51" i="121"/>
  <c r="T50" i="108"/>
  <c r="G25" i="106"/>
  <c r="T26" i="108"/>
  <c r="W8" i="113"/>
  <c r="W68" i="113" s="1"/>
  <c r="T51" i="80"/>
  <c r="G27" i="80"/>
  <c r="F39" i="80"/>
  <c r="B9" i="113"/>
  <c r="B69" i="113" s="1"/>
  <c r="U12" i="99"/>
  <c r="U13" i="99" s="1"/>
  <c r="V13" i="99" s="1"/>
  <c r="U13" i="93"/>
  <c r="H9" i="113" s="1"/>
  <c r="U13" i="87"/>
  <c r="S48" i="115"/>
  <c r="U48" i="115" s="1"/>
  <c r="E24" i="115"/>
  <c r="G24" i="115" s="1"/>
  <c r="S36" i="115"/>
  <c r="U36" i="115" s="1"/>
  <c r="E36" i="115"/>
  <c r="G36" i="115" s="1"/>
  <c r="E48" i="115"/>
  <c r="G48" i="115" s="1"/>
  <c r="S24" i="115"/>
  <c r="U24" i="115" s="1"/>
  <c r="N13" i="116"/>
  <c r="R13" i="116"/>
  <c r="W13" i="116"/>
  <c r="U14" i="121"/>
  <c r="U52" i="121" s="1"/>
  <c r="F27" i="121"/>
  <c r="T39" i="121"/>
  <c r="U13" i="118"/>
  <c r="V12" i="118"/>
  <c r="F26" i="118"/>
  <c r="F50" i="118"/>
  <c r="T38" i="118"/>
  <c r="F38" i="118"/>
  <c r="T26" i="118"/>
  <c r="U12" i="106"/>
  <c r="S7" i="95"/>
  <c r="S7" i="113"/>
  <c r="U26" i="118"/>
  <c r="U25" i="121"/>
  <c r="T25" i="121"/>
  <c r="G37" i="121"/>
  <c r="F37" i="121"/>
  <c r="U14" i="120"/>
  <c r="U52" i="120" s="1"/>
  <c r="F51" i="120"/>
  <c r="F39" i="120"/>
  <c r="T27" i="120"/>
  <c r="F27" i="120"/>
  <c r="V13" i="120"/>
  <c r="T51" i="120"/>
  <c r="T39" i="120"/>
  <c r="U51" i="120"/>
  <c r="G51" i="120"/>
  <c r="G27" i="120"/>
  <c r="U39" i="120"/>
  <c r="U27" i="120"/>
  <c r="G39" i="120"/>
  <c r="R54" i="113"/>
  <c r="U48" i="105"/>
  <c r="T48" i="105"/>
  <c r="T50" i="117"/>
  <c r="F50" i="117"/>
  <c r="F38" i="117"/>
  <c r="F26" i="117"/>
  <c r="V12" i="117"/>
  <c r="T38" i="117"/>
  <c r="T26" i="117"/>
  <c r="G38" i="117"/>
  <c r="G50" i="117"/>
  <c r="G26" i="117"/>
  <c r="U38" i="117"/>
  <c r="U26" i="117"/>
  <c r="U50" i="117"/>
  <c r="U27" i="89"/>
  <c r="F39" i="89"/>
  <c r="L9" i="95"/>
  <c r="L68" i="95" s="1"/>
  <c r="F51" i="89"/>
  <c r="U39" i="89"/>
  <c r="T51" i="89"/>
  <c r="L9" i="113"/>
  <c r="L69" i="113" s="1"/>
  <c r="G51" i="89"/>
  <c r="G27" i="89"/>
  <c r="F27" i="89"/>
  <c r="V13" i="89"/>
  <c r="G39" i="89"/>
  <c r="U51" i="89"/>
  <c r="T39" i="89"/>
  <c r="T27" i="89"/>
  <c r="K15" i="120"/>
  <c r="U14" i="105"/>
  <c r="U27" i="105"/>
  <c r="F27" i="105"/>
  <c r="U51" i="105"/>
  <c r="F39" i="105"/>
  <c r="T27" i="105"/>
  <c r="U39" i="105"/>
  <c r="G51" i="105"/>
  <c r="G39" i="105"/>
  <c r="R9" i="95"/>
  <c r="R68" i="95" s="1"/>
  <c r="T39" i="105"/>
  <c r="F51" i="105"/>
  <c r="V13" i="105"/>
  <c r="G27" i="105"/>
  <c r="T51" i="105"/>
  <c r="R9" i="113"/>
  <c r="R69" i="113" s="1"/>
  <c r="J16" i="118"/>
  <c r="G38" i="118"/>
  <c r="G26" i="118"/>
  <c r="U16" i="101"/>
  <c r="N11" i="95"/>
  <c r="N70" i="95" s="1"/>
  <c r="U53" i="101"/>
  <c r="T41" i="101"/>
  <c r="G41" i="101"/>
  <c r="T53" i="101"/>
  <c r="F29" i="101"/>
  <c r="G29" i="101"/>
  <c r="G53" i="101"/>
  <c r="U41" i="101"/>
  <c r="V15" i="101"/>
  <c r="U29" i="101"/>
  <c r="T29" i="101"/>
  <c r="N11" i="113"/>
  <c r="N71" i="113" s="1"/>
  <c r="F41" i="101"/>
  <c r="F53" i="101"/>
  <c r="V11" i="106"/>
  <c r="U37" i="121"/>
  <c r="T37" i="121"/>
  <c r="R42" i="95"/>
  <c r="F24" i="105"/>
  <c r="R30" i="95"/>
  <c r="R65" i="95" s="1"/>
  <c r="G24" i="105"/>
  <c r="U13" i="103"/>
  <c r="V12" i="103"/>
  <c r="G38" i="103"/>
  <c r="T50" i="103"/>
  <c r="T26" i="103"/>
  <c r="G50" i="103"/>
  <c r="T38" i="103"/>
  <c r="P8" i="113"/>
  <c r="P68" i="113" s="1"/>
  <c r="G26" i="103"/>
  <c r="P8" i="95"/>
  <c r="P67" i="95" s="1"/>
  <c r="U26" i="103"/>
  <c r="F38" i="103"/>
  <c r="F26" i="103"/>
  <c r="U38" i="103"/>
  <c r="U50" i="103"/>
  <c r="F50" i="103"/>
  <c r="U14" i="88"/>
  <c r="U40" i="88" s="1"/>
  <c r="T39" i="88"/>
  <c r="F51" i="88"/>
  <c r="V13" i="88"/>
  <c r="U27" i="88"/>
  <c r="D9" i="95"/>
  <c r="D68" i="95" s="1"/>
  <c r="G51" i="88"/>
  <c r="F39" i="88"/>
  <c r="G39" i="88"/>
  <c r="U39" i="88"/>
  <c r="F27" i="88"/>
  <c r="G27" i="88"/>
  <c r="U51" i="88"/>
  <c r="T27" i="88"/>
  <c r="T51" i="88"/>
  <c r="D9" i="113"/>
  <c r="D69" i="113" s="1"/>
  <c r="J14" i="118"/>
  <c r="R13" i="115"/>
  <c r="N13" i="115"/>
  <c r="W13" i="115"/>
  <c r="U15" i="107"/>
  <c r="U38" i="118"/>
  <c r="U14" i="109"/>
  <c r="X10" i="95" s="1"/>
  <c r="X9" i="95"/>
  <c r="X68" i="95" s="1"/>
  <c r="T51" i="109"/>
  <c r="U27" i="109"/>
  <c r="X9" i="113"/>
  <c r="X69" i="113" s="1"/>
  <c r="T27" i="109"/>
  <c r="G27" i="109"/>
  <c r="T39" i="109"/>
  <c r="G39" i="109"/>
  <c r="F39" i="109"/>
  <c r="F51" i="109"/>
  <c r="U39" i="109"/>
  <c r="V13" i="109"/>
  <c r="G51" i="109"/>
  <c r="U51" i="109"/>
  <c r="F27" i="109"/>
  <c r="U13" i="108"/>
  <c r="U26" i="108"/>
  <c r="G49" i="121"/>
  <c r="F49" i="121"/>
  <c r="F48" i="105"/>
  <c r="R54" i="95"/>
  <c r="G48" i="105"/>
  <c r="F36" i="105"/>
  <c r="G36" i="105"/>
  <c r="S26" i="93"/>
  <c r="S50" i="93"/>
  <c r="E50" i="93"/>
  <c r="H20" i="95"/>
  <c r="H20" i="113"/>
  <c r="E26" i="93"/>
  <c r="S38" i="93"/>
  <c r="E38" i="93"/>
  <c r="S42" i="116"/>
  <c r="E42" i="116"/>
  <c r="E30" i="116"/>
  <c r="S54" i="116"/>
  <c r="S30" i="116"/>
  <c r="E54" i="116"/>
  <c r="K14" i="115"/>
  <c r="U13" i="116"/>
  <c r="V12" i="116"/>
  <c r="T26" i="116"/>
  <c r="F50" i="116"/>
  <c r="T38" i="116"/>
  <c r="F38" i="116"/>
  <c r="T50" i="116"/>
  <c r="F26" i="116"/>
  <c r="U50" i="116"/>
  <c r="G38" i="116"/>
  <c r="U38" i="116"/>
  <c r="U26" i="116"/>
  <c r="G50" i="116"/>
  <c r="G26" i="116"/>
  <c r="I16" i="115"/>
  <c r="J16" i="115" s="1"/>
  <c r="K16" i="115" s="1"/>
  <c r="L16" i="115" s="1"/>
  <c r="F37" i="119"/>
  <c r="F49" i="119"/>
  <c r="T37" i="119"/>
  <c r="T25" i="119"/>
  <c r="F25" i="119"/>
  <c r="T49" i="119"/>
  <c r="V11" i="119"/>
  <c r="U37" i="119"/>
  <c r="U49" i="119"/>
  <c r="G25" i="119"/>
  <c r="G49" i="119"/>
  <c r="U25" i="119"/>
  <c r="G37" i="119"/>
  <c r="U12" i="119"/>
  <c r="G50" i="118"/>
  <c r="G25" i="121"/>
  <c r="F25" i="121"/>
  <c r="U49" i="121"/>
  <c r="T49" i="121"/>
  <c r="U36" i="105"/>
  <c r="T36" i="105"/>
  <c r="U24" i="105"/>
  <c r="R42" i="113"/>
  <c r="R30" i="113"/>
  <c r="R66" i="113" s="1"/>
  <c r="T24" i="105"/>
  <c r="U11" i="115"/>
  <c r="V10" i="115"/>
  <c r="E38" i="111"/>
  <c r="G38" i="111" s="1"/>
  <c r="Z20" i="113"/>
  <c r="S50" i="111"/>
  <c r="Z56" i="113" s="1"/>
  <c r="S38" i="111"/>
  <c r="Z44" i="113" s="1"/>
  <c r="U26" i="111"/>
  <c r="Z20" i="95"/>
  <c r="E50" i="111"/>
  <c r="G50" i="111" s="1"/>
  <c r="D24" i="113"/>
  <c r="E42" i="88"/>
  <c r="D48" i="95" s="1"/>
  <c r="S42" i="88"/>
  <c r="D48" i="113" s="1"/>
  <c r="S54" i="88"/>
  <c r="D60" i="113" s="1"/>
  <c r="E54" i="88"/>
  <c r="D60" i="95" s="1"/>
  <c r="D24" i="95"/>
  <c r="R12" i="99"/>
  <c r="S26" i="99" s="1"/>
  <c r="N14" i="96"/>
  <c r="G18" i="113"/>
  <c r="J13" i="102"/>
  <c r="W13" i="102" s="1"/>
  <c r="R15" i="111"/>
  <c r="N15" i="111"/>
  <c r="W15" i="111"/>
  <c r="N10" i="92"/>
  <c r="S48" i="92"/>
  <c r="G54" i="113" s="1"/>
  <c r="E36" i="92"/>
  <c r="G42" i="95" s="1"/>
  <c r="W10" i="92"/>
  <c r="E24" i="92"/>
  <c r="G30" i="95" s="1"/>
  <c r="S21" i="97" s="1"/>
  <c r="G37" i="32" s="1"/>
  <c r="G18" i="95"/>
  <c r="S16" i="97" s="1"/>
  <c r="G32" i="32" s="1"/>
  <c r="E48" i="92"/>
  <c r="G54" i="95" s="1"/>
  <c r="S26" i="101"/>
  <c r="N20" i="113"/>
  <c r="N20" i="95"/>
  <c r="E26" i="101"/>
  <c r="E50" i="101"/>
  <c r="E38" i="101"/>
  <c r="S38" i="101"/>
  <c r="S50" i="101"/>
  <c r="I12" i="94"/>
  <c r="R12" i="94" s="1"/>
  <c r="S26" i="94" s="1"/>
  <c r="S36" i="92"/>
  <c r="G42" i="113" s="1"/>
  <c r="M16" i="100"/>
  <c r="W14" i="96"/>
  <c r="R14" i="96"/>
  <c r="S28" i="96" s="1"/>
  <c r="E15" i="96"/>
  <c r="E13" i="96"/>
  <c r="S21" i="96"/>
  <c r="E33" i="96"/>
  <c r="E45" i="96"/>
  <c r="E21" i="96"/>
  <c r="J15" i="113"/>
  <c r="J15" i="95"/>
  <c r="S33" i="96"/>
  <c r="S45" i="96"/>
  <c r="E9" i="96"/>
  <c r="T9" i="96" s="1"/>
  <c r="E16" i="96"/>
  <c r="E8" i="96"/>
  <c r="W8" i="96" s="1"/>
  <c r="E11" i="96"/>
  <c r="E10" i="96"/>
  <c r="E12" i="96"/>
  <c r="F12" i="96" s="1"/>
  <c r="G12" i="96" s="1"/>
  <c r="H12" i="96" s="1"/>
  <c r="S12" i="96" s="1"/>
  <c r="P41" i="97"/>
  <c r="D37" i="32"/>
  <c r="Q40" i="97"/>
  <c r="E36" i="32"/>
  <c r="Q41" i="97"/>
  <c r="E37" i="32"/>
  <c r="G34" i="91"/>
  <c r="F40" i="95"/>
  <c r="M8" i="113"/>
  <c r="U26" i="100"/>
  <c r="F40" i="113"/>
  <c r="U34" i="91"/>
  <c r="F46" i="91"/>
  <c r="F22" i="91"/>
  <c r="O10" i="97"/>
  <c r="G22" i="91"/>
  <c r="U46" i="91"/>
  <c r="G46" i="91"/>
  <c r="M8" i="95"/>
  <c r="F52" i="113"/>
  <c r="V69" i="113"/>
  <c r="V68" i="95"/>
  <c r="F6" i="95"/>
  <c r="R11" i="97" s="1"/>
  <c r="F27" i="32" s="1"/>
  <c r="F5" i="95"/>
  <c r="R10" i="97" s="1"/>
  <c r="F26" i="32" s="1"/>
  <c r="V9" i="91"/>
  <c r="L67" i="113"/>
  <c r="R39" i="97"/>
  <c r="R45" i="97"/>
  <c r="C7" i="113"/>
  <c r="F63" i="95"/>
  <c r="R29" i="97" s="1"/>
  <c r="F40" i="32" s="1"/>
  <c r="T36" i="99"/>
  <c r="U36" i="99"/>
  <c r="D36" i="95"/>
  <c r="I46" i="95"/>
  <c r="T36" i="101"/>
  <c r="U36" i="101"/>
  <c r="G41" i="95"/>
  <c r="Z31" i="95"/>
  <c r="G25" i="111"/>
  <c r="F47" i="95"/>
  <c r="G57" i="113"/>
  <c r="G53" i="95"/>
  <c r="G33" i="95"/>
  <c r="F47" i="113"/>
  <c r="G29" i="95"/>
  <c r="S20" i="97" s="1"/>
  <c r="G36" i="32" s="1"/>
  <c r="I34" i="95"/>
  <c r="V11" i="105"/>
  <c r="I58" i="95"/>
  <c r="G41" i="113"/>
  <c r="G45" i="95"/>
  <c r="F37" i="106"/>
  <c r="G37" i="106"/>
  <c r="F36" i="99"/>
  <c r="G36" i="99"/>
  <c r="Z55" i="113"/>
  <c r="U49" i="111"/>
  <c r="F59" i="113"/>
  <c r="G45" i="113"/>
  <c r="T37" i="99"/>
  <c r="U37" i="99"/>
  <c r="U25" i="105"/>
  <c r="T49" i="111"/>
  <c r="G38" i="100"/>
  <c r="Z43" i="113"/>
  <c r="U37" i="111"/>
  <c r="R7" i="113"/>
  <c r="Z55" i="95"/>
  <c r="G49" i="111"/>
  <c r="I58" i="113"/>
  <c r="F36" i="101"/>
  <c r="G36" i="101"/>
  <c r="G53" i="113"/>
  <c r="G57" i="95"/>
  <c r="T37" i="106"/>
  <c r="U37" i="106"/>
  <c r="F35" i="95"/>
  <c r="I46" i="113"/>
  <c r="Z43" i="95"/>
  <c r="G37" i="111"/>
  <c r="F59" i="95"/>
  <c r="I41" i="113"/>
  <c r="T35" i="94"/>
  <c r="G33" i="113"/>
  <c r="F22" i="113"/>
  <c r="S40" i="91"/>
  <c r="S52" i="91"/>
  <c r="F22" i="95"/>
  <c r="E40" i="91"/>
  <c r="E52" i="91"/>
  <c r="E28" i="91"/>
  <c r="S28" i="91"/>
  <c r="S55" i="113"/>
  <c r="T49" i="106"/>
  <c r="J15" i="110"/>
  <c r="K15" i="110" s="1"/>
  <c r="F64" i="113"/>
  <c r="R35" i="97" s="1"/>
  <c r="I23" i="113"/>
  <c r="I23" i="95"/>
  <c r="E53" i="94"/>
  <c r="E29" i="94"/>
  <c r="E41" i="94"/>
  <c r="S41" i="94"/>
  <c r="S53" i="94"/>
  <c r="R16" i="101"/>
  <c r="S30" i="101" s="1"/>
  <c r="N16" i="101"/>
  <c r="W16" i="101"/>
  <c r="M32" i="95"/>
  <c r="T24" i="101"/>
  <c r="N30" i="113"/>
  <c r="N66" i="113" s="1"/>
  <c r="N42" i="113"/>
  <c r="T24" i="99"/>
  <c r="U42" i="113"/>
  <c r="U30" i="113"/>
  <c r="U66" i="113" s="1"/>
  <c r="T23" i="94"/>
  <c r="I29" i="113"/>
  <c r="E57" i="113"/>
  <c r="D34" i="113"/>
  <c r="S43" i="95"/>
  <c r="S31" i="95"/>
  <c r="F25" i="106"/>
  <c r="H21" i="113"/>
  <c r="H21" i="95"/>
  <c r="E27" i="93"/>
  <c r="E51" i="93"/>
  <c r="S39" i="93"/>
  <c r="S51" i="93"/>
  <c r="E39" i="93"/>
  <c r="O19" i="113"/>
  <c r="S37" i="102"/>
  <c r="O19" i="95"/>
  <c r="E37" i="102"/>
  <c r="E49" i="102"/>
  <c r="G49" i="102" s="1"/>
  <c r="E25" i="102"/>
  <c r="G25" i="102" s="1"/>
  <c r="S49" i="102"/>
  <c r="U49" i="102" s="1"/>
  <c r="G30" i="113"/>
  <c r="G63" i="113"/>
  <c r="S34" i="97" s="1"/>
  <c r="U11" i="97"/>
  <c r="X43" i="95"/>
  <c r="F37" i="109"/>
  <c r="E45" i="113"/>
  <c r="D58" i="113"/>
  <c r="E28" i="99"/>
  <c r="S40" i="99"/>
  <c r="I18" i="113"/>
  <c r="S36" i="94"/>
  <c r="U36" i="94" s="1"/>
  <c r="E48" i="94"/>
  <c r="G48" i="94" s="1"/>
  <c r="I18" i="95"/>
  <c r="U16" i="97" s="1"/>
  <c r="E36" i="94"/>
  <c r="G36" i="94" s="1"/>
  <c r="E24" i="94"/>
  <c r="G24" i="94" s="1"/>
  <c r="S48" i="94"/>
  <c r="U48" i="94" s="1"/>
  <c r="J13" i="110"/>
  <c r="R11" i="92"/>
  <c r="S25" i="92" s="1"/>
  <c r="N11" i="92"/>
  <c r="W11" i="92"/>
  <c r="T25" i="99"/>
  <c r="U43" i="113"/>
  <c r="U31" i="113"/>
  <c r="U67" i="113" s="1"/>
  <c r="J14" i="89"/>
  <c r="G16" i="113"/>
  <c r="S34" i="92"/>
  <c r="U34" i="92" s="1"/>
  <c r="E22" i="92"/>
  <c r="G22" i="92" s="1"/>
  <c r="E46" i="92"/>
  <c r="G46" i="92" s="1"/>
  <c r="G16" i="95"/>
  <c r="S14" i="97" s="1"/>
  <c r="G30" i="32" s="1"/>
  <c r="E34" i="92"/>
  <c r="G34" i="92" s="1"/>
  <c r="S46" i="92"/>
  <c r="U46" i="92" s="1"/>
  <c r="F25" i="109"/>
  <c r="X31" i="95"/>
  <c r="X66" i="95" s="1"/>
  <c r="N54" i="113"/>
  <c r="T48" i="101"/>
  <c r="U54" i="113"/>
  <c r="T48" i="99"/>
  <c r="I53" i="113"/>
  <c r="T47" i="94"/>
  <c r="E45" i="95"/>
  <c r="D46" i="95"/>
  <c r="S55" i="95"/>
  <c r="F49" i="106"/>
  <c r="H11" i="91"/>
  <c r="N11" i="87"/>
  <c r="R11" i="87"/>
  <c r="U42" i="95"/>
  <c r="U30" i="95"/>
  <c r="U65" i="95" s="1"/>
  <c r="F24" i="99"/>
  <c r="I29" i="95"/>
  <c r="F23" i="94"/>
  <c r="E33" i="113"/>
  <c r="D58" i="95"/>
  <c r="J15" i="89"/>
  <c r="K15" i="89" s="1"/>
  <c r="W11" i="87"/>
  <c r="X55" i="95"/>
  <c r="F49" i="109"/>
  <c r="X55" i="113"/>
  <c r="T49" i="109"/>
  <c r="S9" i="97"/>
  <c r="G25" i="32" s="1"/>
  <c r="R19" i="113"/>
  <c r="R19" i="95"/>
  <c r="E49" i="105"/>
  <c r="G49" i="105" s="1"/>
  <c r="E37" i="105"/>
  <c r="E25" i="105"/>
  <c r="G25" i="105" s="1"/>
  <c r="S37" i="105"/>
  <c r="S49" i="105"/>
  <c r="U49" i="105" s="1"/>
  <c r="T26" i="100"/>
  <c r="M32" i="113"/>
  <c r="M44" i="113"/>
  <c r="N54" i="95"/>
  <c r="F48" i="101"/>
  <c r="I41" i="95"/>
  <c r="F35" i="94"/>
  <c r="E33" i="95"/>
  <c r="F27" i="90"/>
  <c r="D46" i="113"/>
  <c r="Z8" i="113"/>
  <c r="Z8" i="95"/>
  <c r="V12" i="111"/>
  <c r="T25" i="106"/>
  <c r="S43" i="113"/>
  <c r="S31" i="113"/>
  <c r="R13" i="112"/>
  <c r="S27" i="112" s="1"/>
  <c r="N13" i="112"/>
  <c r="T25" i="111"/>
  <c r="Z31" i="113"/>
  <c r="M16" i="110"/>
  <c r="J15" i="112"/>
  <c r="K14" i="93"/>
  <c r="G16" i="92"/>
  <c r="F21" i="113"/>
  <c r="S39" i="91"/>
  <c r="E39" i="91"/>
  <c r="F21" i="95"/>
  <c r="E27" i="91"/>
  <c r="E51" i="91"/>
  <c r="S51" i="91"/>
  <c r="S27" i="91"/>
  <c r="U54" i="95"/>
  <c r="F48" i="99"/>
  <c r="I53" i="95"/>
  <c r="F47" i="94"/>
  <c r="E57" i="95"/>
  <c r="I19" i="113"/>
  <c r="E37" i="94"/>
  <c r="E25" i="94"/>
  <c r="S37" i="94"/>
  <c r="E49" i="94"/>
  <c r="I19" i="95"/>
  <c r="S49" i="94"/>
  <c r="F17" i="113"/>
  <c r="S35" i="91"/>
  <c r="U35" i="91" s="1"/>
  <c r="S23" i="91"/>
  <c r="U23" i="91" s="1"/>
  <c r="E35" i="91"/>
  <c r="G35" i="91" s="1"/>
  <c r="E23" i="91"/>
  <c r="G23" i="91" s="1"/>
  <c r="E47" i="91"/>
  <c r="G47" i="91" s="1"/>
  <c r="F17" i="95"/>
  <c r="R15" i="97" s="1"/>
  <c r="F31" i="32" s="1"/>
  <c r="S47" i="91"/>
  <c r="U47" i="91" s="1"/>
  <c r="R14" i="110"/>
  <c r="S28" i="110" s="1"/>
  <c r="N14" i="110"/>
  <c r="F35" i="113"/>
  <c r="T28" i="109"/>
  <c r="X34" i="113"/>
  <c r="Y19" i="113"/>
  <c r="S37" i="110"/>
  <c r="U37" i="110" s="1"/>
  <c r="Y19" i="95"/>
  <c r="E25" i="110"/>
  <c r="G25" i="110" s="1"/>
  <c r="E37" i="110"/>
  <c r="G37" i="110" s="1"/>
  <c r="E49" i="110"/>
  <c r="G49" i="110" s="1"/>
  <c r="S49" i="110"/>
  <c r="U49" i="110" s="1"/>
  <c r="F18" i="113"/>
  <c r="S36" i="91"/>
  <c r="U36" i="91" s="1"/>
  <c r="S24" i="91"/>
  <c r="U24" i="91" s="1"/>
  <c r="E24" i="91"/>
  <c r="G24" i="91" s="1"/>
  <c r="E36" i="91"/>
  <c r="G36" i="91" s="1"/>
  <c r="F18" i="95"/>
  <c r="R16" i="97" s="1"/>
  <c r="F32" i="32" s="1"/>
  <c r="E48" i="91"/>
  <c r="G48" i="91" s="1"/>
  <c r="S48" i="91"/>
  <c r="U48" i="91" s="1"/>
  <c r="N15" i="88"/>
  <c r="R15" i="88"/>
  <c r="W15" i="88"/>
  <c r="T26" i="111"/>
  <c r="Z32" i="113"/>
  <c r="T25" i="109"/>
  <c r="X31" i="113"/>
  <c r="X67" i="113" s="1"/>
  <c r="X43" i="113"/>
  <c r="T37" i="109"/>
  <c r="I34" i="113"/>
  <c r="G14" i="92"/>
  <c r="N42" i="95"/>
  <c r="N30" i="95"/>
  <c r="N65" i="95" s="1"/>
  <c r="F24" i="101"/>
  <c r="G29" i="113"/>
  <c r="S26" i="97" s="1"/>
  <c r="D34" i="95"/>
  <c r="N15" i="92"/>
  <c r="R15" i="92"/>
  <c r="S29" i="92" s="1"/>
  <c r="U28" i="121" l="1"/>
  <c r="T50" i="118"/>
  <c r="U38" i="100"/>
  <c r="G28" i="120"/>
  <c r="U40" i="120"/>
  <c r="F27" i="111"/>
  <c r="U55" i="113"/>
  <c r="F49" i="99"/>
  <c r="W13" i="117"/>
  <c r="U55" i="95"/>
  <c r="T27" i="111"/>
  <c r="T40" i="88"/>
  <c r="F24" i="115"/>
  <c r="T51" i="121"/>
  <c r="E52" i="99"/>
  <c r="U22" i="113"/>
  <c r="M44" i="95"/>
  <c r="G51" i="80"/>
  <c r="U51" i="80"/>
  <c r="B9" i="95"/>
  <c r="B68" i="95" s="1"/>
  <c r="T39" i="80"/>
  <c r="U27" i="121"/>
  <c r="T40" i="107"/>
  <c r="G26" i="100"/>
  <c r="V13" i="80"/>
  <c r="U27" i="80"/>
  <c r="F51" i="80"/>
  <c r="U39" i="80"/>
  <c r="E40" i="99"/>
  <c r="W12" i="92"/>
  <c r="S52" i="99"/>
  <c r="U22" i="95"/>
  <c r="F26" i="87"/>
  <c r="U14" i="80"/>
  <c r="F52" i="80" s="1"/>
  <c r="F27" i="80"/>
  <c r="G39" i="80"/>
  <c r="F40" i="107"/>
  <c r="U26" i="87"/>
  <c r="T39" i="90"/>
  <c r="G50" i="100"/>
  <c r="G39" i="121"/>
  <c r="T50" i="100"/>
  <c r="F50" i="100"/>
  <c r="U50" i="100"/>
  <c r="F52" i="111"/>
  <c r="S66" i="95"/>
  <c r="T52" i="111"/>
  <c r="T26" i="87"/>
  <c r="U28" i="111"/>
  <c r="U40" i="121"/>
  <c r="Z10" i="113"/>
  <c r="Z70" i="113" s="1"/>
  <c r="T39" i="111"/>
  <c r="F37" i="99"/>
  <c r="G38" i="87"/>
  <c r="T50" i="87"/>
  <c r="F38" i="87"/>
  <c r="C8" i="95"/>
  <c r="C67" i="95" s="1"/>
  <c r="G27" i="111"/>
  <c r="U39" i="111"/>
  <c r="T52" i="107"/>
  <c r="F26" i="111"/>
  <c r="G26" i="111"/>
  <c r="C65" i="113"/>
  <c r="O36" i="97" s="1"/>
  <c r="V12" i="87"/>
  <c r="C8" i="113"/>
  <c r="C68" i="113" s="1"/>
  <c r="G26" i="87"/>
  <c r="U52" i="107"/>
  <c r="U50" i="87"/>
  <c r="U38" i="87"/>
  <c r="R13" i="117"/>
  <c r="S51" i="117" s="1"/>
  <c r="U51" i="111"/>
  <c r="Z69" i="113"/>
  <c r="U27" i="111"/>
  <c r="U40" i="107"/>
  <c r="G50" i="87"/>
  <c r="U13" i="117"/>
  <c r="U14" i="117" s="1"/>
  <c r="T49" i="99"/>
  <c r="U11" i="91"/>
  <c r="U12" i="91" s="1"/>
  <c r="F50" i="91" s="1"/>
  <c r="G52" i="120"/>
  <c r="G52" i="121"/>
  <c r="T28" i="111"/>
  <c r="G28" i="111"/>
  <c r="G52" i="111"/>
  <c r="U15" i="111"/>
  <c r="U16" i="111" s="1"/>
  <c r="Z12" i="113" s="1"/>
  <c r="Z72" i="113" s="1"/>
  <c r="U51" i="90"/>
  <c r="F25" i="99"/>
  <c r="Z56" i="95"/>
  <c r="G28" i="121"/>
  <c r="U52" i="111"/>
  <c r="Z10" i="95"/>
  <c r="Z69" i="95" s="1"/>
  <c r="F40" i="111"/>
  <c r="G40" i="111"/>
  <c r="U43" i="95"/>
  <c r="Z66" i="95"/>
  <c r="T24" i="115"/>
  <c r="G40" i="120"/>
  <c r="U40" i="111"/>
  <c r="F28" i="111"/>
  <c r="V14" i="111"/>
  <c r="F50" i="87"/>
  <c r="V69" i="95"/>
  <c r="G39" i="90"/>
  <c r="F39" i="90"/>
  <c r="E9" i="113"/>
  <c r="E69" i="113" s="1"/>
  <c r="U28" i="88"/>
  <c r="U27" i="100"/>
  <c r="G28" i="107"/>
  <c r="U39" i="90"/>
  <c r="V13" i="90"/>
  <c r="R12" i="92"/>
  <c r="S26" i="92" s="1"/>
  <c r="T51" i="90"/>
  <c r="U31" i="95"/>
  <c r="U66" i="95" s="1"/>
  <c r="F51" i="90"/>
  <c r="E68" i="95"/>
  <c r="T27" i="90"/>
  <c r="E52" i="96"/>
  <c r="J58" i="95" s="1"/>
  <c r="U14" i="90"/>
  <c r="U15" i="90" s="1"/>
  <c r="Z68" i="95"/>
  <c r="V70" i="113"/>
  <c r="F28" i="107"/>
  <c r="G27" i="90"/>
  <c r="G51" i="90"/>
  <c r="F52" i="88"/>
  <c r="F36" i="115"/>
  <c r="U28" i="107"/>
  <c r="F39" i="111"/>
  <c r="G39" i="111"/>
  <c r="F51" i="111"/>
  <c r="F52" i="107"/>
  <c r="T28" i="107"/>
  <c r="F28" i="88"/>
  <c r="T50" i="111"/>
  <c r="F40" i="88"/>
  <c r="T28" i="88"/>
  <c r="U50" i="111"/>
  <c r="G51" i="111"/>
  <c r="G40" i="107"/>
  <c r="V46" i="95"/>
  <c r="F50" i="111"/>
  <c r="T52" i="88"/>
  <c r="G52" i="107"/>
  <c r="F36" i="87"/>
  <c r="C42" i="95"/>
  <c r="G36" i="87"/>
  <c r="R16" i="112"/>
  <c r="N16" i="112"/>
  <c r="W16" i="112"/>
  <c r="E44" i="113"/>
  <c r="T38" i="90"/>
  <c r="U38" i="90"/>
  <c r="M33" i="113"/>
  <c r="M45" i="113"/>
  <c r="U39" i="101"/>
  <c r="T39" i="101"/>
  <c r="N33" i="113"/>
  <c r="N69" i="113" s="1"/>
  <c r="N45" i="113"/>
  <c r="U27" i="101"/>
  <c r="T27" i="101"/>
  <c r="P34" i="95"/>
  <c r="P46" i="95"/>
  <c r="S15" i="89"/>
  <c r="T15" i="89"/>
  <c r="S14" i="118"/>
  <c r="T14" i="118"/>
  <c r="P33" i="113"/>
  <c r="P45" i="113"/>
  <c r="C42" i="113"/>
  <c r="T36" i="87"/>
  <c r="U36" i="87"/>
  <c r="E56" i="95"/>
  <c r="G50" i="90"/>
  <c r="F50" i="90"/>
  <c r="E32" i="95"/>
  <c r="E67" i="95" s="1"/>
  <c r="G26" i="90"/>
  <c r="F26" i="90"/>
  <c r="T12" i="96"/>
  <c r="G39" i="101"/>
  <c r="F39" i="101"/>
  <c r="N33" i="95"/>
  <c r="N68" i="95" s="1"/>
  <c r="N45" i="95"/>
  <c r="G27" i="101"/>
  <c r="F27" i="101"/>
  <c r="S14" i="89"/>
  <c r="T14" i="89"/>
  <c r="S16" i="115"/>
  <c r="T16" i="115"/>
  <c r="L15" i="120"/>
  <c r="N15" i="120" s="1"/>
  <c r="T15" i="120"/>
  <c r="S15" i="120"/>
  <c r="P45" i="95"/>
  <c r="P33" i="95"/>
  <c r="C30" i="95"/>
  <c r="G24" i="87"/>
  <c r="F24" i="87"/>
  <c r="T48" i="87"/>
  <c r="C54" i="113"/>
  <c r="U48" i="87"/>
  <c r="E32" i="113"/>
  <c r="E68" i="113" s="1"/>
  <c r="U26" i="90"/>
  <c r="T26" i="90"/>
  <c r="E29" i="115"/>
  <c r="E53" i="115"/>
  <c r="S41" i="115"/>
  <c r="E41" i="115"/>
  <c r="S29" i="115"/>
  <c r="S53" i="115"/>
  <c r="N57" i="113"/>
  <c r="U51" i="101"/>
  <c r="T51" i="101"/>
  <c r="N57" i="95"/>
  <c r="G51" i="101"/>
  <c r="F51" i="101"/>
  <c r="S9" i="96"/>
  <c r="S15" i="110"/>
  <c r="T15" i="110"/>
  <c r="T24" i="87"/>
  <c r="C30" i="113"/>
  <c r="C66" i="113" s="1"/>
  <c r="U24" i="87"/>
  <c r="C54" i="95"/>
  <c r="F48" i="87"/>
  <c r="G48" i="87"/>
  <c r="E56" i="113"/>
  <c r="T50" i="90"/>
  <c r="U50" i="90"/>
  <c r="E44" i="95"/>
  <c r="F38" i="90"/>
  <c r="G38" i="90"/>
  <c r="M33" i="95"/>
  <c r="M45" i="95"/>
  <c r="C22" i="95"/>
  <c r="S52" i="87"/>
  <c r="C58" i="113" s="1"/>
  <c r="C22" i="113"/>
  <c r="E40" i="87"/>
  <c r="C46" i="95" s="1"/>
  <c r="E52" i="87"/>
  <c r="C58" i="95" s="1"/>
  <c r="S28" i="87"/>
  <c r="C34" i="113" s="1"/>
  <c r="E28" i="87"/>
  <c r="C34" i="95" s="1"/>
  <c r="S40" i="87"/>
  <c r="C46" i="113" s="1"/>
  <c r="P34" i="113"/>
  <c r="P46" i="113"/>
  <c r="Z44" i="95"/>
  <c r="F38" i="111"/>
  <c r="N13" i="102"/>
  <c r="T36" i="115"/>
  <c r="V13" i="100"/>
  <c r="G40" i="109"/>
  <c r="F28" i="109"/>
  <c r="U51" i="100"/>
  <c r="F51" i="100"/>
  <c r="T39" i="100"/>
  <c r="G51" i="100"/>
  <c r="U52" i="109"/>
  <c r="T40" i="109"/>
  <c r="T27" i="100"/>
  <c r="M9" i="113"/>
  <c r="U39" i="100"/>
  <c r="T48" i="115"/>
  <c r="G39" i="100"/>
  <c r="T51" i="100"/>
  <c r="U14" i="100"/>
  <c r="T28" i="100" s="1"/>
  <c r="F39" i="100"/>
  <c r="G40" i="121"/>
  <c r="U14" i="99"/>
  <c r="U15" i="99" s="1"/>
  <c r="U29" i="99" s="1"/>
  <c r="U14" i="112"/>
  <c r="G28" i="112" s="1"/>
  <c r="AA9" i="113"/>
  <c r="U20" i="95"/>
  <c r="F48" i="115"/>
  <c r="Z67" i="113"/>
  <c r="Z11" i="95"/>
  <c r="G27" i="99"/>
  <c r="G27" i="100"/>
  <c r="F27" i="100"/>
  <c r="M9" i="95"/>
  <c r="S67" i="113"/>
  <c r="T38" i="111"/>
  <c r="U40" i="109"/>
  <c r="G28" i="109"/>
  <c r="F52" i="109"/>
  <c r="X10" i="113"/>
  <c r="X70" i="113" s="1"/>
  <c r="V14" i="109"/>
  <c r="U9" i="95"/>
  <c r="U68" i="95" s="1"/>
  <c r="U38" i="111"/>
  <c r="G52" i="109"/>
  <c r="T52" i="109"/>
  <c r="U27" i="99"/>
  <c r="F40" i="109"/>
  <c r="V12" i="99"/>
  <c r="F51" i="99"/>
  <c r="T39" i="99"/>
  <c r="AA8" i="113"/>
  <c r="AA68" i="113" s="1"/>
  <c r="V12" i="112"/>
  <c r="F26" i="112"/>
  <c r="G50" i="112"/>
  <c r="G26" i="112"/>
  <c r="F50" i="112"/>
  <c r="T26" i="112"/>
  <c r="U38" i="112"/>
  <c r="F38" i="112"/>
  <c r="G38" i="112"/>
  <c r="U26" i="112"/>
  <c r="T38" i="112"/>
  <c r="U50" i="112"/>
  <c r="T50" i="112"/>
  <c r="AA8" i="95"/>
  <c r="AA67" i="95" s="1"/>
  <c r="F27" i="99"/>
  <c r="G51" i="99"/>
  <c r="U13" i="110"/>
  <c r="U14" i="110" s="1"/>
  <c r="Y10" i="95" s="1"/>
  <c r="T27" i="99"/>
  <c r="U9" i="113"/>
  <c r="U69" i="113" s="1"/>
  <c r="U12" i="94"/>
  <c r="U13" i="94" s="1"/>
  <c r="V13" i="94" s="1"/>
  <c r="U39" i="99"/>
  <c r="T27" i="104"/>
  <c r="G27" i="104"/>
  <c r="U51" i="104"/>
  <c r="V13" i="104"/>
  <c r="Q9" i="113"/>
  <c r="Q69" i="113" s="1"/>
  <c r="G39" i="104"/>
  <c r="F39" i="104"/>
  <c r="F51" i="104"/>
  <c r="F27" i="104"/>
  <c r="U39" i="104"/>
  <c r="T39" i="104"/>
  <c r="Q9" i="95"/>
  <c r="Q68" i="95" s="1"/>
  <c r="T51" i="104"/>
  <c r="G51" i="104"/>
  <c r="U14" i="104"/>
  <c r="U27" i="104"/>
  <c r="F39" i="99"/>
  <c r="R13" i="102"/>
  <c r="S27" i="102" s="1"/>
  <c r="U51" i="99"/>
  <c r="G39" i="99"/>
  <c r="T51" i="99"/>
  <c r="U14" i="93"/>
  <c r="U15" i="93" s="1"/>
  <c r="V15" i="93" s="1"/>
  <c r="U10" i="92"/>
  <c r="U11" i="92" s="1"/>
  <c r="U12" i="92" s="1"/>
  <c r="U13" i="92" s="1"/>
  <c r="T27" i="92" s="1"/>
  <c r="R14" i="115"/>
  <c r="N14" i="115"/>
  <c r="H32" i="95"/>
  <c r="H67" i="95" s="1"/>
  <c r="F26" i="93"/>
  <c r="G26" i="93"/>
  <c r="H56" i="113"/>
  <c r="U50" i="93"/>
  <c r="T50" i="93"/>
  <c r="U14" i="108"/>
  <c r="U27" i="108"/>
  <c r="T39" i="108"/>
  <c r="G51" i="108"/>
  <c r="F39" i="108"/>
  <c r="V13" i="108"/>
  <c r="T51" i="108"/>
  <c r="U39" i="108"/>
  <c r="U51" i="108"/>
  <c r="T27" i="108"/>
  <c r="W9" i="95"/>
  <c r="W68" i="95" s="1"/>
  <c r="G39" i="108"/>
  <c r="W9" i="113"/>
  <c r="W69" i="113" s="1"/>
  <c r="F51" i="108"/>
  <c r="G27" i="108"/>
  <c r="F27" i="108"/>
  <c r="U15" i="109"/>
  <c r="U28" i="109"/>
  <c r="U13" i="106"/>
  <c r="U26" i="106"/>
  <c r="V12" i="106"/>
  <c r="U50" i="106"/>
  <c r="T26" i="106"/>
  <c r="S8" i="95"/>
  <c r="S67" i="95" s="1"/>
  <c r="T50" i="106"/>
  <c r="F26" i="106"/>
  <c r="S8" i="113"/>
  <c r="S68" i="113" s="1"/>
  <c r="G26" i="106"/>
  <c r="F38" i="106"/>
  <c r="G50" i="106"/>
  <c r="T38" i="106"/>
  <c r="G38" i="106"/>
  <c r="F50" i="106"/>
  <c r="U38" i="106"/>
  <c r="T39" i="118"/>
  <c r="F27" i="118"/>
  <c r="V13" i="118"/>
  <c r="T27" i="118"/>
  <c r="T51" i="118"/>
  <c r="F51" i="118"/>
  <c r="F39" i="118"/>
  <c r="U51" i="118"/>
  <c r="G39" i="118"/>
  <c r="G51" i="118"/>
  <c r="G27" i="118"/>
  <c r="U39" i="118"/>
  <c r="U27" i="118"/>
  <c r="Z12" i="95"/>
  <c r="Z71" i="95" s="1"/>
  <c r="V13" i="116"/>
  <c r="F49" i="115"/>
  <c r="T49" i="115"/>
  <c r="V11" i="115"/>
  <c r="F37" i="115"/>
  <c r="T37" i="115"/>
  <c r="F25" i="115"/>
  <c r="T25" i="115"/>
  <c r="U12" i="115"/>
  <c r="U13" i="119"/>
  <c r="V12" i="119"/>
  <c r="T38" i="119"/>
  <c r="T26" i="119"/>
  <c r="T50" i="119"/>
  <c r="F38" i="119"/>
  <c r="F26" i="119"/>
  <c r="F50" i="119"/>
  <c r="G38" i="119"/>
  <c r="U50" i="119"/>
  <c r="G26" i="119"/>
  <c r="U26" i="119"/>
  <c r="G50" i="119"/>
  <c r="U38" i="119"/>
  <c r="U26" i="93"/>
  <c r="H32" i="113"/>
  <c r="H68" i="113" s="1"/>
  <c r="T26" i="93"/>
  <c r="K14" i="118"/>
  <c r="U15" i="88"/>
  <c r="V15" i="88" s="1"/>
  <c r="D10" i="95"/>
  <c r="V14" i="88"/>
  <c r="D10" i="113"/>
  <c r="D70" i="113" s="1"/>
  <c r="G49" i="115"/>
  <c r="W14" i="115"/>
  <c r="V14" i="120"/>
  <c r="T40" i="120"/>
  <c r="T52" i="120"/>
  <c r="F28" i="120"/>
  <c r="T28" i="120"/>
  <c r="F52" i="120"/>
  <c r="F40" i="120"/>
  <c r="E27" i="116"/>
  <c r="G27" i="116" s="1"/>
  <c r="E39" i="116"/>
  <c r="G39" i="116" s="1"/>
  <c r="E51" i="116"/>
  <c r="G51" i="116" s="1"/>
  <c r="S39" i="116"/>
  <c r="U39" i="116" s="1"/>
  <c r="S51" i="116"/>
  <c r="U51" i="116" s="1"/>
  <c r="S27" i="116"/>
  <c r="U27" i="116" s="1"/>
  <c r="U9" i="96"/>
  <c r="G37" i="115"/>
  <c r="U14" i="116"/>
  <c r="H44" i="95"/>
  <c r="G38" i="93"/>
  <c r="F38" i="93"/>
  <c r="G25" i="115"/>
  <c r="E51" i="115"/>
  <c r="S39" i="115"/>
  <c r="S51" i="115"/>
  <c r="E39" i="115"/>
  <c r="E27" i="115"/>
  <c r="S27" i="115"/>
  <c r="U14" i="103"/>
  <c r="V13" i="103"/>
  <c r="F51" i="103"/>
  <c r="T51" i="103"/>
  <c r="U51" i="103"/>
  <c r="G51" i="103"/>
  <c r="T27" i="103"/>
  <c r="P9" i="95"/>
  <c r="P9" i="113"/>
  <c r="F39" i="103"/>
  <c r="T39" i="103"/>
  <c r="U27" i="103"/>
  <c r="G39" i="103"/>
  <c r="G27" i="103"/>
  <c r="F27" i="103"/>
  <c r="U39" i="103"/>
  <c r="G52" i="88"/>
  <c r="U15" i="105"/>
  <c r="U28" i="105"/>
  <c r="V14" i="105"/>
  <c r="G28" i="105"/>
  <c r="T40" i="105"/>
  <c r="R10" i="95"/>
  <c r="R69" i="95" s="1"/>
  <c r="U40" i="105"/>
  <c r="F40" i="105"/>
  <c r="T52" i="105"/>
  <c r="R10" i="113"/>
  <c r="R70" i="113" s="1"/>
  <c r="U52" i="105"/>
  <c r="G40" i="105"/>
  <c r="F52" i="105"/>
  <c r="T28" i="105"/>
  <c r="F28" i="105"/>
  <c r="G52" i="105"/>
  <c r="G28" i="88"/>
  <c r="U52" i="88"/>
  <c r="D69" i="95"/>
  <c r="E10" i="95"/>
  <c r="E69" i="95" s="1"/>
  <c r="U52" i="90"/>
  <c r="T40" i="90"/>
  <c r="T52" i="90"/>
  <c r="U37" i="115"/>
  <c r="M16" i="115"/>
  <c r="W16" i="115" s="1"/>
  <c r="T38" i="93"/>
  <c r="H44" i="113"/>
  <c r="U38" i="93"/>
  <c r="H56" i="95"/>
  <c r="G50" i="93"/>
  <c r="F50" i="93"/>
  <c r="U49" i="115"/>
  <c r="U16" i="107"/>
  <c r="V11" i="113"/>
  <c r="V71" i="113" s="1"/>
  <c r="U29" i="107"/>
  <c r="T53" i="107"/>
  <c r="V11" i="95"/>
  <c r="V70" i="95" s="1"/>
  <c r="U53" i="107"/>
  <c r="T29" i="107"/>
  <c r="G29" i="107"/>
  <c r="V15" i="107"/>
  <c r="U41" i="107"/>
  <c r="F53" i="107"/>
  <c r="T41" i="107"/>
  <c r="F41" i="107"/>
  <c r="G53" i="107"/>
  <c r="G41" i="107"/>
  <c r="F29" i="107"/>
  <c r="U13" i="102"/>
  <c r="U14" i="102" s="1"/>
  <c r="K16" i="118"/>
  <c r="G40" i="88"/>
  <c r="U25" i="115"/>
  <c r="U28" i="120"/>
  <c r="U15" i="121"/>
  <c r="T28" i="121"/>
  <c r="T40" i="121"/>
  <c r="F28" i="121"/>
  <c r="V14" i="121"/>
  <c r="T52" i="121"/>
  <c r="F40" i="121"/>
  <c r="F52" i="121"/>
  <c r="U14" i="87"/>
  <c r="V13" i="87"/>
  <c r="F27" i="87"/>
  <c r="T51" i="87"/>
  <c r="C9" i="113"/>
  <c r="C69" i="113" s="1"/>
  <c r="G39" i="87"/>
  <c r="G27" i="87"/>
  <c r="T27" i="87"/>
  <c r="F39" i="87"/>
  <c r="T39" i="87"/>
  <c r="U51" i="87"/>
  <c r="G51" i="87"/>
  <c r="F51" i="87"/>
  <c r="U27" i="87"/>
  <c r="C9" i="95"/>
  <c r="C68" i="95" s="1"/>
  <c r="U39" i="87"/>
  <c r="E50" i="99"/>
  <c r="F50" i="99" s="1"/>
  <c r="E26" i="99"/>
  <c r="G26" i="99" s="1"/>
  <c r="E38" i="99"/>
  <c r="F38" i="99" s="1"/>
  <c r="U20" i="113"/>
  <c r="S50" i="99"/>
  <c r="U50" i="99" s="1"/>
  <c r="S38" i="99"/>
  <c r="T38" i="99" s="1"/>
  <c r="E28" i="96"/>
  <c r="J34" i="95" s="1"/>
  <c r="N8" i="96"/>
  <c r="J22" i="95"/>
  <c r="S52" i="96"/>
  <c r="J58" i="113" s="1"/>
  <c r="S40" i="96"/>
  <c r="J46" i="113" s="1"/>
  <c r="J22" i="113"/>
  <c r="E40" i="96"/>
  <c r="W12" i="94"/>
  <c r="N12" i="94"/>
  <c r="N16" i="100"/>
  <c r="R16" i="100"/>
  <c r="W16" i="100"/>
  <c r="T26" i="101"/>
  <c r="N44" i="113"/>
  <c r="U26" i="101"/>
  <c r="N32" i="113"/>
  <c r="N68" i="113" s="1"/>
  <c r="T38" i="101"/>
  <c r="U38" i="101"/>
  <c r="N56" i="113"/>
  <c r="U50" i="101"/>
  <c r="T50" i="101"/>
  <c r="F38" i="101"/>
  <c r="G38" i="101"/>
  <c r="L15" i="89"/>
  <c r="W15" i="89" s="1"/>
  <c r="N56" i="95"/>
  <c r="G50" i="101"/>
  <c r="F50" i="101"/>
  <c r="S29" i="111"/>
  <c r="E53" i="111"/>
  <c r="E41" i="111"/>
  <c r="S41" i="111"/>
  <c r="S53" i="111"/>
  <c r="Z23" i="95"/>
  <c r="Z23" i="113"/>
  <c r="E29" i="111"/>
  <c r="F26" i="101"/>
  <c r="N32" i="95"/>
  <c r="N67" i="95" s="1"/>
  <c r="G26" i="101"/>
  <c r="N44" i="95"/>
  <c r="F10" i="96"/>
  <c r="S10" i="96" s="1"/>
  <c r="F16" i="96"/>
  <c r="G45" i="96"/>
  <c r="J51" i="95"/>
  <c r="F45" i="96"/>
  <c r="G33" i="96"/>
  <c r="J39" i="95"/>
  <c r="F33" i="96"/>
  <c r="F9" i="96"/>
  <c r="U21" i="96"/>
  <c r="J27" i="113"/>
  <c r="T21" i="96"/>
  <c r="F15" i="96"/>
  <c r="F11" i="96"/>
  <c r="U45" i="96"/>
  <c r="J51" i="113"/>
  <c r="T45" i="96"/>
  <c r="G21" i="96"/>
  <c r="J27" i="95"/>
  <c r="F21" i="96"/>
  <c r="I12" i="96"/>
  <c r="J4" i="113"/>
  <c r="V8" i="96"/>
  <c r="J4" i="95"/>
  <c r="U33" i="96"/>
  <c r="J39" i="113"/>
  <c r="T33" i="96"/>
  <c r="R8" i="96"/>
  <c r="F13" i="96"/>
  <c r="O40" i="97"/>
  <c r="C26" i="32"/>
  <c r="M67" i="95"/>
  <c r="M68" i="113"/>
  <c r="O46" i="97"/>
  <c r="F23" i="92"/>
  <c r="U8" i="95"/>
  <c r="U27" i="112"/>
  <c r="F47" i="92"/>
  <c r="V9" i="92"/>
  <c r="V13" i="112"/>
  <c r="T35" i="92"/>
  <c r="G5" i="113"/>
  <c r="G65" i="113" s="1"/>
  <c r="S36" i="97" s="1"/>
  <c r="T23" i="92"/>
  <c r="AA9" i="95"/>
  <c r="G5" i="95"/>
  <c r="G64" i="95" s="1"/>
  <c r="S30" i="97" s="1"/>
  <c r="G41" i="32" s="1"/>
  <c r="U47" i="92"/>
  <c r="Z67" i="95"/>
  <c r="U8" i="113"/>
  <c r="G23" i="92"/>
  <c r="X69" i="95"/>
  <c r="U26" i="99"/>
  <c r="V11" i="87"/>
  <c r="U27" i="93"/>
  <c r="G47" i="92"/>
  <c r="V13" i="93"/>
  <c r="H9" i="95"/>
  <c r="T47" i="92"/>
  <c r="U35" i="92"/>
  <c r="F35" i="92"/>
  <c r="G35" i="92"/>
  <c r="C7" i="95"/>
  <c r="U30" i="101"/>
  <c r="I31" i="95"/>
  <c r="G25" i="94"/>
  <c r="F45" i="113"/>
  <c r="I43" i="95"/>
  <c r="G37" i="94"/>
  <c r="F37" i="105"/>
  <c r="G37" i="105"/>
  <c r="F58" i="95"/>
  <c r="F57" i="113"/>
  <c r="H57" i="113"/>
  <c r="U51" i="93"/>
  <c r="I55" i="113"/>
  <c r="U49" i="94"/>
  <c r="F57" i="95"/>
  <c r="U58" i="95"/>
  <c r="H45" i="113"/>
  <c r="U39" i="93"/>
  <c r="F58" i="113"/>
  <c r="U58" i="113"/>
  <c r="F37" i="102"/>
  <c r="G37" i="102"/>
  <c r="H57" i="95"/>
  <c r="G51" i="93"/>
  <c r="F46" i="113"/>
  <c r="H45" i="95"/>
  <c r="G39" i="93"/>
  <c r="I55" i="95"/>
  <c r="G49" i="94"/>
  <c r="H33" i="95"/>
  <c r="G27" i="93"/>
  <c r="F46" i="95"/>
  <c r="F33" i="95"/>
  <c r="I43" i="113"/>
  <c r="U37" i="94"/>
  <c r="F45" i="95"/>
  <c r="T37" i="105"/>
  <c r="U37" i="105"/>
  <c r="T37" i="102"/>
  <c r="U37" i="102"/>
  <c r="F34" i="95"/>
  <c r="Y55" i="95"/>
  <c r="F49" i="110"/>
  <c r="F29" i="95"/>
  <c r="F23" i="91"/>
  <c r="R43" i="95"/>
  <c r="R31" i="95"/>
  <c r="R66" i="95" s="1"/>
  <c r="F25" i="105"/>
  <c r="U20" i="97"/>
  <c r="U40" i="97" s="1"/>
  <c r="I64" i="95"/>
  <c r="U30" i="97" s="1"/>
  <c r="G40" i="95"/>
  <c r="F34" i="92"/>
  <c r="J34" i="113"/>
  <c r="I30" i="95"/>
  <c r="F24" i="94"/>
  <c r="U46" i="95"/>
  <c r="U34" i="95"/>
  <c r="T25" i="102"/>
  <c r="O31" i="113"/>
  <c r="O67" i="113" s="1"/>
  <c r="O43" i="113"/>
  <c r="N24" i="113"/>
  <c r="E30" i="101"/>
  <c r="G30" i="101" s="1"/>
  <c r="N24" i="95"/>
  <c r="E54" i="101"/>
  <c r="F54" i="101" s="1"/>
  <c r="E42" i="101"/>
  <c r="G42" i="101" s="1"/>
  <c r="S54" i="101"/>
  <c r="T54" i="101" s="1"/>
  <c r="S42" i="101"/>
  <c r="I35" i="113"/>
  <c r="F34" i="113"/>
  <c r="F27" i="93"/>
  <c r="F42" i="95"/>
  <c r="F36" i="91"/>
  <c r="Y43" i="95"/>
  <c r="F37" i="110"/>
  <c r="F41" i="95"/>
  <c r="F35" i="91"/>
  <c r="R16" i="110"/>
  <c r="S30" i="110" s="1"/>
  <c r="N16" i="110"/>
  <c r="W16" i="110"/>
  <c r="K14" i="89"/>
  <c r="G19" i="113"/>
  <c r="S37" i="92"/>
  <c r="G19" i="95"/>
  <c r="E37" i="92"/>
  <c r="E25" i="92"/>
  <c r="E49" i="92"/>
  <c r="S49" i="92"/>
  <c r="I42" i="95"/>
  <c r="F36" i="94"/>
  <c r="U34" i="113"/>
  <c r="U46" i="113"/>
  <c r="O43" i="95"/>
  <c r="O31" i="95"/>
  <c r="O66" i="95" s="1"/>
  <c r="F25" i="102"/>
  <c r="T27" i="93"/>
  <c r="H33" i="113"/>
  <c r="H69" i="113" s="1"/>
  <c r="I35" i="95"/>
  <c r="F39" i="93"/>
  <c r="F30" i="95"/>
  <c r="F24" i="91"/>
  <c r="Y31" i="95"/>
  <c r="Y66" i="95" s="1"/>
  <c r="F25" i="110"/>
  <c r="T23" i="91"/>
  <c r="F29" i="113"/>
  <c r="R55" i="95"/>
  <c r="F49" i="105"/>
  <c r="I20" i="113"/>
  <c r="I20" i="95"/>
  <c r="E26" i="94"/>
  <c r="E38" i="94"/>
  <c r="E50" i="94"/>
  <c r="S38" i="94"/>
  <c r="S50" i="94"/>
  <c r="G52" i="95"/>
  <c r="F46" i="92"/>
  <c r="O55" i="95"/>
  <c r="F49" i="102"/>
  <c r="U26" i="97"/>
  <c r="U46" i="97" s="1"/>
  <c r="I65" i="113"/>
  <c r="U36" i="97" s="1"/>
  <c r="I59" i="95"/>
  <c r="F51" i="93"/>
  <c r="G23" i="113"/>
  <c r="S41" i="92"/>
  <c r="S53" i="92"/>
  <c r="E41" i="92"/>
  <c r="E29" i="92"/>
  <c r="G23" i="95"/>
  <c r="E53" i="92"/>
  <c r="T24" i="91"/>
  <c r="F30" i="113"/>
  <c r="F66" i="113" s="1"/>
  <c r="F41" i="113"/>
  <c r="T35" i="91"/>
  <c r="T25" i="94"/>
  <c r="I31" i="113"/>
  <c r="T26" i="99"/>
  <c r="U44" i="113"/>
  <c r="U32" i="113"/>
  <c r="G28" i="95"/>
  <c r="F22" i="92"/>
  <c r="I54" i="95"/>
  <c r="F48" i="94"/>
  <c r="T39" i="93"/>
  <c r="H14" i="92"/>
  <c r="D23" i="113"/>
  <c r="D23" i="95"/>
  <c r="E29" i="88"/>
  <c r="S41" i="88"/>
  <c r="S53" i="88"/>
  <c r="E53" i="88"/>
  <c r="E41" i="88"/>
  <c r="S29" i="88"/>
  <c r="F42" i="113"/>
  <c r="T36" i="91"/>
  <c r="Y43" i="113"/>
  <c r="T37" i="110"/>
  <c r="Y22" i="113"/>
  <c r="S52" i="110"/>
  <c r="S40" i="110"/>
  <c r="E40" i="110"/>
  <c r="Y22" i="95"/>
  <c r="E52" i="110"/>
  <c r="E28" i="110"/>
  <c r="F33" i="113"/>
  <c r="Z68" i="113"/>
  <c r="T25" i="105"/>
  <c r="R43" i="113"/>
  <c r="R31" i="113"/>
  <c r="R67" i="113" s="1"/>
  <c r="C19" i="113"/>
  <c r="E25" i="87"/>
  <c r="G25" i="87" s="1"/>
  <c r="E49" i="87"/>
  <c r="G49" i="87" s="1"/>
  <c r="C19" i="95"/>
  <c r="S37" i="87"/>
  <c r="U37" i="87" s="1"/>
  <c r="S25" i="87"/>
  <c r="U25" i="87" s="1"/>
  <c r="E37" i="87"/>
  <c r="G37" i="87" s="1"/>
  <c r="S49" i="87"/>
  <c r="U49" i="87" s="1"/>
  <c r="T22" i="92"/>
  <c r="G28" i="113"/>
  <c r="I42" i="113"/>
  <c r="T36" i="94"/>
  <c r="L15" i="110"/>
  <c r="H16" i="92"/>
  <c r="I16" i="92" s="1"/>
  <c r="J16" i="92" s="1"/>
  <c r="K16" i="92" s="1"/>
  <c r="L16" i="92" s="1"/>
  <c r="R14" i="93"/>
  <c r="S28" i="93" s="1"/>
  <c r="N14" i="93"/>
  <c r="W14" i="93"/>
  <c r="G40" i="113"/>
  <c r="T34" i="92"/>
  <c r="N13" i="110"/>
  <c r="R13" i="110"/>
  <c r="S27" i="110" s="1"/>
  <c r="W13" i="110"/>
  <c r="T24" i="94"/>
  <c r="I30" i="113"/>
  <c r="I66" i="113" s="1"/>
  <c r="I59" i="113"/>
  <c r="I7" i="113"/>
  <c r="T37" i="94"/>
  <c r="V11" i="94"/>
  <c r="F49" i="94"/>
  <c r="F25" i="94"/>
  <c r="F37" i="94"/>
  <c r="I7" i="95"/>
  <c r="T49" i="94"/>
  <c r="F53" i="113"/>
  <c r="T47" i="91"/>
  <c r="AA21" i="113"/>
  <c r="S39" i="112"/>
  <c r="U39" i="112" s="1"/>
  <c r="E39" i="112"/>
  <c r="G39" i="112" s="1"/>
  <c r="AA21" i="95"/>
  <c r="E27" i="112"/>
  <c r="G27" i="112" s="1"/>
  <c r="E51" i="112"/>
  <c r="S51" i="112"/>
  <c r="F54" i="113"/>
  <c r="T48" i="91"/>
  <c r="Y55" i="113"/>
  <c r="T49" i="110"/>
  <c r="N12" i="113"/>
  <c r="N12" i="95"/>
  <c r="V16" i="101"/>
  <c r="R55" i="113"/>
  <c r="T49" i="105"/>
  <c r="N11" i="91"/>
  <c r="R11" i="91"/>
  <c r="W11" i="91"/>
  <c r="I47" i="113"/>
  <c r="F54" i="95"/>
  <c r="F48" i="91"/>
  <c r="T25" i="110"/>
  <c r="Y31" i="113"/>
  <c r="Y67" i="113" s="1"/>
  <c r="F53" i="95"/>
  <c r="F47" i="91"/>
  <c r="K15" i="112"/>
  <c r="G52" i="113"/>
  <c r="T46" i="92"/>
  <c r="I54" i="113"/>
  <c r="T48" i="94"/>
  <c r="O55" i="113"/>
  <c r="T49" i="102"/>
  <c r="I47" i="95"/>
  <c r="T51" i="93"/>
  <c r="G42" i="111" l="1"/>
  <c r="V13" i="117"/>
  <c r="T42" i="111"/>
  <c r="U54" i="111"/>
  <c r="U52" i="99"/>
  <c r="G38" i="91"/>
  <c r="T52" i="80"/>
  <c r="U11" i="95"/>
  <c r="U70" i="95" s="1"/>
  <c r="E27" i="117"/>
  <c r="G27" i="117" s="1"/>
  <c r="U26" i="91"/>
  <c r="T28" i="80"/>
  <c r="S50" i="92"/>
  <c r="T50" i="92" s="1"/>
  <c r="G40" i="99"/>
  <c r="U10" i="95"/>
  <c r="F41" i="99"/>
  <c r="G26" i="91"/>
  <c r="G52" i="80"/>
  <c r="V12" i="91"/>
  <c r="T40" i="80"/>
  <c r="F30" i="111"/>
  <c r="T30" i="111"/>
  <c r="V16" i="111"/>
  <c r="U30" i="111"/>
  <c r="G30" i="111"/>
  <c r="F42" i="111"/>
  <c r="T54" i="111"/>
  <c r="Z11" i="113"/>
  <c r="U51" i="117"/>
  <c r="F54" i="111"/>
  <c r="U42" i="111"/>
  <c r="G54" i="111"/>
  <c r="V15" i="111"/>
  <c r="E50" i="92"/>
  <c r="G50" i="92" s="1"/>
  <c r="O21" i="95"/>
  <c r="F7" i="95"/>
  <c r="G52" i="99"/>
  <c r="U40" i="99"/>
  <c r="F52" i="99"/>
  <c r="V15" i="99"/>
  <c r="T41" i="99"/>
  <c r="E39" i="117"/>
  <c r="G39" i="117" s="1"/>
  <c r="F38" i="91"/>
  <c r="T50" i="91"/>
  <c r="U50" i="91"/>
  <c r="T26" i="91"/>
  <c r="F40" i="80"/>
  <c r="B10" i="113"/>
  <c r="B70" i="113" s="1"/>
  <c r="U15" i="80"/>
  <c r="F53" i="80" s="1"/>
  <c r="G28" i="80"/>
  <c r="F28" i="99"/>
  <c r="F7" i="113"/>
  <c r="T40" i="99"/>
  <c r="G28" i="99"/>
  <c r="V14" i="99"/>
  <c r="U10" i="113"/>
  <c r="T52" i="99"/>
  <c r="G29" i="99"/>
  <c r="G41" i="99"/>
  <c r="S39" i="117"/>
  <c r="U39" i="117" s="1"/>
  <c r="E51" i="117"/>
  <c r="G51" i="117" s="1"/>
  <c r="F8" i="95"/>
  <c r="F67" i="95" s="1"/>
  <c r="F8" i="113"/>
  <c r="F68" i="113" s="1"/>
  <c r="F26" i="91"/>
  <c r="U13" i="91"/>
  <c r="G39" i="91" s="1"/>
  <c r="U40" i="80"/>
  <c r="U52" i="80"/>
  <c r="B10" i="95"/>
  <c r="B69" i="95" s="1"/>
  <c r="F28" i="80"/>
  <c r="G20" i="95"/>
  <c r="V11" i="91"/>
  <c r="T28" i="99"/>
  <c r="F40" i="99"/>
  <c r="G53" i="99"/>
  <c r="U16" i="99"/>
  <c r="G30" i="99" s="1"/>
  <c r="S27" i="117"/>
  <c r="U27" i="117" s="1"/>
  <c r="U38" i="91"/>
  <c r="G50" i="91"/>
  <c r="T38" i="91"/>
  <c r="G40" i="80"/>
  <c r="V14" i="80"/>
  <c r="U28" i="80"/>
  <c r="T39" i="94"/>
  <c r="E39" i="102"/>
  <c r="F39" i="102" s="1"/>
  <c r="S39" i="102"/>
  <c r="U39" i="102" s="1"/>
  <c r="P68" i="95"/>
  <c r="E51" i="102"/>
  <c r="G51" i="102" s="1"/>
  <c r="O21" i="113"/>
  <c r="R15" i="120"/>
  <c r="S41" i="120" s="1"/>
  <c r="U52" i="112"/>
  <c r="U32" i="95"/>
  <c r="U67" i="95" s="1"/>
  <c r="S51" i="102"/>
  <c r="U51" i="102" s="1"/>
  <c r="E27" i="102"/>
  <c r="G27" i="102" s="1"/>
  <c r="U28" i="112"/>
  <c r="G52" i="112"/>
  <c r="G28" i="100"/>
  <c r="T52" i="100"/>
  <c r="F40" i="90"/>
  <c r="F52" i="90"/>
  <c r="F28" i="90"/>
  <c r="E10" i="113"/>
  <c r="E70" i="113" s="1"/>
  <c r="G28" i="90"/>
  <c r="U40" i="90"/>
  <c r="T28" i="90"/>
  <c r="V14" i="90"/>
  <c r="U14" i="118"/>
  <c r="U15" i="118" s="1"/>
  <c r="G40" i="90"/>
  <c r="G52" i="90"/>
  <c r="U28" i="90"/>
  <c r="P69" i="113"/>
  <c r="V14" i="112"/>
  <c r="AA10" i="113"/>
  <c r="AA70" i="113" s="1"/>
  <c r="G40" i="100"/>
  <c r="M69" i="113"/>
  <c r="W15" i="120"/>
  <c r="U40" i="112"/>
  <c r="G40" i="112"/>
  <c r="G52" i="110"/>
  <c r="U52" i="110"/>
  <c r="F28" i="112"/>
  <c r="T40" i="112"/>
  <c r="U49" i="92"/>
  <c r="G7" i="95"/>
  <c r="U37" i="92"/>
  <c r="F26" i="99"/>
  <c r="E38" i="92"/>
  <c r="G38" i="92" s="1"/>
  <c r="S38" i="92"/>
  <c r="U38" i="92" s="1"/>
  <c r="G25" i="92"/>
  <c r="G48" i="92"/>
  <c r="G6" i="95"/>
  <c r="S11" i="97" s="1"/>
  <c r="S41" i="97" s="1"/>
  <c r="U24" i="92"/>
  <c r="T27" i="94"/>
  <c r="M10" i="95"/>
  <c r="M69" i="95" s="1"/>
  <c r="U36" i="92"/>
  <c r="V11" i="92"/>
  <c r="U25" i="92"/>
  <c r="G49" i="92"/>
  <c r="E26" i="92"/>
  <c r="F26" i="92" s="1"/>
  <c r="G20" i="113"/>
  <c r="G37" i="92"/>
  <c r="G24" i="92"/>
  <c r="U56" i="95"/>
  <c r="F27" i="94"/>
  <c r="F40" i="112"/>
  <c r="AA10" i="95"/>
  <c r="AA69" i="95" s="1"/>
  <c r="T52" i="112"/>
  <c r="T28" i="112"/>
  <c r="V14" i="100"/>
  <c r="G52" i="100"/>
  <c r="M68" i="95"/>
  <c r="H10" i="113"/>
  <c r="U27" i="94"/>
  <c r="U39" i="94"/>
  <c r="I9" i="95"/>
  <c r="I68" i="95" s="1"/>
  <c r="T29" i="93"/>
  <c r="T51" i="94"/>
  <c r="G39" i="94"/>
  <c r="U14" i="94"/>
  <c r="F28" i="94" s="1"/>
  <c r="U26" i="94"/>
  <c r="U51" i="94"/>
  <c r="F51" i="94"/>
  <c r="I9" i="113"/>
  <c r="I69" i="113" s="1"/>
  <c r="O21" i="97"/>
  <c r="C65" i="95"/>
  <c r="O31" i="97" s="1"/>
  <c r="C42" i="32" s="1"/>
  <c r="S16" i="92"/>
  <c r="T16" i="92"/>
  <c r="S15" i="112"/>
  <c r="T15" i="112"/>
  <c r="S30" i="112"/>
  <c r="E30" i="112"/>
  <c r="AA24" i="95"/>
  <c r="S42" i="112"/>
  <c r="AA48" i="113" s="1"/>
  <c r="E54" i="112"/>
  <c r="S54" i="112"/>
  <c r="AA24" i="113"/>
  <c r="E42" i="112"/>
  <c r="AA48" i="95" s="1"/>
  <c r="T10" i="96"/>
  <c r="U10" i="96" s="1"/>
  <c r="F52" i="112"/>
  <c r="U41" i="99"/>
  <c r="U53" i="99"/>
  <c r="F53" i="99"/>
  <c r="T53" i="99"/>
  <c r="T29" i="99"/>
  <c r="F29" i="99"/>
  <c r="U11" i="113"/>
  <c r="U71" i="113" s="1"/>
  <c r="F40" i="100"/>
  <c r="U15" i="100"/>
  <c r="G29" i="100" s="1"/>
  <c r="U28" i="100"/>
  <c r="F28" i="100"/>
  <c r="G51" i="94"/>
  <c r="F39" i="94"/>
  <c r="G27" i="94"/>
  <c r="G7" i="113"/>
  <c r="U28" i="99"/>
  <c r="G38" i="99"/>
  <c r="F41" i="93"/>
  <c r="U28" i="93"/>
  <c r="V14" i="110"/>
  <c r="T53" i="93"/>
  <c r="U44" i="95"/>
  <c r="G41" i="93"/>
  <c r="T41" i="93"/>
  <c r="H11" i="95"/>
  <c r="H70" i="95" s="1"/>
  <c r="F52" i="100"/>
  <c r="M10" i="113"/>
  <c r="M70" i="113" s="1"/>
  <c r="U52" i="100"/>
  <c r="U40" i="100"/>
  <c r="T40" i="100"/>
  <c r="V14" i="93"/>
  <c r="G40" i="110"/>
  <c r="T39" i="116"/>
  <c r="U15" i="110"/>
  <c r="U16" i="110" s="1"/>
  <c r="Y12" i="95" s="1"/>
  <c r="F53" i="93"/>
  <c r="G53" i="93"/>
  <c r="H10" i="95"/>
  <c r="G28" i="110"/>
  <c r="U40" i="110"/>
  <c r="Y10" i="113"/>
  <c r="U28" i="110"/>
  <c r="H11" i="113"/>
  <c r="H71" i="113" s="1"/>
  <c r="F29" i="93"/>
  <c r="U53" i="93"/>
  <c r="G41" i="88"/>
  <c r="G29" i="88"/>
  <c r="G53" i="88"/>
  <c r="U27" i="92"/>
  <c r="V13" i="92"/>
  <c r="G9" i="113"/>
  <c r="G69" i="113" s="1"/>
  <c r="U53" i="88"/>
  <c r="D11" i="95"/>
  <c r="U29" i="88"/>
  <c r="U41" i="88"/>
  <c r="U51" i="92"/>
  <c r="V13" i="102"/>
  <c r="U14" i="89"/>
  <c r="U15" i="89" s="1"/>
  <c r="U16" i="89" s="1"/>
  <c r="U30" i="89" s="1"/>
  <c r="T39" i="92"/>
  <c r="F51" i="92"/>
  <c r="G51" i="92"/>
  <c r="U56" i="113"/>
  <c r="T27" i="116"/>
  <c r="F39" i="92"/>
  <c r="F27" i="92"/>
  <c r="R15" i="89"/>
  <c r="S29" i="89" s="1"/>
  <c r="G50" i="99"/>
  <c r="U39" i="92"/>
  <c r="U15" i="104"/>
  <c r="Q10" i="113"/>
  <c r="Q70" i="113" s="1"/>
  <c r="F52" i="104"/>
  <c r="T28" i="104"/>
  <c r="G52" i="104"/>
  <c r="T40" i="104"/>
  <c r="G40" i="104"/>
  <c r="U28" i="104"/>
  <c r="F40" i="104"/>
  <c r="F28" i="104"/>
  <c r="T52" i="104"/>
  <c r="V14" i="104"/>
  <c r="G28" i="104"/>
  <c r="U52" i="104"/>
  <c r="U40" i="104"/>
  <c r="Q10" i="95"/>
  <c r="Q69" i="95" s="1"/>
  <c r="T51" i="92"/>
  <c r="G9" i="95"/>
  <c r="G68" i="95" s="1"/>
  <c r="T50" i="99"/>
  <c r="G27" i="92"/>
  <c r="U26" i="92"/>
  <c r="F39" i="116"/>
  <c r="B11" i="113"/>
  <c r="B71" i="113" s="1"/>
  <c r="F41" i="80"/>
  <c r="T41" i="80"/>
  <c r="U16" i="93"/>
  <c r="F30" i="93" s="1"/>
  <c r="U29" i="93"/>
  <c r="U41" i="93"/>
  <c r="G29" i="93"/>
  <c r="T51" i="116"/>
  <c r="U15" i="120"/>
  <c r="F27" i="116"/>
  <c r="U15" i="102"/>
  <c r="V14" i="102"/>
  <c r="G40" i="102"/>
  <c r="F52" i="102"/>
  <c r="F28" i="102"/>
  <c r="U52" i="102"/>
  <c r="T28" i="102"/>
  <c r="O10" i="113"/>
  <c r="O70" i="113" s="1"/>
  <c r="F40" i="102"/>
  <c r="T40" i="102"/>
  <c r="G52" i="102"/>
  <c r="G28" i="102"/>
  <c r="O10" i="95"/>
  <c r="O69" i="95" s="1"/>
  <c r="T52" i="102"/>
  <c r="U28" i="102"/>
  <c r="U40" i="102"/>
  <c r="U16" i="90"/>
  <c r="E11" i="113"/>
  <c r="E71" i="113" s="1"/>
  <c r="G29" i="90"/>
  <c r="F53" i="90"/>
  <c r="G53" i="90"/>
  <c r="G41" i="90"/>
  <c r="F29" i="90"/>
  <c r="V15" i="90"/>
  <c r="U41" i="90"/>
  <c r="T53" i="90"/>
  <c r="T41" i="90"/>
  <c r="U29" i="90"/>
  <c r="E11" i="95"/>
  <c r="E70" i="95" s="1"/>
  <c r="U53" i="90"/>
  <c r="T29" i="90"/>
  <c r="F41" i="90"/>
  <c r="U16" i="105"/>
  <c r="U29" i="105"/>
  <c r="G41" i="105"/>
  <c r="U53" i="105"/>
  <c r="V15" i="105"/>
  <c r="T53" i="105"/>
  <c r="T29" i="105"/>
  <c r="T41" i="105"/>
  <c r="R11" i="95"/>
  <c r="R70" i="95" s="1"/>
  <c r="G29" i="105"/>
  <c r="U41" i="105"/>
  <c r="G53" i="105"/>
  <c r="R11" i="113"/>
  <c r="R71" i="113" s="1"/>
  <c r="F29" i="105"/>
  <c r="F53" i="105"/>
  <c r="F41" i="105"/>
  <c r="U30" i="107"/>
  <c r="T42" i="107"/>
  <c r="V12" i="95"/>
  <c r="V71" i="95" s="1"/>
  <c r="T30" i="107"/>
  <c r="V12" i="113"/>
  <c r="V72" i="113" s="1"/>
  <c r="U54" i="107"/>
  <c r="T54" i="107"/>
  <c r="G54" i="107"/>
  <c r="F54" i="107"/>
  <c r="G30" i="107"/>
  <c r="U42" i="107"/>
  <c r="F42" i="107"/>
  <c r="V16" i="107"/>
  <c r="F30" i="107"/>
  <c r="G42" i="107"/>
  <c r="V16" i="89"/>
  <c r="U15" i="103"/>
  <c r="U28" i="103"/>
  <c r="U52" i="103"/>
  <c r="P10" i="113"/>
  <c r="P70" i="113" s="1"/>
  <c r="P10" i="95"/>
  <c r="P69" i="95" s="1"/>
  <c r="G52" i="103"/>
  <c r="V14" i="103"/>
  <c r="F40" i="103"/>
  <c r="T28" i="103"/>
  <c r="G40" i="103"/>
  <c r="F28" i="103"/>
  <c r="T52" i="103"/>
  <c r="G28" i="103"/>
  <c r="U40" i="103"/>
  <c r="F52" i="103"/>
  <c r="T40" i="103"/>
  <c r="U15" i="117"/>
  <c r="F40" i="117"/>
  <c r="F52" i="117"/>
  <c r="V14" i="117"/>
  <c r="F28" i="117"/>
  <c r="T40" i="117"/>
  <c r="T52" i="117"/>
  <c r="T28" i="117"/>
  <c r="G52" i="117"/>
  <c r="U28" i="117"/>
  <c r="G40" i="117"/>
  <c r="U52" i="117"/>
  <c r="U40" i="117"/>
  <c r="G28" i="117"/>
  <c r="N14" i="118"/>
  <c r="R14" i="118"/>
  <c r="W14" i="118"/>
  <c r="U14" i="119"/>
  <c r="V13" i="119"/>
  <c r="T27" i="119"/>
  <c r="T39" i="119"/>
  <c r="T51" i="119"/>
  <c r="F27" i="119"/>
  <c r="F51" i="119"/>
  <c r="F39" i="119"/>
  <c r="U27" i="119"/>
  <c r="G39" i="119"/>
  <c r="U51" i="119"/>
  <c r="G27" i="119"/>
  <c r="U39" i="119"/>
  <c r="G51" i="119"/>
  <c r="U14" i="106"/>
  <c r="S9" i="113"/>
  <c r="S69" i="113" s="1"/>
  <c r="V13" i="106"/>
  <c r="G51" i="106"/>
  <c r="U39" i="106"/>
  <c r="F39" i="106"/>
  <c r="F51" i="106"/>
  <c r="T27" i="106"/>
  <c r="S9" i="95"/>
  <c r="S68" i="95" s="1"/>
  <c r="U27" i="106"/>
  <c r="G39" i="106"/>
  <c r="F27" i="106"/>
  <c r="T51" i="106"/>
  <c r="G27" i="106"/>
  <c r="U51" i="106"/>
  <c r="T39" i="106"/>
  <c r="U16" i="109"/>
  <c r="U29" i="109"/>
  <c r="X11" i="113"/>
  <c r="X71" i="113" s="1"/>
  <c r="F53" i="109"/>
  <c r="U41" i="109"/>
  <c r="V15" i="109"/>
  <c r="F41" i="109"/>
  <c r="G53" i="109"/>
  <c r="G41" i="109"/>
  <c r="F29" i="109"/>
  <c r="T41" i="109"/>
  <c r="T29" i="109"/>
  <c r="U53" i="109"/>
  <c r="G29" i="109"/>
  <c r="X11" i="95"/>
  <c r="X70" i="95" s="1"/>
  <c r="T53" i="109"/>
  <c r="U15" i="108"/>
  <c r="U28" i="108"/>
  <c r="W10" i="113"/>
  <c r="W70" i="113" s="1"/>
  <c r="F52" i="108"/>
  <c r="T28" i="108"/>
  <c r="T52" i="108"/>
  <c r="T40" i="108"/>
  <c r="F28" i="108"/>
  <c r="G40" i="108"/>
  <c r="U40" i="108"/>
  <c r="U52" i="108"/>
  <c r="V14" i="108"/>
  <c r="W10" i="95"/>
  <c r="W69" i="95" s="1"/>
  <c r="F40" i="108"/>
  <c r="G28" i="108"/>
  <c r="G52" i="108"/>
  <c r="G39" i="92"/>
  <c r="U14" i="91"/>
  <c r="M16" i="92"/>
  <c r="N16" i="92" s="1"/>
  <c r="U30" i="99"/>
  <c r="V16" i="99"/>
  <c r="U15" i="87"/>
  <c r="C10" i="95"/>
  <c r="C69" i="95" s="1"/>
  <c r="U28" i="87"/>
  <c r="V14" i="87"/>
  <c r="U40" i="87"/>
  <c r="F40" i="87"/>
  <c r="F52" i="87"/>
  <c r="C10" i="113"/>
  <c r="C70" i="113" s="1"/>
  <c r="G52" i="87"/>
  <c r="T52" i="87"/>
  <c r="G40" i="87"/>
  <c r="G28" i="87"/>
  <c r="U52" i="87"/>
  <c r="T28" i="87"/>
  <c r="T40" i="87"/>
  <c r="F28" i="87"/>
  <c r="T51" i="117"/>
  <c r="F50" i="115"/>
  <c r="F38" i="115"/>
  <c r="V12" i="115"/>
  <c r="T26" i="115"/>
  <c r="F26" i="115"/>
  <c r="T38" i="115"/>
  <c r="T50" i="115"/>
  <c r="U26" i="115"/>
  <c r="U50" i="115"/>
  <c r="G38" i="115"/>
  <c r="G26" i="115"/>
  <c r="G50" i="115"/>
  <c r="U38" i="115"/>
  <c r="U13" i="115"/>
  <c r="U16" i="121"/>
  <c r="V15" i="121"/>
  <c r="F29" i="121"/>
  <c r="T53" i="121"/>
  <c r="T41" i="121"/>
  <c r="T29" i="121"/>
  <c r="F41" i="121"/>
  <c r="F53" i="121"/>
  <c r="U41" i="121"/>
  <c r="G41" i="121"/>
  <c r="G29" i="121"/>
  <c r="U29" i="121"/>
  <c r="U53" i="121"/>
  <c r="G53" i="121"/>
  <c r="L16" i="118"/>
  <c r="N16" i="115"/>
  <c r="R16" i="115"/>
  <c r="F51" i="116"/>
  <c r="U15" i="116"/>
  <c r="T28" i="116"/>
  <c r="T40" i="116"/>
  <c r="T52" i="116"/>
  <c r="F28" i="116"/>
  <c r="V14" i="116"/>
  <c r="F40" i="116"/>
  <c r="F52" i="116"/>
  <c r="G52" i="116"/>
  <c r="G28" i="116"/>
  <c r="U40" i="116"/>
  <c r="U28" i="116"/>
  <c r="G40" i="116"/>
  <c r="U52" i="116"/>
  <c r="F51" i="117"/>
  <c r="U16" i="88"/>
  <c r="D11" i="113"/>
  <c r="S29" i="120"/>
  <c r="E28" i="115"/>
  <c r="S28" i="115"/>
  <c r="S40" i="115"/>
  <c r="S52" i="115"/>
  <c r="E52" i="115"/>
  <c r="E40" i="115"/>
  <c r="J46" i="95"/>
  <c r="U38" i="99"/>
  <c r="U48" i="92"/>
  <c r="G6" i="113"/>
  <c r="G66" i="113" s="1"/>
  <c r="F48" i="92"/>
  <c r="V10" i="92"/>
  <c r="F24" i="92"/>
  <c r="T48" i="92"/>
  <c r="T24" i="92"/>
  <c r="T36" i="92"/>
  <c r="F36" i="92"/>
  <c r="G36" i="92"/>
  <c r="L10" i="113"/>
  <c r="N15" i="89"/>
  <c r="T41" i="111"/>
  <c r="Z47" i="113"/>
  <c r="U41" i="111"/>
  <c r="S30" i="100"/>
  <c r="M24" i="113"/>
  <c r="M24" i="95"/>
  <c r="S54" i="100"/>
  <c r="E42" i="100"/>
  <c r="E30" i="100"/>
  <c r="E54" i="100"/>
  <c r="S42" i="100"/>
  <c r="F53" i="111"/>
  <c r="G53" i="111"/>
  <c r="Z59" i="95"/>
  <c r="T29" i="111"/>
  <c r="Z35" i="113"/>
  <c r="U29" i="111"/>
  <c r="G29" i="111"/>
  <c r="Z35" i="95"/>
  <c r="Z70" i="95" s="1"/>
  <c r="F29" i="111"/>
  <c r="Z47" i="95"/>
  <c r="G41" i="111"/>
  <c r="F41" i="111"/>
  <c r="T53" i="111"/>
  <c r="Z59" i="113"/>
  <c r="U53" i="111"/>
  <c r="W12" i="96"/>
  <c r="R12" i="96"/>
  <c r="N12" i="96"/>
  <c r="G13" i="96"/>
  <c r="G11" i="96"/>
  <c r="N9" i="96"/>
  <c r="W9" i="96"/>
  <c r="R9" i="96"/>
  <c r="G16" i="96"/>
  <c r="S22" i="96"/>
  <c r="J16" i="95"/>
  <c r="V14" i="97" s="1"/>
  <c r="S34" i="96"/>
  <c r="E22" i="96"/>
  <c r="S46" i="96"/>
  <c r="E34" i="96"/>
  <c r="J16" i="113"/>
  <c r="E46" i="96"/>
  <c r="V24" i="97"/>
  <c r="V44" i="97" s="1"/>
  <c r="J63" i="113"/>
  <c r="V34" i="97" s="1"/>
  <c r="V9" i="97"/>
  <c r="G15" i="96"/>
  <c r="G10" i="96"/>
  <c r="W10" i="96" s="1"/>
  <c r="U68" i="113"/>
  <c r="O9" i="95"/>
  <c r="U69" i="95"/>
  <c r="O9" i="113"/>
  <c r="U27" i="102"/>
  <c r="F51" i="102"/>
  <c r="U70" i="113"/>
  <c r="F30" i="101"/>
  <c r="I67" i="113"/>
  <c r="S10" i="97"/>
  <c r="H68" i="95"/>
  <c r="G8" i="95"/>
  <c r="F50" i="92"/>
  <c r="V12" i="92"/>
  <c r="G8" i="113"/>
  <c r="I66" i="95"/>
  <c r="F42" i="101"/>
  <c r="F27" i="102"/>
  <c r="F51" i="112"/>
  <c r="G51" i="112"/>
  <c r="I44" i="95"/>
  <c r="G38" i="94"/>
  <c r="U27" i="110"/>
  <c r="I32" i="95"/>
  <c r="G26" i="94"/>
  <c r="O57" i="113"/>
  <c r="T42" i="101"/>
  <c r="U42" i="101"/>
  <c r="N60" i="113"/>
  <c r="U54" i="101"/>
  <c r="O57" i="95"/>
  <c r="I44" i="113"/>
  <c r="U38" i="94"/>
  <c r="I56" i="113"/>
  <c r="U50" i="94"/>
  <c r="T51" i="112"/>
  <c r="U51" i="112"/>
  <c r="G56" i="95"/>
  <c r="I56" i="95"/>
  <c r="G50" i="94"/>
  <c r="N60" i="95"/>
  <c r="G54" i="101"/>
  <c r="F19" i="113"/>
  <c r="S37" i="91"/>
  <c r="U37" i="91" s="1"/>
  <c r="F19" i="95"/>
  <c r="E49" i="91"/>
  <c r="G49" i="91" s="1"/>
  <c r="E25" i="91"/>
  <c r="G25" i="91" s="1"/>
  <c r="E37" i="91"/>
  <c r="G37" i="91" s="1"/>
  <c r="S25" i="91"/>
  <c r="U25" i="91" s="1"/>
  <c r="S49" i="91"/>
  <c r="U49" i="91" s="1"/>
  <c r="AA45" i="113"/>
  <c r="T39" i="112"/>
  <c r="H22" i="113"/>
  <c r="E28" i="93"/>
  <c r="G28" i="93" s="1"/>
  <c r="H22" i="95"/>
  <c r="S40" i="93"/>
  <c r="U40" i="93" s="1"/>
  <c r="E52" i="93"/>
  <c r="G52" i="93" s="1"/>
  <c r="S52" i="93"/>
  <c r="U52" i="93" s="1"/>
  <c r="E40" i="93"/>
  <c r="G40" i="93" s="1"/>
  <c r="C55" i="113"/>
  <c r="T49" i="87"/>
  <c r="T28" i="110"/>
  <c r="Y34" i="113"/>
  <c r="D59" i="113"/>
  <c r="T53" i="88"/>
  <c r="S19" i="97"/>
  <c r="G63" i="95"/>
  <c r="S29" i="97" s="1"/>
  <c r="G40" i="32" s="1"/>
  <c r="G35" i="113"/>
  <c r="G43" i="113"/>
  <c r="T37" i="92"/>
  <c r="L15" i="112"/>
  <c r="C43" i="95"/>
  <c r="F37" i="87"/>
  <c r="F28" i="110"/>
  <c r="Y34" i="95"/>
  <c r="Y69" i="95" s="1"/>
  <c r="D47" i="113"/>
  <c r="T41" i="88"/>
  <c r="G59" i="113"/>
  <c r="R21" i="97"/>
  <c r="F65" i="95"/>
  <c r="R31" i="97" s="1"/>
  <c r="F42" i="32" s="1"/>
  <c r="I8" i="113"/>
  <c r="V12" i="94"/>
  <c r="I8" i="95"/>
  <c r="F26" i="94"/>
  <c r="F50" i="94"/>
  <c r="F38" i="94"/>
  <c r="T38" i="94"/>
  <c r="T50" i="94"/>
  <c r="T27" i="112"/>
  <c r="AA33" i="113"/>
  <c r="AA69" i="113" s="1"/>
  <c r="AA57" i="113"/>
  <c r="Y9" i="113"/>
  <c r="Y9" i="95"/>
  <c r="V13" i="110"/>
  <c r="T25" i="87"/>
  <c r="C31" i="113"/>
  <c r="C67" i="113" s="1"/>
  <c r="Y58" i="95"/>
  <c r="F52" i="110"/>
  <c r="D35" i="95"/>
  <c r="F29" i="88"/>
  <c r="G47" i="113"/>
  <c r="G55" i="113"/>
  <c r="T49" i="92"/>
  <c r="T30" i="101"/>
  <c r="N48" i="113"/>
  <c r="N36" i="113"/>
  <c r="N72" i="113" s="1"/>
  <c r="C43" i="113"/>
  <c r="T37" i="87"/>
  <c r="G55" i="95"/>
  <c r="F49" i="92"/>
  <c r="N14" i="89"/>
  <c r="R14" i="89"/>
  <c r="S28" i="89" s="1"/>
  <c r="W14" i="89"/>
  <c r="S25" i="97"/>
  <c r="S45" i="97" s="1"/>
  <c r="G64" i="113"/>
  <c r="S35" i="97" s="1"/>
  <c r="Y46" i="95"/>
  <c r="F40" i="110"/>
  <c r="G59" i="95"/>
  <c r="R26" i="97"/>
  <c r="R46" i="97" s="1"/>
  <c r="F65" i="113"/>
  <c r="R36" i="97" s="1"/>
  <c r="G31" i="95"/>
  <c r="F25" i="92"/>
  <c r="R20" i="97"/>
  <c r="F64" i="95"/>
  <c r="R30" i="97" s="1"/>
  <c r="F41" i="32" s="1"/>
  <c r="C55" i="95"/>
  <c r="F49" i="87"/>
  <c r="Y46" i="113"/>
  <c r="T40" i="110"/>
  <c r="T29" i="88"/>
  <c r="D35" i="113"/>
  <c r="G43" i="95"/>
  <c r="F37" i="92"/>
  <c r="N36" i="95"/>
  <c r="N71" i="95" s="1"/>
  <c r="N48" i="95"/>
  <c r="Y21" i="113"/>
  <c r="Y21" i="95"/>
  <c r="E27" i="110"/>
  <c r="S39" i="110"/>
  <c r="E39" i="110"/>
  <c r="S51" i="110"/>
  <c r="E51" i="110"/>
  <c r="C31" i="95"/>
  <c r="C66" i="95" s="1"/>
  <c r="F25" i="87"/>
  <c r="Y58" i="113"/>
  <c r="T52" i="110"/>
  <c r="D47" i="95"/>
  <c r="F41" i="88"/>
  <c r="I14" i="92"/>
  <c r="G35" i="95"/>
  <c r="T51" i="102"/>
  <c r="U21" i="97"/>
  <c r="U41" i="97" s="1"/>
  <c r="I65" i="95"/>
  <c r="U31" i="97" s="1"/>
  <c r="AA57" i="95"/>
  <c r="AA33" i="95"/>
  <c r="AA68" i="95" s="1"/>
  <c r="F27" i="112"/>
  <c r="F39" i="112"/>
  <c r="AA45" i="95"/>
  <c r="R15" i="110"/>
  <c r="S29" i="110" s="1"/>
  <c r="N15" i="110"/>
  <c r="W15" i="110"/>
  <c r="D59" i="95"/>
  <c r="F53" i="88"/>
  <c r="T26" i="92"/>
  <c r="G32" i="113"/>
  <c r="G47" i="95"/>
  <c r="T26" i="94"/>
  <c r="I32" i="113"/>
  <c r="T25" i="92"/>
  <c r="G31" i="113"/>
  <c r="Y24" i="113"/>
  <c r="E30" i="110"/>
  <c r="Y24" i="95"/>
  <c r="S54" i="110"/>
  <c r="E42" i="110"/>
  <c r="E54" i="110"/>
  <c r="S42" i="110"/>
  <c r="T27" i="102"/>
  <c r="O33" i="113"/>
  <c r="O45" i="113"/>
  <c r="E29" i="120" l="1"/>
  <c r="F27" i="117"/>
  <c r="U41" i="80"/>
  <c r="B11" i="95"/>
  <c r="B70" i="95" s="1"/>
  <c r="V15" i="80"/>
  <c r="U27" i="91"/>
  <c r="O33" i="95"/>
  <c r="E41" i="120"/>
  <c r="G41" i="120" s="1"/>
  <c r="G41" i="80"/>
  <c r="U53" i="80"/>
  <c r="G29" i="80"/>
  <c r="F39" i="91"/>
  <c r="G27" i="91"/>
  <c r="T39" i="102"/>
  <c r="E53" i="120"/>
  <c r="F9" i="113"/>
  <c r="F69" i="113" s="1"/>
  <c r="U16" i="80"/>
  <c r="F29" i="80"/>
  <c r="T53" i="80"/>
  <c r="F27" i="91"/>
  <c r="T27" i="91"/>
  <c r="G39" i="102"/>
  <c r="U50" i="92"/>
  <c r="T27" i="117"/>
  <c r="S41" i="89"/>
  <c r="T41" i="89" s="1"/>
  <c r="G56" i="113"/>
  <c r="Z71" i="113"/>
  <c r="T39" i="117"/>
  <c r="L23" i="95"/>
  <c r="L11" i="113"/>
  <c r="F30" i="99"/>
  <c r="F42" i="89"/>
  <c r="T29" i="80"/>
  <c r="G53" i="80"/>
  <c r="U29" i="80"/>
  <c r="G51" i="91"/>
  <c r="T39" i="91"/>
  <c r="F9" i="95"/>
  <c r="F68" i="95" s="1"/>
  <c r="T51" i="91"/>
  <c r="T53" i="100"/>
  <c r="S53" i="89"/>
  <c r="L59" i="113" s="1"/>
  <c r="U54" i="99"/>
  <c r="U54" i="89"/>
  <c r="F51" i="91"/>
  <c r="V13" i="91"/>
  <c r="T30" i="99"/>
  <c r="F42" i="99"/>
  <c r="U12" i="95"/>
  <c r="U71" i="95" s="1"/>
  <c r="T54" i="99"/>
  <c r="F54" i="99"/>
  <c r="U42" i="99"/>
  <c r="T42" i="99"/>
  <c r="G54" i="99"/>
  <c r="G42" i="99"/>
  <c r="U12" i="113"/>
  <c r="U72" i="113" s="1"/>
  <c r="F38" i="92"/>
  <c r="U28" i="94"/>
  <c r="U39" i="91"/>
  <c r="U51" i="91"/>
  <c r="F39" i="117"/>
  <c r="G26" i="92"/>
  <c r="O45" i="95"/>
  <c r="S53" i="120"/>
  <c r="T53" i="120" s="1"/>
  <c r="R16" i="92"/>
  <c r="S30" i="92" s="1"/>
  <c r="T40" i="94"/>
  <c r="G44" i="95"/>
  <c r="G27" i="32"/>
  <c r="U41" i="120"/>
  <c r="U52" i="94"/>
  <c r="G28" i="94"/>
  <c r="I10" i="95"/>
  <c r="I69" i="95" s="1"/>
  <c r="G40" i="94"/>
  <c r="T28" i="94"/>
  <c r="G52" i="94"/>
  <c r="T54" i="89"/>
  <c r="U42" i="89"/>
  <c r="W16" i="92"/>
  <c r="V14" i="118"/>
  <c r="G30" i="89"/>
  <c r="G54" i="89"/>
  <c r="G67" i="113"/>
  <c r="G44" i="113"/>
  <c r="T38" i="92"/>
  <c r="F29" i="100"/>
  <c r="G66" i="95"/>
  <c r="F54" i="93"/>
  <c r="M11" i="95"/>
  <c r="M70" i="95" s="1"/>
  <c r="U28" i="89"/>
  <c r="V16" i="110"/>
  <c r="L10" i="95"/>
  <c r="L69" i="95" s="1"/>
  <c r="E41" i="89"/>
  <c r="F41" i="89" s="1"/>
  <c r="E29" i="89"/>
  <c r="F29" i="89" s="1"/>
  <c r="G32" i="95"/>
  <c r="G65" i="95"/>
  <c r="S31" i="97" s="1"/>
  <c r="G42" i="32" s="1"/>
  <c r="G42" i="89"/>
  <c r="L12" i="113"/>
  <c r="L72" i="113" s="1"/>
  <c r="T30" i="89"/>
  <c r="F30" i="89"/>
  <c r="F40" i="94"/>
  <c r="T52" i="94"/>
  <c r="V14" i="94"/>
  <c r="U15" i="94"/>
  <c r="V15" i="94" s="1"/>
  <c r="T41" i="100"/>
  <c r="T29" i="100"/>
  <c r="D70" i="95"/>
  <c r="Y70" i="113"/>
  <c r="E53" i="89"/>
  <c r="F53" i="89" s="1"/>
  <c r="L23" i="113"/>
  <c r="T42" i="89"/>
  <c r="F54" i="89"/>
  <c r="L12" i="95"/>
  <c r="L71" i="95" s="1"/>
  <c r="F52" i="94"/>
  <c r="I10" i="113"/>
  <c r="I70" i="113" s="1"/>
  <c r="U40" i="94"/>
  <c r="V15" i="100"/>
  <c r="G53" i="120"/>
  <c r="G29" i="120"/>
  <c r="U29" i="120"/>
  <c r="AA36" i="95"/>
  <c r="AA60" i="95"/>
  <c r="AA36" i="113"/>
  <c r="AA60" i="113"/>
  <c r="S16" i="118"/>
  <c r="T16" i="118"/>
  <c r="T11" i="96"/>
  <c r="S11" i="96"/>
  <c r="C37" i="32"/>
  <c r="O41" i="97"/>
  <c r="U53" i="100"/>
  <c r="M11" i="113"/>
  <c r="M71" i="113" s="1"/>
  <c r="G53" i="100"/>
  <c r="F41" i="100"/>
  <c r="U41" i="100"/>
  <c r="U16" i="100"/>
  <c r="U42" i="100" s="1"/>
  <c r="G41" i="100"/>
  <c r="U29" i="100"/>
  <c r="F53" i="100"/>
  <c r="Y12" i="113"/>
  <c r="T30" i="93"/>
  <c r="U30" i="110"/>
  <c r="Y11" i="95"/>
  <c r="U54" i="93"/>
  <c r="T42" i="93"/>
  <c r="D71" i="113"/>
  <c r="U15" i="112"/>
  <c r="U16" i="112" s="1"/>
  <c r="V16" i="112" s="1"/>
  <c r="G42" i="93"/>
  <c r="H12" i="113"/>
  <c r="H72" i="113" s="1"/>
  <c r="G30" i="93"/>
  <c r="U30" i="93"/>
  <c r="H12" i="95"/>
  <c r="H71" i="95" s="1"/>
  <c r="V16" i="93"/>
  <c r="U42" i="93"/>
  <c r="T54" i="93"/>
  <c r="F42" i="93"/>
  <c r="G54" i="93"/>
  <c r="Q11" i="113"/>
  <c r="Q71" i="113" s="1"/>
  <c r="G41" i="104"/>
  <c r="F29" i="104"/>
  <c r="V15" i="104"/>
  <c r="G29" i="104"/>
  <c r="U53" i="104"/>
  <c r="U29" i="104"/>
  <c r="T41" i="104"/>
  <c r="T53" i="104"/>
  <c r="G53" i="104"/>
  <c r="F41" i="104"/>
  <c r="U41" i="104"/>
  <c r="T29" i="104"/>
  <c r="F53" i="104"/>
  <c r="Q11" i="95"/>
  <c r="Q70" i="95" s="1"/>
  <c r="U16" i="104"/>
  <c r="B12" i="113"/>
  <c r="B72" i="113" s="1"/>
  <c r="U30" i="80"/>
  <c r="T30" i="80"/>
  <c r="F54" i="80"/>
  <c r="V16" i="80"/>
  <c r="U54" i="80"/>
  <c r="T54" i="80"/>
  <c r="G54" i="80"/>
  <c r="F42" i="80"/>
  <c r="F30" i="80"/>
  <c r="B12" i="95"/>
  <c r="B71" i="95" s="1"/>
  <c r="T42" i="80"/>
  <c r="G30" i="80"/>
  <c r="G42" i="80"/>
  <c r="U42" i="80"/>
  <c r="F29" i="120"/>
  <c r="F53" i="120"/>
  <c r="U16" i="120"/>
  <c r="V16" i="120" s="1"/>
  <c r="V15" i="120"/>
  <c r="S30" i="115"/>
  <c r="E30" i="115"/>
  <c r="S42" i="115"/>
  <c r="S54" i="115"/>
  <c r="E42" i="115"/>
  <c r="E54" i="115"/>
  <c r="D12" i="95"/>
  <c r="D71" i="95" s="1"/>
  <c r="D12" i="113"/>
  <c r="D72" i="113" s="1"/>
  <c r="U54" i="88"/>
  <c r="G54" i="88"/>
  <c r="T42" i="88"/>
  <c r="F42" i="88"/>
  <c r="T30" i="88"/>
  <c r="U30" i="88"/>
  <c r="G30" i="88"/>
  <c r="G42" i="88"/>
  <c r="U42" i="88"/>
  <c r="F30" i="88"/>
  <c r="F54" i="88"/>
  <c r="T54" i="88"/>
  <c r="V16" i="88"/>
  <c r="V13" i="115"/>
  <c r="T51" i="115"/>
  <c r="T39" i="115"/>
  <c r="F27" i="115"/>
  <c r="F51" i="115"/>
  <c r="T27" i="115"/>
  <c r="F39" i="115"/>
  <c r="U14" i="115"/>
  <c r="G52" i="115" s="1"/>
  <c r="U39" i="115"/>
  <c r="U15" i="91"/>
  <c r="V14" i="91"/>
  <c r="F10" i="113"/>
  <c r="F70" i="113" s="1"/>
  <c r="F10" i="95"/>
  <c r="F69" i="95" s="1"/>
  <c r="U28" i="91"/>
  <c r="F28" i="91"/>
  <c r="T52" i="91"/>
  <c r="F52" i="91"/>
  <c r="U52" i="91"/>
  <c r="U40" i="91"/>
  <c r="T40" i="91"/>
  <c r="T28" i="91"/>
  <c r="F40" i="91"/>
  <c r="G52" i="91"/>
  <c r="G40" i="91"/>
  <c r="G28" i="91"/>
  <c r="U51" i="115"/>
  <c r="U16" i="103"/>
  <c r="P11" i="95"/>
  <c r="P70" i="95" s="1"/>
  <c r="F41" i="103"/>
  <c r="T29" i="103"/>
  <c r="V15" i="103"/>
  <c r="T53" i="103"/>
  <c r="F29" i="103"/>
  <c r="T41" i="103"/>
  <c r="G29" i="103"/>
  <c r="P11" i="113"/>
  <c r="P71" i="113" s="1"/>
  <c r="G53" i="103"/>
  <c r="U53" i="103"/>
  <c r="U29" i="103"/>
  <c r="F53" i="103"/>
  <c r="G41" i="103"/>
  <c r="U41" i="103"/>
  <c r="G39" i="115"/>
  <c r="U30" i="105"/>
  <c r="R12" i="95"/>
  <c r="R71" i="95" s="1"/>
  <c r="T54" i="105"/>
  <c r="T42" i="105"/>
  <c r="F30" i="105"/>
  <c r="V16" i="105"/>
  <c r="T30" i="105"/>
  <c r="G54" i="105"/>
  <c r="G42" i="105"/>
  <c r="U42" i="105"/>
  <c r="U54" i="105"/>
  <c r="F54" i="105"/>
  <c r="R12" i="113"/>
  <c r="R72" i="113" s="1"/>
  <c r="G30" i="105"/>
  <c r="F42" i="105"/>
  <c r="G30" i="90"/>
  <c r="F42" i="90"/>
  <c r="G42" i="90"/>
  <c r="E12" i="95"/>
  <c r="E71" i="95" s="1"/>
  <c r="T54" i="90"/>
  <c r="U42" i="90"/>
  <c r="T42" i="90"/>
  <c r="V16" i="90"/>
  <c r="E12" i="113"/>
  <c r="E72" i="113" s="1"/>
  <c r="T30" i="90"/>
  <c r="U54" i="90"/>
  <c r="F30" i="90"/>
  <c r="F54" i="90"/>
  <c r="G54" i="90"/>
  <c r="U30" i="90"/>
  <c r="U16" i="102"/>
  <c r="O11" i="95"/>
  <c r="O70" i="95" s="1"/>
  <c r="O11" i="113"/>
  <c r="O71" i="113" s="1"/>
  <c r="U29" i="102"/>
  <c r="V15" i="102"/>
  <c r="F53" i="102"/>
  <c r="F41" i="102"/>
  <c r="U53" i="102"/>
  <c r="T29" i="102"/>
  <c r="G41" i="102"/>
  <c r="F29" i="102"/>
  <c r="T41" i="102"/>
  <c r="T53" i="102"/>
  <c r="G29" i="102"/>
  <c r="G53" i="102"/>
  <c r="U41" i="102"/>
  <c r="T41" i="120"/>
  <c r="G51" i="115"/>
  <c r="U16" i="117"/>
  <c r="V15" i="117"/>
  <c r="T29" i="117"/>
  <c r="T53" i="117"/>
  <c r="T41" i="117"/>
  <c r="F29" i="117"/>
  <c r="F53" i="117"/>
  <c r="F41" i="117"/>
  <c r="G53" i="117"/>
  <c r="G29" i="117"/>
  <c r="G41" i="117"/>
  <c r="U29" i="117"/>
  <c r="U41" i="117"/>
  <c r="U53" i="117"/>
  <c r="U16" i="116"/>
  <c r="T53" i="116"/>
  <c r="F29" i="116"/>
  <c r="F41" i="116"/>
  <c r="V15" i="116"/>
  <c r="T41" i="116"/>
  <c r="T29" i="116"/>
  <c r="F53" i="116"/>
  <c r="G41" i="116"/>
  <c r="G53" i="116"/>
  <c r="U41" i="116"/>
  <c r="U29" i="116"/>
  <c r="G29" i="116"/>
  <c r="U53" i="116"/>
  <c r="V16" i="121"/>
  <c r="T54" i="121"/>
  <c r="F30" i="121"/>
  <c r="T30" i="121"/>
  <c r="T42" i="121"/>
  <c r="F42" i="121"/>
  <c r="F54" i="121"/>
  <c r="U42" i="121"/>
  <c r="G42" i="121"/>
  <c r="U54" i="121"/>
  <c r="G54" i="121"/>
  <c r="U30" i="121"/>
  <c r="G30" i="121"/>
  <c r="U27" i="115"/>
  <c r="U16" i="87"/>
  <c r="F41" i="87"/>
  <c r="G53" i="87"/>
  <c r="U29" i="87"/>
  <c r="V15" i="87"/>
  <c r="T53" i="87"/>
  <c r="C11" i="95"/>
  <c r="C70" i="95" s="1"/>
  <c r="U41" i="87"/>
  <c r="G41" i="87"/>
  <c r="F53" i="87"/>
  <c r="U53" i="87"/>
  <c r="C11" i="113"/>
  <c r="C71" i="113" s="1"/>
  <c r="T29" i="87"/>
  <c r="F29" i="87"/>
  <c r="G29" i="87"/>
  <c r="T41" i="87"/>
  <c r="U15" i="119"/>
  <c r="T40" i="119"/>
  <c r="V14" i="119"/>
  <c r="T52" i="119"/>
  <c r="F28" i="119"/>
  <c r="T28" i="119"/>
  <c r="F40" i="119"/>
  <c r="F52" i="119"/>
  <c r="G40" i="119"/>
  <c r="U28" i="119"/>
  <c r="G52" i="119"/>
  <c r="U52" i="119"/>
  <c r="G28" i="119"/>
  <c r="U40" i="119"/>
  <c r="G27" i="115"/>
  <c r="M16" i="118"/>
  <c r="U16" i="108"/>
  <c r="W11" i="113"/>
  <c r="W71" i="113" s="1"/>
  <c r="V15" i="108"/>
  <c r="F29" i="108"/>
  <c r="T41" i="108"/>
  <c r="U29" i="108"/>
  <c r="G53" i="108"/>
  <c r="G29" i="108"/>
  <c r="T29" i="108"/>
  <c r="F41" i="108"/>
  <c r="F53" i="108"/>
  <c r="U41" i="108"/>
  <c r="G41" i="108"/>
  <c r="W11" i="95"/>
  <c r="W70" i="95" s="1"/>
  <c r="T53" i="108"/>
  <c r="U53" i="108"/>
  <c r="U30" i="109"/>
  <c r="G30" i="109"/>
  <c r="G54" i="109"/>
  <c r="T54" i="109"/>
  <c r="F54" i="109"/>
  <c r="X12" i="113"/>
  <c r="X72" i="113" s="1"/>
  <c r="U42" i="109"/>
  <c r="T42" i="109"/>
  <c r="X12" i="95"/>
  <c r="X71" i="95" s="1"/>
  <c r="V16" i="109"/>
  <c r="G42" i="109"/>
  <c r="F42" i="109"/>
  <c r="U54" i="109"/>
  <c r="F30" i="109"/>
  <c r="T30" i="109"/>
  <c r="U15" i="106"/>
  <c r="U28" i="106"/>
  <c r="G40" i="106"/>
  <c r="U52" i="106"/>
  <c r="U40" i="106"/>
  <c r="T52" i="106"/>
  <c r="G52" i="106"/>
  <c r="F40" i="106"/>
  <c r="T28" i="106"/>
  <c r="S10" i="95"/>
  <c r="S69" i="95" s="1"/>
  <c r="S10" i="113"/>
  <c r="S70" i="113" s="1"/>
  <c r="F52" i="106"/>
  <c r="F28" i="106"/>
  <c r="G28" i="106"/>
  <c r="V14" i="106"/>
  <c r="T40" i="106"/>
  <c r="E28" i="118"/>
  <c r="S52" i="118"/>
  <c r="S40" i="118"/>
  <c r="S28" i="118"/>
  <c r="E40" i="118"/>
  <c r="E52" i="118"/>
  <c r="V15" i="118"/>
  <c r="F29" i="118"/>
  <c r="T53" i="118"/>
  <c r="T41" i="118"/>
  <c r="T29" i="118"/>
  <c r="F53" i="118"/>
  <c r="F41" i="118"/>
  <c r="U53" i="118"/>
  <c r="G53" i="118"/>
  <c r="G41" i="118"/>
  <c r="G29" i="118"/>
  <c r="U41" i="118"/>
  <c r="U29" i="118"/>
  <c r="F41" i="120"/>
  <c r="T29" i="120"/>
  <c r="V14" i="89"/>
  <c r="J6" i="95"/>
  <c r="V11" i="97" s="1"/>
  <c r="J6" i="113"/>
  <c r="V10" i="96"/>
  <c r="M60" i="95"/>
  <c r="M48" i="95"/>
  <c r="M36" i="95"/>
  <c r="M60" i="113"/>
  <c r="M36" i="113"/>
  <c r="M48" i="113"/>
  <c r="J52" i="95"/>
  <c r="G46" i="96"/>
  <c r="F46" i="96"/>
  <c r="H16" i="96"/>
  <c r="H13" i="96"/>
  <c r="J40" i="95"/>
  <c r="G34" i="96"/>
  <c r="F34" i="96"/>
  <c r="S23" i="96"/>
  <c r="J29" i="113" s="1"/>
  <c r="V26" i="97" s="1"/>
  <c r="S35" i="96"/>
  <c r="T35" i="96" s="1"/>
  <c r="E47" i="96"/>
  <c r="J17" i="95"/>
  <c r="V15" i="97" s="1"/>
  <c r="E35" i="96"/>
  <c r="F35" i="96" s="1"/>
  <c r="E23" i="96"/>
  <c r="F23" i="96" s="1"/>
  <c r="S47" i="96"/>
  <c r="T47" i="96" s="1"/>
  <c r="J17" i="113"/>
  <c r="V9" i="96"/>
  <c r="J5" i="113"/>
  <c r="F47" i="96"/>
  <c r="J5" i="95"/>
  <c r="T46" i="96"/>
  <c r="U46" i="96"/>
  <c r="J52" i="113"/>
  <c r="U22" i="96"/>
  <c r="J28" i="113"/>
  <c r="T22" i="96"/>
  <c r="R10" i="96"/>
  <c r="N10" i="96"/>
  <c r="J28" i="95"/>
  <c r="G22" i="96"/>
  <c r="F22" i="96"/>
  <c r="S26" i="96"/>
  <c r="J20" i="95"/>
  <c r="E26" i="96"/>
  <c r="E38" i="96"/>
  <c r="E50" i="96"/>
  <c r="J20" i="113"/>
  <c r="S50" i="96"/>
  <c r="S38" i="96"/>
  <c r="J40" i="113"/>
  <c r="U34" i="96"/>
  <c r="T34" i="96"/>
  <c r="H15" i="96"/>
  <c r="I15" i="96" s="1"/>
  <c r="J15" i="96" s="1"/>
  <c r="K15" i="96" s="1"/>
  <c r="H11" i="96"/>
  <c r="U29" i="89"/>
  <c r="R41" i="97"/>
  <c r="F37" i="32"/>
  <c r="R40" i="97"/>
  <c r="F36" i="32"/>
  <c r="S39" i="97"/>
  <c r="G35" i="32"/>
  <c r="S40" i="97"/>
  <c r="G26" i="32"/>
  <c r="O68" i="95"/>
  <c r="G68" i="113"/>
  <c r="V15" i="110"/>
  <c r="O69" i="113"/>
  <c r="Y11" i="113"/>
  <c r="U29" i="110"/>
  <c r="L11" i="95"/>
  <c r="L70" i="95" s="1"/>
  <c r="S46" i="97"/>
  <c r="G67" i="95"/>
  <c r="V15" i="89"/>
  <c r="I67" i="95"/>
  <c r="Y48" i="113"/>
  <c r="U42" i="110"/>
  <c r="Y45" i="113"/>
  <c r="U39" i="110"/>
  <c r="T42" i="110"/>
  <c r="Y60" i="95"/>
  <c r="G54" i="110"/>
  <c r="Y33" i="95"/>
  <c r="Y68" i="95" s="1"/>
  <c r="G27" i="110"/>
  <c r="Y48" i="95"/>
  <c r="G42" i="110"/>
  <c r="Y60" i="113"/>
  <c r="U54" i="110"/>
  <c r="U41" i="89"/>
  <c r="Y36" i="95"/>
  <c r="Y71" i="95" s="1"/>
  <c r="G30" i="110"/>
  <c r="Y57" i="113"/>
  <c r="U51" i="110"/>
  <c r="Y57" i="95"/>
  <c r="G51" i="110"/>
  <c r="Y45" i="95"/>
  <c r="G39" i="110"/>
  <c r="H46" i="95"/>
  <c r="F40" i="93"/>
  <c r="T51" i="110"/>
  <c r="T29" i="89"/>
  <c r="L35" i="113"/>
  <c r="L71" i="113" s="1"/>
  <c r="L47" i="113"/>
  <c r="H58" i="113"/>
  <c r="T52" i="93"/>
  <c r="F55" i="113"/>
  <c r="T49" i="91"/>
  <c r="F30" i="110"/>
  <c r="N15" i="112"/>
  <c r="R15" i="112"/>
  <c r="S29" i="112" s="1"/>
  <c r="W15" i="112"/>
  <c r="H58" i="95"/>
  <c r="F52" i="93"/>
  <c r="T25" i="91"/>
  <c r="F31" i="113"/>
  <c r="F67" i="113" s="1"/>
  <c r="Y23" i="113"/>
  <c r="S53" i="110"/>
  <c r="U53" i="110" s="1"/>
  <c r="S41" i="110"/>
  <c r="U41" i="110" s="1"/>
  <c r="E29" i="110"/>
  <c r="G29" i="110" s="1"/>
  <c r="E41" i="110"/>
  <c r="G41" i="110" s="1"/>
  <c r="Y23" i="95"/>
  <c r="E53" i="110"/>
  <c r="G53" i="110" s="1"/>
  <c r="L22" i="113"/>
  <c r="E52" i="89"/>
  <c r="G52" i="89" s="1"/>
  <c r="E40" i="89"/>
  <c r="S40" i="89"/>
  <c r="E28" i="89"/>
  <c r="G28" i="89" s="1"/>
  <c r="L22" i="95"/>
  <c r="S52" i="89"/>
  <c r="U52" i="89" s="1"/>
  <c r="T39" i="110"/>
  <c r="I68" i="113"/>
  <c r="H46" i="113"/>
  <c r="T40" i="93"/>
  <c r="F43" i="95"/>
  <c r="F37" i="91"/>
  <c r="G24" i="95"/>
  <c r="F31" i="95"/>
  <c r="F66" i="95" s="1"/>
  <c r="F25" i="91"/>
  <c r="T27" i="110"/>
  <c r="Y33" i="113"/>
  <c r="Y69" i="113" s="1"/>
  <c r="F54" i="110"/>
  <c r="F27" i="110"/>
  <c r="H34" i="95"/>
  <c r="H69" i="95" s="1"/>
  <c r="F28" i="93"/>
  <c r="F55" i="95"/>
  <c r="F49" i="91"/>
  <c r="T30" i="110"/>
  <c r="Y36" i="113"/>
  <c r="J14" i="92"/>
  <c r="T54" i="110"/>
  <c r="F51" i="110"/>
  <c r="F42" i="110"/>
  <c r="F39" i="110"/>
  <c r="T28" i="93"/>
  <c r="H34" i="113"/>
  <c r="H70" i="113" s="1"/>
  <c r="F43" i="113"/>
  <c r="T37" i="91"/>
  <c r="U53" i="89" l="1"/>
  <c r="T53" i="89"/>
  <c r="E30" i="92"/>
  <c r="L59" i="95"/>
  <c r="G41" i="89"/>
  <c r="G24" i="113"/>
  <c r="S42" i="92"/>
  <c r="U53" i="120"/>
  <c r="E42" i="92"/>
  <c r="G48" i="95" s="1"/>
  <c r="S54" i="92"/>
  <c r="E54" i="92"/>
  <c r="G53" i="89"/>
  <c r="U41" i="94"/>
  <c r="T29" i="94"/>
  <c r="I11" i="113"/>
  <c r="I71" i="113" s="1"/>
  <c r="F53" i="94"/>
  <c r="G54" i="100"/>
  <c r="U16" i="118"/>
  <c r="U53" i="94"/>
  <c r="G53" i="94"/>
  <c r="G29" i="94"/>
  <c r="F41" i="94"/>
  <c r="U29" i="94"/>
  <c r="U16" i="94"/>
  <c r="G54" i="94" s="1"/>
  <c r="G41" i="94"/>
  <c r="I11" i="95"/>
  <c r="I70" i="95" s="1"/>
  <c r="T41" i="94"/>
  <c r="T53" i="94"/>
  <c r="F29" i="94"/>
  <c r="G30" i="100"/>
  <c r="G29" i="89"/>
  <c r="F42" i="100"/>
  <c r="U11" i="96"/>
  <c r="U12" i="96" s="1"/>
  <c r="T26" i="96" s="1"/>
  <c r="L47" i="95"/>
  <c r="T30" i="100"/>
  <c r="T54" i="100"/>
  <c r="G42" i="100"/>
  <c r="T42" i="100"/>
  <c r="Y72" i="113"/>
  <c r="U30" i="100"/>
  <c r="U54" i="100"/>
  <c r="F30" i="100"/>
  <c r="F54" i="100"/>
  <c r="T14" i="92"/>
  <c r="S14" i="92"/>
  <c r="S15" i="96"/>
  <c r="T15" i="96"/>
  <c r="M12" i="95"/>
  <c r="M71" i="95" s="1"/>
  <c r="M12" i="113"/>
  <c r="M72" i="113" s="1"/>
  <c r="V16" i="100"/>
  <c r="U52" i="115"/>
  <c r="U28" i="115"/>
  <c r="U40" i="115"/>
  <c r="G40" i="115"/>
  <c r="T42" i="112"/>
  <c r="F54" i="112"/>
  <c r="U30" i="120"/>
  <c r="T54" i="120"/>
  <c r="U30" i="112"/>
  <c r="U42" i="112"/>
  <c r="F54" i="120"/>
  <c r="F42" i="112"/>
  <c r="G42" i="112"/>
  <c r="T30" i="112"/>
  <c r="AA12" i="113"/>
  <c r="AA72" i="113" s="1"/>
  <c r="G54" i="120"/>
  <c r="G30" i="120"/>
  <c r="F30" i="120"/>
  <c r="T30" i="120"/>
  <c r="F30" i="112"/>
  <c r="G54" i="112"/>
  <c r="T54" i="112"/>
  <c r="G42" i="120"/>
  <c r="U54" i="120"/>
  <c r="T42" i="120"/>
  <c r="G30" i="112"/>
  <c r="U54" i="112"/>
  <c r="AA12" i="95"/>
  <c r="AA71" i="95" s="1"/>
  <c r="U42" i="120"/>
  <c r="F42" i="120"/>
  <c r="Q12" i="113"/>
  <c r="Q72" i="113" s="1"/>
  <c r="F30" i="104"/>
  <c r="G30" i="104"/>
  <c r="U30" i="104"/>
  <c r="Q12" i="95"/>
  <c r="Q71" i="95" s="1"/>
  <c r="G42" i="104"/>
  <c r="T30" i="104"/>
  <c r="V16" i="104"/>
  <c r="F42" i="104"/>
  <c r="G54" i="104"/>
  <c r="F54" i="104"/>
  <c r="U54" i="104"/>
  <c r="T42" i="104"/>
  <c r="U42" i="104"/>
  <c r="T54" i="104"/>
  <c r="G40" i="118"/>
  <c r="F40" i="118"/>
  <c r="G28" i="118"/>
  <c r="F28" i="118"/>
  <c r="U16" i="106"/>
  <c r="U29" i="106"/>
  <c r="V15" i="106"/>
  <c r="S11" i="113"/>
  <c r="S71" i="113" s="1"/>
  <c r="F41" i="106"/>
  <c r="F29" i="106"/>
  <c r="T53" i="106"/>
  <c r="S11" i="95"/>
  <c r="S70" i="95" s="1"/>
  <c r="G41" i="106"/>
  <c r="T41" i="106"/>
  <c r="G29" i="106"/>
  <c r="T29" i="106"/>
  <c r="G53" i="106"/>
  <c r="U53" i="106"/>
  <c r="U41" i="106"/>
  <c r="F53" i="106"/>
  <c r="T30" i="117"/>
  <c r="V16" i="117"/>
  <c r="T42" i="117"/>
  <c r="T54" i="117"/>
  <c r="F30" i="117"/>
  <c r="F42" i="117"/>
  <c r="F54" i="117"/>
  <c r="U30" i="117"/>
  <c r="G30" i="117"/>
  <c r="G54" i="117"/>
  <c r="G42" i="117"/>
  <c r="U42" i="117"/>
  <c r="U54" i="117"/>
  <c r="U28" i="118"/>
  <c r="T28" i="118"/>
  <c r="N16" i="118"/>
  <c r="R16" i="118"/>
  <c r="W16" i="118"/>
  <c r="T30" i="116"/>
  <c r="T42" i="116"/>
  <c r="T54" i="116"/>
  <c r="F30" i="116"/>
  <c r="F42" i="116"/>
  <c r="V16" i="116"/>
  <c r="F54" i="116"/>
  <c r="U30" i="116"/>
  <c r="U42" i="116"/>
  <c r="G54" i="116"/>
  <c r="G30" i="116"/>
  <c r="G42" i="116"/>
  <c r="U54" i="116"/>
  <c r="U15" i="115"/>
  <c r="T40" i="115"/>
  <c r="T52" i="115"/>
  <c r="F28" i="115"/>
  <c r="T28" i="115"/>
  <c r="V14" i="115"/>
  <c r="F52" i="115"/>
  <c r="F40" i="115"/>
  <c r="U40" i="118"/>
  <c r="T40" i="118"/>
  <c r="U30" i="103"/>
  <c r="U42" i="103"/>
  <c r="G54" i="103"/>
  <c r="P12" i="113"/>
  <c r="P72" i="113" s="1"/>
  <c r="F30" i="103"/>
  <c r="U54" i="103"/>
  <c r="F54" i="103"/>
  <c r="T54" i="103"/>
  <c r="G42" i="103"/>
  <c r="G30" i="103"/>
  <c r="T30" i="103"/>
  <c r="V16" i="103"/>
  <c r="F42" i="103"/>
  <c r="T42" i="103"/>
  <c r="P12" i="95"/>
  <c r="P71" i="95" s="1"/>
  <c r="G52" i="118"/>
  <c r="F52" i="118"/>
  <c r="U52" i="118"/>
  <c r="T52" i="118"/>
  <c r="U30" i="108"/>
  <c r="V16" i="108"/>
  <c r="T42" i="108"/>
  <c r="U42" i="108"/>
  <c r="G54" i="108"/>
  <c r="W12" i="113"/>
  <c r="W72" i="113" s="1"/>
  <c r="F42" i="108"/>
  <c r="W12" i="95"/>
  <c r="W71" i="95" s="1"/>
  <c r="T54" i="108"/>
  <c r="G42" i="108"/>
  <c r="F30" i="108"/>
  <c r="G30" i="108"/>
  <c r="T30" i="108"/>
  <c r="F54" i="108"/>
  <c r="U54" i="108"/>
  <c r="U16" i="119"/>
  <c r="T53" i="119"/>
  <c r="V15" i="119"/>
  <c r="T29" i="119"/>
  <c r="T41" i="119"/>
  <c r="F29" i="119"/>
  <c r="F41" i="119"/>
  <c r="F53" i="119"/>
  <c r="U29" i="119"/>
  <c r="G29" i="119"/>
  <c r="G41" i="119"/>
  <c r="G53" i="119"/>
  <c r="U41" i="119"/>
  <c r="U53" i="119"/>
  <c r="C12" i="113"/>
  <c r="C72" i="113" s="1"/>
  <c r="U42" i="87"/>
  <c r="G54" i="87"/>
  <c r="T54" i="87"/>
  <c r="G30" i="87"/>
  <c r="V16" i="87"/>
  <c r="C12" i="95"/>
  <c r="C71" i="95" s="1"/>
  <c r="G42" i="87"/>
  <c r="U30" i="87"/>
  <c r="T42" i="87"/>
  <c r="F54" i="87"/>
  <c r="F30" i="87"/>
  <c r="U54" i="87"/>
  <c r="F42" i="87"/>
  <c r="T30" i="87"/>
  <c r="U30" i="102"/>
  <c r="T42" i="102"/>
  <c r="G54" i="102"/>
  <c r="T30" i="102"/>
  <c r="T54" i="102"/>
  <c r="F54" i="102"/>
  <c r="G30" i="102"/>
  <c r="U42" i="102"/>
  <c r="O12" i="95"/>
  <c r="O71" i="95" s="1"/>
  <c r="F30" i="102"/>
  <c r="U54" i="102"/>
  <c r="V16" i="102"/>
  <c r="G42" i="102"/>
  <c r="O12" i="113"/>
  <c r="O72" i="113" s="1"/>
  <c r="F42" i="102"/>
  <c r="U16" i="91"/>
  <c r="F11" i="113"/>
  <c r="F71" i="113" s="1"/>
  <c r="F53" i="91"/>
  <c r="F29" i="91"/>
  <c r="U41" i="91"/>
  <c r="U53" i="91"/>
  <c r="T29" i="91"/>
  <c r="U29" i="91"/>
  <c r="T53" i="91"/>
  <c r="G29" i="91"/>
  <c r="G53" i="91"/>
  <c r="T41" i="91"/>
  <c r="F11" i="95"/>
  <c r="F70" i="95" s="1"/>
  <c r="V15" i="91"/>
  <c r="F41" i="91"/>
  <c r="G41" i="91"/>
  <c r="G28" i="115"/>
  <c r="U23" i="96"/>
  <c r="L15" i="96"/>
  <c r="W15" i="96" s="1"/>
  <c r="J32" i="95"/>
  <c r="J41" i="113"/>
  <c r="U35" i="96"/>
  <c r="V25" i="97"/>
  <c r="V45" i="97" s="1"/>
  <c r="J64" i="113"/>
  <c r="V35" i="97" s="1"/>
  <c r="V10" i="97"/>
  <c r="I16" i="96"/>
  <c r="J16" i="96" s="1"/>
  <c r="K16" i="96" s="1"/>
  <c r="L16" i="96" s="1"/>
  <c r="J32" i="113"/>
  <c r="J44" i="113"/>
  <c r="J53" i="113"/>
  <c r="U47" i="96"/>
  <c r="G23" i="96"/>
  <c r="J29" i="95"/>
  <c r="V20" i="97" s="1"/>
  <c r="R11" i="96"/>
  <c r="N11" i="96"/>
  <c r="W11" i="96"/>
  <c r="V19" i="97"/>
  <c r="V39" i="97" s="1"/>
  <c r="J63" i="95"/>
  <c r="V29" i="97" s="1"/>
  <c r="T23" i="96"/>
  <c r="J41" i="95"/>
  <c r="G35" i="96"/>
  <c r="J56" i="95"/>
  <c r="J65" i="113"/>
  <c r="V36" i="97" s="1"/>
  <c r="J56" i="113"/>
  <c r="J44" i="95"/>
  <c r="S24" i="96"/>
  <c r="S48" i="96"/>
  <c r="J18" i="113"/>
  <c r="E24" i="96"/>
  <c r="S36" i="96"/>
  <c r="E48" i="96"/>
  <c r="J18" i="95"/>
  <c r="V16" i="97" s="1"/>
  <c r="E36" i="96"/>
  <c r="J53" i="95"/>
  <c r="G47" i="96"/>
  <c r="I13" i="96"/>
  <c r="U29" i="112"/>
  <c r="F40" i="89"/>
  <c r="G40" i="89"/>
  <c r="G60" i="113"/>
  <c r="G48" i="113"/>
  <c r="T40" i="89"/>
  <c r="U40" i="89"/>
  <c r="G36" i="95"/>
  <c r="G60" i="95"/>
  <c r="AA11" i="113"/>
  <c r="V15" i="112"/>
  <c r="AA11" i="95"/>
  <c r="Y59" i="113"/>
  <c r="T53" i="110"/>
  <c r="T29" i="110"/>
  <c r="Y35" i="113"/>
  <c r="Y71" i="113" s="1"/>
  <c r="L58" i="95"/>
  <c r="F52" i="89"/>
  <c r="L58" i="113"/>
  <c r="T52" i="89"/>
  <c r="L46" i="95"/>
  <c r="F28" i="89"/>
  <c r="Y59" i="95"/>
  <c r="F53" i="110"/>
  <c r="Y47" i="95"/>
  <c r="F41" i="110"/>
  <c r="F29" i="110"/>
  <c r="Y35" i="95"/>
  <c r="Y70" i="95" s="1"/>
  <c r="G36" i="113"/>
  <c r="K14" i="92"/>
  <c r="W14" i="92" s="1"/>
  <c r="T28" i="89"/>
  <c r="L34" i="113"/>
  <c r="L70" i="113" s="1"/>
  <c r="L46" i="113"/>
  <c r="Y47" i="113"/>
  <c r="T41" i="110"/>
  <c r="AA23" i="113"/>
  <c r="S41" i="112"/>
  <c r="AA23" i="95"/>
  <c r="E29" i="112"/>
  <c r="E41" i="112"/>
  <c r="G41" i="112" s="1"/>
  <c r="S53" i="112"/>
  <c r="E53" i="112"/>
  <c r="F30" i="94" l="1"/>
  <c r="U30" i="94"/>
  <c r="I12" i="113"/>
  <c r="I72" i="113" s="1"/>
  <c r="T30" i="94"/>
  <c r="U42" i="94"/>
  <c r="G30" i="94"/>
  <c r="G42" i="94"/>
  <c r="V16" i="118"/>
  <c r="F50" i="96"/>
  <c r="U26" i="96"/>
  <c r="T54" i="94"/>
  <c r="V16" i="94"/>
  <c r="T42" i="94"/>
  <c r="U54" i="94"/>
  <c r="F54" i="94"/>
  <c r="F42" i="94"/>
  <c r="I12" i="95"/>
  <c r="I71" i="95" s="1"/>
  <c r="T50" i="96"/>
  <c r="V12" i="96"/>
  <c r="G38" i="96"/>
  <c r="T38" i="96"/>
  <c r="F26" i="96"/>
  <c r="J8" i="95"/>
  <c r="J67" i="95" s="1"/>
  <c r="F38" i="96"/>
  <c r="U38" i="96"/>
  <c r="G26" i="96"/>
  <c r="J8" i="113"/>
  <c r="J68" i="113" s="1"/>
  <c r="U50" i="96"/>
  <c r="G50" i="96"/>
  <c r="N15" i="96"/>
  <c r="S13" i="96"/>
  <c r="T13" i="96"/>
  <c r="S16" i="96"/>
  <c r="T16" i="96"/>
  <c r="R15" i="96"/>
  <c r="E29" i="96" s="1"/>
  <c r="T54" i="91"/>
  <c r="U30" i="91"/>
  <c r="U54" i="91"/>
  <c r="F42" i="91"/>
  <c r="G54" i="91"/>
  <c r="F54" i="91"/>
  <c r="F12" i="95"/>
  <c r="F71" i="95" s="1"/>
  <c r="G42" i="91"/>
  <c r="T30" i="91"/>
  <c r="T42" i="91"/>
  <c r="F30" i="91"/>
  <c r="U42" i="91"/>
  <c r="V16" i="91"/>
  <c r="G30" i="91"/>
  <c r="F12" i="113"/>
  <c r="F72" i="113" s="1"/>
  <c r="F30" i="119"/>
  <c r="T54" i="119"/>
  <c r="V16" i="119"/>
  <c r="T30" i="119"/>
  <c r="T42" i="119"/>
  <c r="F54" i="119"/>
  <c r="F42" i="119"/>
  <c r="G30" i="119"/>
  <c r="G42" i="119"/>
  <c r="G54" i="119"/>
  <c r="U54" i="119"/>
  <c r="U30" i="119"/>
  <c r="U42" i="119"/>
  <c r="S42" i="118"/>
  <c r="E30" i="118"/>
  <c r="S54" i="118"/>
  <c r="S30" i="118"/>
  <c r="E42" i="118"/>
  <c r="E54" i="118"/>
  <c r="G30" i="106"/>
  <c r="T42" i="106"/>
  <c r="G54" i="106"/>
  <c r="V16" i="106"/>
  <c r="F54" i="106"/>
  <c r="U42" i="106"/>
  <c r="T30" i="106"/>
  <c r="F42" i="106"/>
  <c r="U30" i="106"/>
  <c r="S12" i="113"/>
  <c r="S72" i="113" s="1"/>
  <c r="F30" i="106"/>
  <c r="G42" i="106"/>
  <c r="U54" i="106"/>
  <c r="S12" i="95"/>
  <c r="S71" i="95" s="1"/>
  <c r="T54" i="106"/>
  <c r="U16" i="115"/>
  <c r="T41" i="115"/>
  <c r="F53" i="115"/>
  <c r="F29" i="115"/>
  <c r="T53" i="115"/>
  <c r="V15" i="115"/>
  <c r="T29" i="115"/>
  <c r="F41" i="115"/>
  <c r="G41" i="115"/>
  <c r="U29" i="115"/>
  <c r="U41" i="115"/>
  <c r="G53" i="115"/>
  <c r="G29" i="115"/>
  <c r="U53" i="115"/>
  <c r="U14" i="92"/>
  <c r="U15" i="92" s="1"/>
  <c r="J42" i="113"/>
  <c r="U36" i="96"/>
  <c r="T36" i="96"/>
  <c r="J13" i="96"/>
  <c r="M16" i="96"/>
  <c r="W16" i="96" s="1"/>
  <c r="G24" i="96"/>
  <c r="J30" i="95"/>
  <c r="F24" i="96"/>
  <c r="U48" i="96"/>
  <c r="J54" i="113"/>
  <c r="T48" i="96"/>
  <c r="J42" i="95"/>
  <c r="G36" i="96"/>
  <c r="F36" i="96"/>
  <c r="J64" i="95"/>
  <c r="V30" i="97" s="1"/>
  <c r="S25" i="96"/>
  <c r="J31" i="113" s="1"/>
  <c r="J19" i="113"/>
  <c r="S37" i="96"/>
  <c r="S49" i="96"/>
  <c r="T49" i="96" s="1"/>
  <c r="E25" i="96"/>
  <c r="F25" i="96" s="1"/>
  <c r="E37" i="96"/>
  <c r="F37" i="96" s="1"/>
  <c r="J19" i="95"/>
  <c r="E49" i="96"/>
  <c r="J7" i="113"/>
  <c r="V11" i="96"/>
  <c r="J7" i="95"/>
  <c r="J30" i="113"/>
  <c r="J66" i="113" s="1"/>
  <c r="T24" i="96"/>
  <c r="U24" i="96"/>
  <c r="G48" i="96"/>
  <c r="J54" i="95"/>
  <c r="F48" i="96"/>
  <c r="V46" i="97"/>
  <c r="V40" i="97"/>
  <c r="F53" i="112"/>
  <c r="G53" i="112"/>
  <c r="T53" i="112"/>
  <c r="U53" i="112"/>
  <c r="F29" i="112"/>
  <c r="G29" i="112"/>
  <c r="AA47" i="113"/>
  <c r="U41" i="112"/>
  <c r="F41" i="112"/>
  <c r="AA47" i="95"/>
  <c r="T41" i="112"/>
  <c r="T29" i="112"/>
  <c r="AA59" i="113"/>
  <c r="AA35" i="113"/>
  <c r="AA71" i="113" s="1"/>
  <c r="AA59" i="95"/>
  <c r="AA35" i="95"/>
  <c r="AA70" i="95" s="1"/>
  <c r="R14" i="92"/>
  <c r="S28" i="92" s="1"/>
  <c r="N14" i="92"/>
  <c r="U25" i="96" l="1"/>
  <c r="G10" i="113"/>
  <c r="S53" i="96"/>
  <c r="J59" i="113" s="1"/>
  <c r="E41" i="96"/>
  <c r="J47" i="95" s="1"/>
  <c r="V14" i="92"/>
  <c r="U28" i="92"/>
  <c r="G10" i="95"/>
  <c r="S41" i="96"/>
  <c r="J47" i="113" s="1"/>
  <c r="J23" i="113"/>
  <c r="J23" i="95"/>
  <c r="S29" i="96"/>
  <c r="J35" i="113" s="1"/>
  <c r="E53" i="96"/>
  <c r="J59" i="95" s="1"/>
  <c r="U13" i="96"/>
  <c r="U14" i="96" s="1"/>
  <c r="F52" i="96" s="1"/>
  <c r="J67" i="113"/>
  <c r="U16" i="92"/>
  <c r="G11" i="95"/>
  <c r="G70" i="95" s="1"/>
  <c r="U29" i="92"/>
  <c r="G11" i="113"/>
  <c r="G71" i="113" s="1"/>
  <c r="V15" i="92"/>
  <c r="G29" i="92"/>
  <c r="G53" i="92"/>
  <c r="F41" i="92"/>
  <c r="T29" i="92"/>
  <c r="G41" i="92"/>
  <c r="F29" i="92"/>
  <c r="U53" i="92"/>
  <c r="U41" i="92"/>
  <c r="T53" i="92"/>
  <c r="T41" i="92"/>
  <c r="F53" i="92"/>
  <c r="V16" i="115"/>
  <c r="F54" i="115"/>
  <c r="F42" i="115"/>
  <c r="T54" i="115"/>
  <c r="T30" i="115"/>
  <c r="T42" i="115"/>
  <c r="F30" i="115"/>
  <c r="U30" i="115"/>
  <c r="G54" i="115"/>
  <c r="G30" i="115"/>
  <c r="U54" i="115"/>
  <c r="U42" i="115"/>
  <c r="G42" i="115"/>
  <c r="G54" i="118"/>
  <c r="F54" i="118"/>
  <c r="G30" i="118"/>
  <c r="F30" i="118"/>
  <c r="G42" i="118"/>
  <c r="F42" i="118"/>
  <c r="U42" i="118"/>
  <c r="T42" i="118"/>
  <c r="U30" i="118"/>
  <c r="T30" i="118"/>
  <c r="U54" i="118"/>
  <c r="T54" i="118"/>
  <c r="U37" i="96"/>
  <c r="J43" i="113"/>
  <c r="J35" i="95"/>
  <c r="J55" i="95"/>
  <c r="G49" i="96"/>
  <c r="N13" i="96"/>
  <c r="R13" i="96"/>
  <c r="N16" i="96"/>
  <c r="R16" i="96"/>
  <c r="T37" i="96"/>
  <c r="W13" i="96"/>
  <c r="J43" i="95"/>
  <c r="G37" i="96"/>
  <c r="T25" i="96"/>
  <c r="J31" i="95"/>
  <c r="J66" i="95" s="1"/>
  <c r="G25" i="96"/>
  <c r="V21" i="97"/>
  <c r="V41" i="97" s="1"/>
  <c r="J65" i="95"/>
  <c r="V31" i="97" s="1"/>
  <c r="F49" i="96"/>
  <c r="J55" i="113"/>
  <c r="U49" i="96"/>
  <c r="G22" i="113"/>
  <c r="E52" i="92"/>
  <c r="G52" i="92" s="1"/>
  <c r="G22" i="95"/>
  <c r="S40" i="92"/>
  <c r="U40" i="92" s="1"/>
  <c r="E28" i="92"/>
  <c r="G28" i="92" s="1"/>
  <c r="E40" i="92"/>
  <c r="G40" i="92" s="1"/>
  <c r="S52" i="92"/>
  <c r="U52" i="92" s="1"/>
  <c r="J9" i="95" l="1"/>
  <c r="U40" i="96"/>
  <c r="U52" i="96"/>
  <c r="J10" i="95"/>
  <c r="J69" i="95" s="1"/>
  <c r="J10" i="113"/>
  <c r="J70" i="113" s="1"/>
  <c r="F40" i="96"/>
  <c r="T28" i="96"/>
  <c r="G52" i="96"/>
  <c r="U15" i="96"/>
  <c r="F41" i="96" s="1"/>
  <c r="V13" i="96"/>
  <c r="G28" i="96"/>
  <c r="G40" i="96"/>
  <c r="U28" i="96"/>
  <c r="T40" i="96"/>
  <c r="J9" i="113"/>
  <c r="F28" i="96"/>
  <c r="T52" i="96"/>
  <c r="V14" i="96"/>
  <c r="V16" i="92"/>
  <c r="F42" i="92"/>
  <c r="T54" i="92"/>
  <c r="F54" i="92"/>
  <c r="T30" i="92"/>
  <c r="U30" i="92"/>
  <c r="F30" i="92"/>
  <c r="U42" i="92"/>
  <c r="G54" i="92"/>
  <c r="G12" i="113"/>
  <c r="G72" i="113" s="1"/>
  <c r="T42" i="92"/>
  <c r="G12" i="95"/>
  <c r="G71" i="95" s="1"/>
  <c r="U54" i="92"/>
  <c r="G42" i="92"/>
  <c r="G30" i="92"/>
  <c r="S30" i="96"/>
  <c r="J36" i="113" s="1"/>
  <c r="S54" i="96"/>
  <c r="E30" i="96"/>
  <c r="S42" i="96"/>
  <c r="J24" i="113"/>
  <c r="J24" i="95"/>
  <c r="E54" i="96"/>
  <c r="E42" i="96"/>
  <c r="S27" i="96"/>
  <c r="E39" i="96"/>
  <c r="S51" i="96"/>
  <c r="E51" i="96"/>
  <c r="E27" i="96"/>
  <c r="J21" i="113"/>
  <c r="J21" i="95"/>
  <c r="S39" i="96"/>
  <c r="T28" i="92"/>
  <c r="G34" i="113"/>
  <c r="G70" i="113" s="1"/>
  <c r="G46" i="113"/>
  <c r="T40" i="92"/>
  <c r="G58" i="95"/>
  <c r="F52" i="92"/>
  <c r="G58" i="113"/>
  <c r="T52" i="92"/>
  <c r="G34" i="95"/>
  <c r="G69" i="95" s="1"/>
  <c r="F28" i="92"/>
  <c r="G46" i="95"/>
  <c r="F40" i="92"/>
  <c r="J11" i="95" l="1"/>
  <c r="J70" i="95" s="1"/>
  <c r="J11" i="113"/>
  <c r="J71" i="113" s="1"/>
  <c r="F53" i="96"/>
  <c r="U16" i="96"/>
  <c r="V16" i="96" s="1"/>
  <c r="F29" i="96"/>
  <c r="T29" i="96"/>
  <c r="U53" i="96"/>
  <c r="V15" i="96"/>
  <c r="U41" i="96"/>
  <c r="U29" i="96"/>
  <c r="T41" i="96"/>
  <c r="G41" i="96"/>
  <c r="G29" i="96"/>
  <c r="G53" i="96"/>
  <c r="T53" i="96"/>
  <c r="T30" i="96"/>
  <c r="J33" i="95"/>
  <c r="J68" i="95" s="1"/>
  <c r="G27" i="96"/>
  <c r="F27" i="96"/>
  <c r="J48" i="95"/>
  <c r="J57" i="95"/>
  <c r="G51" i="96"/>
  <c r="F51" i="96"/>
  <c r="J60" i="95"/>
  <c r="J57" i="113"/>
  <c r="U51" i="96"/>
  <c r="T51" i="96"/>
  <c r="J45" i="95"/>
  <c r="G39" i="96"/>
  <c r="F39" i="96"/>
  <c r="U27" i="96"/>
  <c r="J33" i="113"/>
  <c r="J69" i="113" s="1"/>
  <c r="T27" i="96"/>
  <c r="J48" i="113"/>
  <c r="J45" i="113"/>
  <c r="U39" i="96"/>
  <c r="T39" i="96"/>
  <c r="J36" i="95"/>
  <c r="J60" i="113"/>
  <c r="U54" i="96" l="1"/>
  <c r="F54" i="96"/>
  <c r="F42" i="96"/>
  <c r="U30" i="96"/>
  <c r="U42" i="96"/>
  <c r="T42" i="96"/>
  <c r="G30" i="96"/>
  <c r="F30" i="96"/>
  <c r="G54" i="96"/>
  <c r="J12" i="113"/>
  <c r="J72" i="113" s="1"/>
  <c r="G42" i="96"/>
  <c r="T54" i="96"/>
  <c r="J12" i="95"/>
  <c r="J71" i="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3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EB189A29-4DFE-FF4E-BE3E-6F013F4C544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3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241BA8C8-FF7B-C043-8052-26B17EF7B9A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3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F5EFD612-9308-6C42-BBFB-ABA33D835C9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C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79BF717B-E1AF-A343-96BF-8A69854B475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C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FB20B53A-4997-BA41-AC5D-0EE0C49C421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C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3DC9B727-CE48-F548-9DF9-0819056C6DD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D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05CF2DE0-2FCA-BB4B-BA5E-D2C560BEAC6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D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CC461C24-A53E-FB4A-8337-B6B7CF2B44A1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D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F87FAD97-E137-064E-925C-0312ABBCF9A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E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DEBAD577-18C7-174F-86AB-CFB261E3F44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E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A2112A0D-8D1D-5D49-BA5A-FDBE521F3C3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E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8DC37270-90BD-E944-86DF-30AD16E055C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F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0E007665-E6C1-2540-AE3D-2E84FE44FF7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F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81DDAAFC-4FF5-6640-9920-5E7D731FFCD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F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4D4DF8EE-0DDA-9B4B-BA98-7A93D852738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0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BCCC3AA9-9C92-F243-A0D6-13F666C84062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0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58B1EE2C-F95D-0B44-B7E4-E77F012D2C7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0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6096658F-AACC-FC47-9B9D-74C593D6092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1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E4895BF9-17C5-1449-8330-6938BCFCF2A4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1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C76D4158-F228-5040-BB26-D41A76CC2CC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1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B86FBCF3-6924-D242-9F01-37FD2762FEE1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2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D2E7EA68-9177-4A4E-A52A-A5B2EAEA4A4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2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5166985F-B041-FB4B-8F29-5601CE09E92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2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EB950640-FFAE-CA4F-8D7E-5A3CCD1B816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3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1F86EC41-0595-F34A-8522-D7A2A384159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3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12D0693C-8D4B-7C4B-BD1D-52DA4849F70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3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42590A03-F6EA-F041-AD3A-56F04CE58D2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4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2A47523F-04EF-C045-8204-4D92FEB03B3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4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9C511A53-101A-8A4E-9774-95F67EABB0C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4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88AF220B-91A2-6E47-ACCC-0DC1A777B1C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5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5DB6AE9E-5E5F-4441-B844-FF76E27F0BD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5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948D7066-76B6-134A-A158-2FE45BD8AFC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5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37C04581-69F6-7940-BBF5-336E81B24D0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4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BA6FB122-3B23-D44E-BFE2-9A106F6795F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4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B95D2F81-6D59-B041-ADF7-616B7B2C536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4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507D30CF-1F08-1A47-B03A-B6774F13E6D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6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5AB4D3F0-5B04-ED4B-9D86-D8995B5A8EF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6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7026922E-0240-F843-B2B4-A3C980BCA6A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6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7CB06203-47E5-BC49-ACEC-4A071E48950E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7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A4A38EB5-BD7C-6B4F-94B5-59E1193C911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7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A859E91B-7882-8C43-8C8D-0A47178E9FD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7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97FA4759-DF9D-CA47-8277-6A6C003734B1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8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ED341340-7313-7B4B-BF44-D18B61151F2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8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50983ECA-EA86-3143-A1AB-13D278CAA864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8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BB6DD1F0-5637-244B-9228-0A6B6BEE849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9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E091A266-F183-994E-9054-1A4CE424774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9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34104990-159A-8E47-9074-856F7800328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9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5532BFAE-860A-2542-9F13-F97D0679BEF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A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17B981A6-B94E-D944-BC43-C8E40E893C2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A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0B6C172C-C356-FD4D-9332-D1F21BDB858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A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B86C3F89-963C-3845-9871-B5D75E98319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95EACF68-8FCE-2649-9875-8A6366E8899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CF8628F4-198E-534A-9BAC-A0708D854C9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AB996A7A-03D0-2F4C-8655-B679C3D344F4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2E9734F3-9364-9F47-B98F-93D5A753D56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ACB897B5-D8E8-8244-9BDA-388259AB78C4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6A278939-BC6B-2E4C-A4A4-545D633D281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1486D084-830C-294A-8605-0357DFD07AF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CB57BE29-A597-9649-B13B-0707E704D15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B99D6C07-57A8-C54A-B250-55A22A60F704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B79E9E43-A2D1-6A47-A74B-30C468C80C0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B545E746-209E-EA41-8478-E318F360BED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766B2B54-42CD-1D40-B92D-1472F7B0929E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CAFD163F-D992-F94B-820E-69B20B2993D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DC3AB7A4-29F9-9940-9336-25DF5FDBD6A2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19CEDECF-AF05-DD4C-BC75-87C245AE8F0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6A01D471-2A3E-804A-AFE4-8026A24E2BE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EA564C93-3A5F-134A-827F-D982219BD901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203692F0-265C-0043-A26F-00F37814460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B0025033-2935-124B-A05B-4358520D3F5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349D3AD8-D1C2-A044-B0A7-22CBF4CC8C7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65814B3F-9815-CB40-B8D4-691C0F38C3C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F56845B4-F1E6-DB40-9EDF-EC60563FA42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B0A71C60-15D9-7143-9FBC-093DBDB98EB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BDBEFA2F-BD81-3B4E-9F77-0C2FB831B75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931BE853-7099-3741-B4DC-23BECE06FEF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726937C3-DD35-B44C-8A6E-AD766AF07C4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45272ECC-631A-3440-BE81-11FC3D0AC27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92CADB55-5F0D-BA48-9CEC-C6DB485962D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E6AA93F5-04A9-9F48-898F-EE982FBBAA2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88302472-91B5-F942-A968-E034762A60A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5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D321FB45-5678-0C4D-87F8-672F26E2ED4E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5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3E4C80AC-98A5-FE4E-95FC-AE339959820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5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6ED877AC-A84B-E940-9741-7E938E6F014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77B0A6DE-4D2A-7644-A8D0-3A14F433BD2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887D9BAF-C86E-8042-8F6B-F52556BEF222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EB79175A-104B-444A-A1A7-844534A9473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C49AD711-38F7-5743-95A4-8DEE9637208E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51704A3E-E6EF-824A-8D62-D83607F14C4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8113C595-D60E-AB4C-9F99-38BFD7E8439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82FFC967-6D1B-DC4C-ADD1-EE04F1E92A7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DB371EB0-A767-0649-8333-73B86BD3BF0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BB8DB328-8EE6-4749-93B1-564932F5CC72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4823094F-6D26-CE42-B328-8109343C1C7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3F34B5BB-D652-784F-A919-21313E1BE67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48E181D3-50B7-6449-8265-68B26D6154F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6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45F958A8-EDBD-EA48-A2FA-66FA2950E24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6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AF435D68-38C7-6E4F-92EA-16138A274C7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6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EC6728CB-71ED-9B4E-8804-DC5325AF859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7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FF2021CD-6151-E742-A378-0EE0C8C68542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7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865B3B8F-86D0-CC4F-BB1C-A3421F582592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7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C1CBA484-C1E5-F24F-B193-467777278D9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8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317BB6DD-2B38-984F-9CEB-55A61721E0F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8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9DBEBA59-DF81-084B-9843-586F605C2FD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8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EE2AF040-94A3-F24D-8820-1EAE0E036C6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9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5E4B44BA-B5D8-8B42-B7A7-5AC81691B98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9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335B999D-97A0-2149-AFAC-63CCEFAD7F8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9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B7093DF1-D9D4-284C-AC9A-A67986EC22B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C549C061-3F5E-5C45-8A4A-11DB65B10D9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A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E97A7EBB-431C-7F47-96FC-9C18D2D8B5A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A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D8EEF419-EC2B-7B41-9EAF-A630FE09273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B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402B71CC-B4F9-9143-A287-A78B6A1E1341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B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A359F7A1-841D-0F4E-B756-225DDD78DE6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B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94529879-36D7-304A-91B7-C694B17512E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sharedStrings.xml><?xml version="1.0" encoding="utf-8"?>
<sst xmlns="http://schemas.openxmlformats.org/spreadsheetml/2006/main" count="2797" uniqueCount="209">
  <si>
    <t>Bust</t>
  </si>
  <si>
    <t>Ace</t>
  </si>
  <si>
    <t>Total</t>
  </si>
  <si>
    <t>OutCome</t>
  </si>
  <si>
    <t>Soft</t>
  </si>
  <si>
    <t>Start Card</t>
  </si>
  <si>
    <t>Stand</t>
  </si>
  <si>
    <t>Outcome</t>
  </si>
  <si>
    <t>Prob</t>
  </si>
  <si>
    <t>Hard</t>
  </si>
  <si>
    <t>Pair</t>
  </si>
  <si>
    <t>Dealer BJ</t>
  </si>
  <si>
    <t>Cards 2</t>
  </si>
  <si>
    <t>Cards1</t>
  </si>
  <si>
    <t>Probability</t>
  </si>
  <si>
    <t>%</t>
  </si>
  <si>
    <t>Hard Value EV</t>
  </si>
  <si>
    <t>Soft Value EV</t>
  </si>
  <si>
    <t>Pair Value EV</t>
  </si>
  <si>
    <t>Total EV</t>
  </si>
  <si>
    <t>5-8</t>
  </si>
  <si>
    <t>17-21</t>
  </si>
  <si>
    <t>A</t>
  </si>
  <si>
    <t>My Basic Strategy</t>
  </si>
  <si>
    <t>H = Hit</t>
  </si>
  <si>
    <t>D = Double</t>
  </si>
  <si>
    <t>S = Stand</t>
  </si>
  <si>
    <t>P = Split</t>
  </si>
  <si>
    <t>R = Surrender</t>
  </si>
  <si>
    <t>Dealer BlakJack EV</t>
  </si>
  <si>
    <t>Blackjack</t>
  </si>
  <si>
    <t>Dealer Blackjack</t>
  </si>
  <si>
    <t>Player Not Blackjack</t>
  </si>
  <si>
    <t>Value</t>
  </si>
  <si>
    <t>Total Win Prob</t>
  </si>
  <si>
    <t>Total Lost Prob</t>
  </si>
  <si>
    <t>Simplified</t>
  </si>
  <si>
    <t>Percentage</t>
  </si>
  <si>
    <t>Count</t>
  </si>
  <si>
    <t>Different</t>
  </si>
  <si>
    <t>Summary</t>
  </si>
  <si>
    <t>Win Prob</t>
  </si>
  <si>
    <t>Lose Prob</t>
  </si>
  <si>
    <t>Lose %</t>
  </si>
  <si>
    <t>Win %</t>
  </si>
  <si>
    <t>Differ</t>
  </si>
  <si>
    <t>Total ER</t>
  </si>
  <si>
    <t>Return</t>
  </si>
  <si>
    <t>EV</t>
  </si>
  <si>
    <t>Edge</t>
  </si>
  <si>
    <t>Rules</t>
  </si>
  <si>
    <t>Hit</t>
  </si>
  <si>
    <t>Options</t>
  </si>
  <si>
    <t>Rules!$B$4*</t>
  </si>
  <si>
    <t>Double</t>
  </si>
  <si>
    <t>9,10,11</t>
  </si>
  <si>
    <t>Yes</t>
  </si>
  <si>
    <t>No</t>
  </si>
  <si>
    <t>Surrender Ace</t>
  </si>
  <si>
    <t>Min :2</t>
  </si>
  <si>
    <t>Surrend Allow</t>
  </si>
  <si>
    <t>Pay 3 to 2</t>
  </si>
  <si>
    <t>Pay 6 to 5</t>
  </si>
  <si>
    <t>On Blackjack</t>
  </si>
  <si>
    <t>European</t>
  </si>
  <si>
    <t>American</t>
  </si>
  <si>
    <t>American Rule</t>
  </si>
  <si>
    <t>European Rule</t>
  </si>
  <si>
    <t>Expected Value</t>
  </si>
  <si>
    <t>Possitive</t>
  </si>
  <si>
    <t>Negatives</t>
  </si>
  <si>
    <t>Split up to</t>
  </si>
  <si>
    <t>Hands</t>
  </si>
  <si>
    <t>Double After Split</t>
  </si>
  <si>
    <t>Any 2 Cards</t>
  </si>
  <si>
    <t>SPLIT TO 5 HANDS</t>
  </si>
  <si>
    <t>SPLIT TO 4 HANDS</t>
  </si>
  <si>
    <t>SPLIT TO 3 HANDS</t>
  </si>
  <si>
    <t>SPLIT TO 2 HANDS</t>
  </si>
  <si>
    <t>Hit After Split Ace</t>
  </si>
  <si>
    <t>Max :5</t>
  </si>
  <si>
    <t>Max :100</t>
  </si>
  <si>
    <t>Min :0</t>
  </si>
  <si>
    <t>Pay Instantly</t>
  </si>
  <si>
    <t>Normal</t>
  </si>
  <si>
    <t>Pay Even Money</t>
  </si>
  <si>
    <t>Split Ace to</t>
  </si>
  <si>
    <t>On Player 21</t>
  </si>
  <si>
    <t>On Dealer 22</t>
  </si>
  <si>
    <t>Busted</t>
  </si>
  <si>
    <t>Pushes</t>
  </si>
  <si>
    <t>Total Point</t>
  </si>
  <si>
    <t>Soft Point</t>
  </si>
  <si>
    <t>3RD Total</t>
  </si>
  <si>
    <t>4RD Total</t>
  </si>
  <si>
    <t>Check Sum</t>
  </si>
  <si>
    <t>Soft Value</t>
  </si>
  <si>
    <t>Softvalue</t>
  </si>
  <si>
    <t>Total Stop</t>
  </si>
  <si>
    <t>Hard Total</t>
  </si>
  <si>
    <t>Soft Total</t>
  </si>
  <si>
    <t>3Card Stop</t>
  </si>
  <si>
    <t>4Card Stop</t>
  </si>
  <si>
    <t>5RD Total</t>
  </si>
  <si>
    <t>2 Card</t>
  </si>
  <si>
    <t>3 Card</t>
  </si>
  <si>
    <t>4 Card</t>
  </si>
  <si>
    <t>5 Card</t>
  </si>
  <si>
    <t>ฺBust</t>
  </si>
  <si>
    <t>Stop</t>
  </si>
  <si>
    <t>Success</t>
  </si>
  <si>
    <t>2Card Stop</t>
  </si>
  <si>
    <t>5 Cards</t>
  </si>
  <si>
    <t>Three 7 Cards</t>
  </si>
  <si>
    <t>Pay Double</t>
  </si>
  <si>
    <t>Three 7 Cards EV</t>
  </si>
  <si>
    <t>2 Cards</t>
  </si>
  <si>
    <t>3 Cards</t>
  </si>
  <si>
    <t>7 Cards</t>
  </si>
  <si>
    <t>Cards</t>
  </si>
  <si>
    <t>Blackjack Rules Expected Value</t>
  </si>
  <si>
    <t>Dealer on Soft 17</t>
  </si>
  <si>
    <t>No of 10 in Deck</t>
  </si>
  <si>
    <t>Wining</t>
  </si>
  <si>
    <t>Losing</t>
  </si>
  <si>
    <t>Win:</t>
  </si>
  <si>
    <t>Lose:</t>
  </si>
  <si>
    <t>EV:</t>
  </si>
  <si>
    <t>Strategy 1</t>
  </si>
  <si>
    <t>Strategy 2</t>
  </si>
  <si>
    <t>ER</t>
  </si>
  <si>
    <t>Blackjack Final EV</t>
  </si>
  <si>
    <t>Blackjack Hand Probabilities</t>
  </si>
  <si>
    <t>Blackjack Hand Expected Return</t>
  </si>
  <si>
    <t>Level</t>
  </si>
  <si>
    <t>Check</t>
  </si>
  <si>
    <t>EL</t>
  </si>
  <si>
    <t>Total Requirement</t>
  </si>
  <si>
    <t>Level Requirement</t>
  </si>
  <si>
    <t>Level Bet</t>
  </si>
  <si>
    <t>Strategy 3</t>
  </si>
  <si>
    <t>1x2</t>
  </si>
  <si>
    <t>1x3</t>
  </si>
  <si>
    <t>1x4</t>
  </si>
  <si>
    <t>1x5</t>
  </si>
  <si>
    <t>1x6</t>
  </si>
  <si>
    <t>1x7</t>
  </si>
  <si>
    <t>1x8</t>
  </si>
  <si>
    <t>1x9</t>
  </si>
  <si>
    <t>1x10</t>
  </si>
  <si>
    <t>BYE</t>
  </si>
  <si>
    <t>ROI/BYE</t>
  </si>
  <si>
    <t>Expected Return on Each Situations</t>
  </si>
  <si>
    <t>Bet Your Edge Bankroll</t>
  </si>
  <si>
    <t>Bet Your Edge +1 Bankroll</t>
  </si>
  <si>
    <t>Risk</t>
  </si>
  <si>
    <t>Bet Your Edge x2 Bankroll</t>
  </si>
  <si>
    <t>Bet Your Edge ROI</t>
  </si>
  <si>
    <t>2x3</t>
  </si>
  <si>
    <t>2x4</t>
  </si>
  <si>
    <t>2x5</t>
  </si>
  <si>
    <t>2x6</t>
  </si>
  <si>
    <t>2x7</t>
  </si>
  <si>
    <t>2x8</t>
  </si>
  <si>
    <t>2x9</t>
  </si>
  <si>
    <t>2x10</t>
  </si>
  <si>
    <t>Bet Your Edge + 1 Bankroll</t>
  </si>
  <si>
    <t>Bet Your Edge x 2 Bankroll</t>
  </si>
  <si>
    <t>Bet your Edge Bankroll</t>
  </si>
  <si>
    <t>3x4</t>
  </si>
  <si>
    <t>3x5</t>
  </si>
  <si>
    <t>3x6</t>
  </si>
  <si>
    <t>3x7</t>
  </si>
  <si>
    <t>3x8</t>
  </si>
  <si>
    <t>3x9</t>
  </si>
  <si>
    <t>3x10</t>
  </si>
  <si>
    <t>Bet your Edge ROI</t>
  </si>
  <si>
    <t>Lose</t>
  </si>
  <si>
    <t>Strategy Evs</t>
  </si>
  <si>
    <t>Strategy Edges</t>
  </si>
  <si>
    <t>Rsik</t>
  </si>
  <si>
    <t>Method 2</t>
  </si>
  <si>
    <t>Total EL</t>
  </si>
  <si>
    <t>Average</t>
  </si>
  <si>
    <t>Sum</t>
  </si>
  <si>
    <t>Method 1 (Wrong)</t>
  </si>
  <si>
    <t>Each Lose</t>
  </si>
  <si>
    <t>Suggested</t>
  </si>
  <si>
    <t>Soft 17</t>
  </si>
  <si>
    <t>Surrender Allow</t>
  </si>
  <si>
    <t>Split Up to</t>
  </si>
  <si>
    <t>Strategy #1</t>
  </si>
  <si>
    <t>Strategy #2</t>
  </si>
  <si>
    <t>Strategy #1 Bet your Edge Bankroll</t>
  </si>
  <si>
    <t>Strategy #2 Bet your Edge Bankroll</t>
  </si>
  <si>
    <t>Strategy #1 Bet Your Edge ROI</t>
  </si>
  <si>
    <t>Strategy #2 Bet Your Edge ROI</t>
  </si>
  <si>
    <t>Strategy #1 Return</t>
  </si>
  <si>
    <t>Strategy #2 Return</t>
  </si>
  <si>
    <t>General Win</t>
  </si>
  <si>
    <t>General Lose</t>
  </si>
  <si>
    <t>General EV</t>
  </si>
  <si>
    <t>General Expected Return</t>
  </si>
  <si>
    <t>#1,#2 1x6x2</t>
  </si>
  <si>
    <t>Casino Name</t>
  </si>
  <si>
    <t>Version Date</t>
  </si>
  <si>
    <t>Best Methods</t>
  </si>
  <si>
    <t>20191030</t>
  </si>
  <si>
    <t>Bankroll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</si>
</sst>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%"/>
    <numFmt numFmtId="165" formatCode="0.0000%"/>
    <numFmt numFmtId="166" formatCode="0.000"/>
    <numFmt numFmtId="167" formatCode="_(* #,##0.0000_);_(* \(#,##0.0000\);_(* &quot;-&quot;??_);_(@_)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7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28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376">
    <xf numFmtId="0" fontId="0" fillId="0" borderId="0" xfId="0"/>
    <xf numFmtId="0" fontId="0" fillId="0" borderId="1" xfId="0" applyBorder="1"/>
    <xf numFmtId="0" fontId="0" fillId="0" borderId="3" xfId="0" applyBorder="1"/>
    <xf numFmtId="0" fontId="9" fillId="0" borderId="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10" fillId="3" borderId="5" xfId="0" applyFont="1" applyFill="1" applyBorder="1" applyAlignment="1">
      <alignment horizontal="center"/>
    </xf>
    <xf numFmtId="164" fontId="8" fillId="3" borderId="3" xfId="1" applyNumberFormat="1" applyFont="1" applyFill="1" applyBorder="1"/>
    <xf numFmtId="164" fontId="8" fillId="3" borderId="1" xfId="1" applyNumberFormat="1" applyFont="1" applyFill="1" applyBorder="1"/>
    <xf numFmtId="164" fontId="8" fillId="3" borderId="16" xfId="1" applyNumberFormat="1" applyFont="1" applyFill="1" applyBorder="1"/>
    <xf numFmtId="0" fontId="10" fillId="2" borderId="7" xfId="0" applyFont="1" applyFill="1" applyBorder="1" applyAlignment="1">
      <alignment horizontal="center"/>
    </xf>
    <xf numFmtId="164" fontId="8" fillId="2" borderId="8" xfId="1" applyNumberFormat="1" applyFont="1" applyFill="1" applyBorder="1"/>
    <xf numFmtId="164" fontId="8" fillId="2" borderId="9" xfId="1" applyNumberFormat="1" applyFont="1" applyFill="1" applyBorder="1"/>
    <xf numFmtId="164" fontId="8" fillId="2" borderId="15" xfId="1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4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11" fillId="4" borderId="1" xfId="18" applyFont="1" applyFill="1" applyBorder="1" applyAlignment="1">
      <alignment horizontal="center" vertical="center"/>
    </xf>
    <xf numFmtId="0" fontId="4" fillId="0" borderId="0" xfId="18"/>
    <xf numFmtId="0" fontId="4" fillId="0" borderId="1" xfId="18" applyBorder="1" applyAlignment="1">
      <alignment horizontal="center" vertical="center"/>
    </xf>
    <xf numFmtId="0" fontId="13" fillId="4" borderId="1" xfId="18" applyFont="1" applyFill="1" applyBorder="1" applyAlignment="1">
      <alignment horizontal="center" vertical="center"/>
    </xf>
    <xf numFmtId="0" fontId="4" fillId="0" borderId="0" xfId="18" applyAlignment="1">
      <alignment horizontal="center" vertical="center"/>
    </xf>
    <xf numFmtId="0" fontId="11" fillId="4" borderId="24" xfId="18" applyFont="1" applyFill="1" applyBorder="1"/>
    <xf numFmtId="0" fontId="11" fillId="4" borderId="25" xfId="18" applyFont="1" applyFill="1" applyBorder="1"/>
    <xf numFmtId="0" fontId="4" fillId="0" borderId="9" xfId="18" applyBorder="1"/>
    <xf numFmtId="0" fontId="12" fillId="0" borderId="0" xfId="18" applyFont="1"/>
    <xf numFmtId="165" fontId="0" fillId="0" borderId="0" xfId="19" applyNumberFormat="1" applyFont="1"/>
    <xf numFmtId="0" fontId="11" fillId="4" borderId="26" xfId="18" applyFont="1" applyFill="1" applyBorder="1" applyAlignment="1">
      <alignment horizontal="center" vertical="center"/>
    </xf>
    <xf numFmtId="0" fontId="11" fillId="4" borderId="27" xfId="18" applyFont="1" applyFill="1" applyBorder="1" applyAlignment="1">
      <alignment horizontal="center" vertical="center"/>
    </xf>
    <xf numFmtId="0" fontId="11" fillId="4" borderId="28" xfId="18" applyFont="1" applyFill="1" applyBorder="1" applyAlignment="1">
      <alignment horizontal="center" vertical="center"/>
    </xf>
    <xf numFmtId="0" fontId="11" fillId="4" borderId="19" xfId="18" applyFont="1" applyFill="1" applyBorder="1" applyAlignment="1">
      <alignment horizontal="center" vertical="center"/>
    </xf>
    <xf numFmtId="0" fontId="4" fillId="0" borderId="14" xfId="18" applyBorder="1" applyAlignment="1">
      <alignment horizontal="center" vertical="center"/>
    </xf>
    <xf numFmtId="0" fontId="13" fillId="4" borderId="14" xfId="18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23" xfId="18" applyFont="1" applyBorder="1"/>
    <xf numFmtId="0" fontId="15" fillId="7" borderId="17" xfId="18" applyFont="1" applyFill="1" applyBorder="1"/>
    <xf numFmtId="0" fontId="9" fillId="0" borderId="1" xfId="0" applyFont="1" applyBorder="1"/>
    <xf numFmtId="164" fontId="8" fillId="2" borderId="1" xfId="1" applyNumberFormat="1" applyFont="1" applyFill="1" applyBorder="1"/>
    <xf numFmtId="0" fontId="0" fillId="0" borderId="26" xfId="0" applyBorder="1" applyAlignment="1">
      <alignment horizontal="center"/>
    </xf>
    <xf numFmtId="164" fontId="8" fillId="2" borderId="27" xfId="1" applyNumberFormat="1" applyFont="1" applyFill="1" applyBorder="1"/>
    <xf numFmtId="164" fontId="8" fillId="3" borderId="27" xfId="1" applyNumberFormat="1" applyFont="1" applyFill="1" applyBorder="1"/>
    <xf numFmtId="0" fontId="0" fillId="0" borderId="28" xfId="0" applyBorder="1"/>
    <xf numFmtId="0" fontId="0" fillId="0" borderId="19" xfId="0" applyBorder="1" applyAlignment="1">
      <alignment horizontal="center"/>
    </xf>
    <xf numFmtId="0" fontId="0" fillId="0" borderId="29" xfId="0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164" fontId="10" fillId="3" borderId="27" xfId="1" applyNumberFormat="1" applyFont="1" applyFill="1" applyBorder="1" applyAlignment="1">
      <alignment horizontal="center"/>
    </xf>
    <xf numFmtId="164" fontId="10" fillId="2" borderId="27" xfId="1" applyNumberFormat="1" applyFont="1" applyFill="1" applyBorder="1" applyAlignment="1">
      <alignment horizontal="center"/>
    </xf>
    <xf numFmtId="164" fontId="8" fillId="2" borderId="16" xfId="1" applyNumberFormat="1" applyFont="1" applyFill="1" applyBorder="1"/>
    <xf numFmtId="164" fontId="8" fillId="3" borderId="5" xfId="1" applyNumberFormat="1" applyFont="1" applyFill="1" applyBorder="1"/>
    <xf numFmtId="10" fontId="0" fillId="0" borderId="0" xfId="0" applyNumberFormat="1"/>
    <xf numFmtId="0" fontId="11" fillId="4" borderId="35" xfId="18" applyFont="1" applyFill="1" applyBorder="1" applyAlignment="1">
      <alignment horizontal="center" vertical="center"/>
    </xf>
    <xf numFmtId="0" fontId="4" fillId="0" borderId="22" xfId="18" applyBorder="1" applyAlignment="1">
      <alignment horizontal="center" vertical="center"/>
    </xf>
    <xf numFmtId="0" fontId="4" fillId="0" borderId="5" xfId="18" applyBorder="1" applyAlignment="1">
      <alignment horizontal="center" vertical="center"/>
    </xf>
    <xf numFmtId="0" fontId="4" fillId="0" borderId="6" xfId="18" applyBorder="1" applyAlignment="1">
      <alignment horizontal="center" vertical="center"/>
    </xf>
    <xf numFmtId="0" fontId="4" fillId="0" borderId="28" xfId="18" applyBorder="1"/>
    <xf numFmtId="0" fontId="4" fillId="0" borderId="23" xfId="18" applyBorder="1"/>
    <xf numFmtId="0" fontId="4" fillId="0" borderId="1" xfId="18" applyBorder="1"/>
    <xf numFmtId="0" fontId="11" fillId="4" borderId="47" xfId="18" applyFont="1" applyFill="1" applyBorder="1" applyAlignment="1">
      <alignment horizontal="center" vertical="center"/>
    </xf>
    <xf numFmtId="10" fontId="4" fillId="0" borderId="48" xfId="1" applyNumberFormat="1" applyFont="1" applyBorder="1" applyAlignment="1">
      <alignment horizontal="center" vertical="center"/>
    </xf>
    <xf numFmtId="10" fontId="4" fillId="0" borderId="0" xfId="18" applyNumberFormat="1"/>
    <xf numFmtId="0" fontId="4" fillId="0" borderId="34" xfId="18" applyBorder="1"/>
    <xf numFmtId="0" fontId="11" fillId="4" borderId="49" xfId="18" applyFont="1" applyFill="1" applyBorder="1" applyAlignment="1">
      <alignment horizontal="center" vertical="center"/>
    </xf>
    <xf numFmtId="0" fontId="11" fillId="4" borderId="22" xfId="18" applyFont="1" applyFill="1" applyBorder="1" applyAlignment="1">
      <alignment horizontal="center" vertical="center"/>
    </xf>
    <xf numFmtId="0" fontId="13" fillId="4" borderId="22" xfId="18" applyFont="1" applyFill="1" applyBorder="1" applyAlignment="1">
      <alignment horizontal="center" vertical="center"/>
    </xf>
    <xf numFmtId="0" fontId="13" fillId="4" borderId="23" xfId="18" applyFont="1" applyFill="1" applyBorder="1" applyAlignment="1">
      <alignment horizontal="center" vertical="center"/>
    </xf>
    <xf numFmtId="0" fontId="4" fillId="0" borderId="26" xfId="18" applyBorder="1" applyAlignment="1">
      <alignment horizontal="center" vertical="center"/>
    </xf>
    <xf numFmtId="0" fontId="4" fillId="0" borderId="27" xfId="18" applyBorder="1" applyAlignment="1">
      <alignment horizontal="center" vertical="center"/>
    </xf>
    <xf numFmtId="0" fontId="4" fillId="0" borderId="28" xfId="18" applyBorder="1" applyAlignment="1">
      <alignment horizontal="center" vertical="center"/>
    </xf>
    <xf numFmtId="10" fontId="4" fillId="0" borderId="29" xfId="1" applyNumberFormat="1" applyFont="1" applyBorder="1" applyAlignment="1">
      <alignment horizontal="center" vertical="center"/>
    </xf>
    <xf numFmtId="10" fontId="4" fillId="0" borderId="16" xfId="1" applyNumberFormat="1" applyFont="1" applyBorder="1" applyAlignment="1">
      <alignment horizontal="center" vertical="center"/>
    </xf>
    <xf numFmtId="10" fontId="4" fillId="0" borderId="17" xfId="1" applyNumberFormat="1" applyFont="1" applyBorder="1" applyAlignment="1">
      <alignment horizontal="center" vertical="center"/>
    </xf>
    <xf numFmtId="0" fontId="11" fillId="4" borderId="33" xfId="18" applyFont="1" applyFill="1" applyBorder="1" applyAlignment="1">
      <alignment horizontal="center" vertical="center"/>
    </xf>
    <xf numFmtId="10" fontId="4" fillId="0" borderId="47" xfId="1" applyNumberFormat="1" applyFont="1" applyBorder="1" applyAlignment="1">
      <alignment horizontal="center" vertical="center"/>
    </xf>
    <xf numFmtId="10" fontId="4" fillId="0" borderId="50" xfId="1" applyNumberFormat="1" applyFont="1" applyBorder="1" applyAlignment="1">
      <alignment horizontal="center" vertical="center"/>
    </xf>
    <xf numFmtId="0" fontId="4" fillId="0" borderId="4" xfId="18" applyBorder="1" applyAlignment="1">
      <alignment horizontal="center" vertical="center"/>
    </xf>
    <xf numFmtId="10" fontId="15" fillId="7" borderId="2" xfId="1" applyNumberFormat="1" applyFont="1" applyFill="1" applyBorder="1"/>
    <xf numFmtId="0" fontId="0" fillId="0" borderId="19" xfId="0" applyBorder="1"/>
    <xf numFmtId="0" fontId="0" fillId="0" borderId="29" xfId="0" applyBorder="1"/>
    <xf numFmtId="0" fontId="0" fillId="0" borderId="32" xfId="0" applyBorder="1"/>
    <xf numFmtId="0" fontId="0" fillId="0" borderId="10" xfId="0" applyBorder="1"/>
    <xf numFmtId="0" fontId="0" fillId="0" borderId="11" xfId="0" applyBorder="1"/>
    <xf numFmtId="0" fontId="0" fillId="0" borderId="25" xfId="0" applyBorder="1"/>
    <xf numFmtId="0" fontId="0" fillId="0" borderId="30" xfId="0" applyBorder="1"/>
    <xf numFmtId="0" fontId="0" fillId="0" borderId="53" xfId="0" applyBorder="1"/>
    <xf numFmtId="0" fontId="0" fillId="0" borderId="51" xfId="0" applyBorder="1"/>
    <xf numFmtId="0" fontId="0" fillId="0" borderId="50" xfId="0" applyBorder="1"/>
    <xf numFmtId="0" fontId="0" fillId="0" borderId="36" xfId="0" applyBorder="1"/>
    <xf numFmtId="0" fontId="0" fillId="0" borderId="2" xfId="0" applyBorder="1"/>
    <xf numFmtId="0" fontId="0" fillId="0" borderId="40" xfId="0" applyBorder="1"/>
    <xf numFmtId="0" fontId="0" fillId="0" borderId="49" xfId="0" applyBorder="1"/>
    <xf numFmtId="0" fontId="0" fillId="0" borderId="42" xfId="0" applyBorder="1"/>
    <xf numFmtId="0" fontId="0" fillId="0" borderId="44" xfId="0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11" fillId="4" borderId="26" xfId="18" applyFont="1" applyFill="1" applyBorder="1" applyAlignment="1">
      <alignment horizontal="left" vertical="center"/>
    </xf>
    <xf numFmtId="0" fontId="11" fillId="4" borderId="19" xfId="18" applyFont="1" applyFill="1" applyBorder="1" applyAlignment="1">
      <alignment horizontal="left" vertical="center"/>
    </xf>
    <xf numFmtId="0" fontId="0" fillId="0" borderId="37" xfId="0" applyBorder="1"/>
    <xf numFmtId="0" fontId="12" fillId="0" borderId="28" xfId="18" applyFont="1" applyBorder="1"/>
    <xf numFmtId="0" fontId="12" fillId="0" borderId="17" xfId="18" applyFont="1" applyBorder="1"/>
    <xf numFmtId="0" fontId="0" fillId="0" borderId="38" xfId="0" applyBorder="1"/>
    <xf numFmtId="0" fontId="0" fillId="0" borderId="39" xfId="0" applyBorder="1"/>
    <xf numFmtId="0" fontId="0" fillId="0" borderId="47" xfId="0" applyBorder="1"/>
    <xf numFmtId="0" fontId="0" fillId="0" borderId="48" xfId="0" applyBorder="1"/>
    <xf numFmtId="0" fontId="0" fillId="0" borderId="60" xfId="0" applyBorder="1"/>
    <xf numFmtId="0" fontId="0" fillId="8" borderId="1" xfId="0" applyFill="1" applyBorder="1"/>
    <xf numFmtId="0" fontId="0" fillId="8" borderId="26" xfId="0" applyFill="1" applyBorder="1"/>
    <xf numFmtId="16" fontId="0" fillId="8" borderId="27" xfId="0" applyNumberFormat="1" applyFill="1" applyBorder="1"/>
    <xf numFmtId="0" fontId="0" fillId="8" borderId="28" xfId="0" applyFill="1" applyBorder="1"/>
    <xf numFmtId="0" fontId="0" fillId="8" borderId="19" xfId="0" applyFill="1" applyBorder="1"/>
    <xf numFmtId="0" fontId="0" fillId="8" borderId="14" xfId="0" applyFill="1" applyBorder="1"/>
    <xf numFmtId="0" fontId="0" fillId="0" borderId="58" xfId="0" applyBorder="1"/>
    <xf numFmtId="0" fontId="0" fillId="8" borderId="35" xfId="0" applyFill="1" applyBorder="1"/>
    <xf numFmtId="0" fontId="0" fillId="8" borderId="22" xfId="0" applyFill="1" applyBorder="1"/>
    <xf numFmtId="0" fontId="0" fillId="8" borderId="23" xfId="0" applyFill="1" applyBorder="1"/>
    <xf numFmtId="0" fontId="0" fillId="7" borderId="10" xfId="0" applyFill="1" applyBorder="1" applyAlignment="1" applyProtection="1">
      <alignment horizontal="left"/>
      <protection locked="0"/>
    </xf>
    <xf numFmtId="0" fontId="0" fillId="7" borderId="21" xfId="0" applyFill="1" applyBorder="1" applyAlignment="1" applyProtection="1">
      <alignment horizontal="left"/>
      <protection locked="0"/>
    </xf>
    <xf numFmtId="0" fontId="0" fillId="7" borderId="55" xfId="0" applyFill="1" applyBorder="1" applyAlignment="1" applyProtection="1">
      <alignment horizontal="left"/>
      <protection locked="0"/>
    </xf>
    <xf numFmtId="0" fontId="0" fillId="7" borderId="32" xfId="0" applyFill="1" applyBorder="1" applyAlignment="1" applyProtection="1">
      <alignment horizontal="left"/>
      <protection locked="0"/>
    </xf>
    <xf numFmtId="0" fontId="0" fillId="7" borderId="11" xfId="0" applyFill="1" applyBorder="1" applyAlignment="1" applyProtection="1">
      <alignment horizontal="left"/>
      <protection locked="0"/>
    </xf>
    <xf numFmtId="10" fontId="4" fillId="0" borderId="0" xfId="1" applyNumberFormat="1" applyFont="1"/>
    <xf numFmtId="0" fontId="0" fillId="8" borderId="27" xfId="0" applyFill="1" applyBorder="1"/>
    <xf numFmtId="0" fontId="9" fillId="0" borderId="56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62" xfId="0" applyFont="1" applyBorder="1" applyAlignment="1">
      <alignment horizontal="center"/>
    </xf>
    <xf numFmtId="0" fontId="0" fillId="0" borderId="63" xfId="0" applyBorder="1"/>
    <xf numFmtId="0" fontId="0" fillId="0" borderId="9" xfId="0" applyBorder="1"/>
    <xf numFmtId="0" fontId="0" fillId="0" borderId="12" xfId="0" applyBorder="1"/>
    <xf numFmtId="0" fontId="0" fillId="0" borderId="57" xfId="0" applyBorder="1"/>
    <xf numFmtId="0" fontId="11" fillId="4" borderId="59" xfId="18" applyFont="1" applyFill="1" applyBorder="1" applyAlignment="1">
      <alignment horizontal="left" vertical="center"/>
    </xf>
    <xf numFmtId="0" fontId="11" fillId="4" borderId="61" xfId="18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64" xfId="0" applyBorder="1"/>
    <xf numFmtId="0" fontId="0" fillId="0" borderId="65" xfId="0" applyBorder="1"/>
    <xf numFmtId="0" fontId="0" fillId="0" borderId="15" xfId="0" applyBorder="1"/>
    <xf numFmtId="0" fontId="0" fillId="0" borderId="55" xfId="0" applyBorder="1"/>
    <xf numFmtId="0" fontId="0" fillId="7" borderId="0" xfId="0" applyFill="1" applyAlignment="1" applyProtection="1">
      <alignment horizontal="left"/>
      <protection locked="0"/>
    </xf>
    <xf numFmtId="0" fontId="11" fillId="4" borderId="29" xfId="18" applyFont="1" applyFill="1" applyBorder="1" applyAlignment="1">
      <alignment horizontal="left" vertical="center"/>
    </xf>
    <xf numFmtId="0" fontId="11" fillId="4" borderId="16" xfId="18" applyFont="1" applyFill="1" applyBorder="1" applyAlignment="1">
      <alignment horizontal="left" vertical="center"/>
    </xf>
    <xf numFmtId="0" fontId="11" fillId="4" borderId="30" xfId="18" applyFont="1" applyFill="1" applyBorder="1" applyAlignment="1">
      <alignment horizontal="left" vertical="center"/>
    </xf>
    <xf numFmtId="0" fontId="11" fillId="4" borderId="9" xfId="18" applyFont="1" applyFill="1" applyBorder="1" applyAlignment="1">
      <alignment horizontal="left" vertical="center"/>
    </xf>
    <xf numFmtId="0" fontId="12" fillId="0" borderId="14" xfId="18" applyFont="1" applyBorder="1"/>
    <xf numFmtId="0" fontId="4" fillId="0" borderId="23" xfId="18" applyBorder="1" applyAlignment="1">
      <alignment horizontal="center" vertical="center"/>
    </xf>
    <xf numFmtId="0" fontId="11" fillId="4" borderId="4" xfId="18" applyFont="1" applyFill="1" applyBorder="1" applyAlignment="1">
      <alignment horizontal="center" vertical="center"/>
    </xf>
    <xf numFmtId="0" fontId="11" fillId="4" borderId="3" xfId="18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0" xfId="0" applyFill="1"/>
    <xf numFmtId="0" fontId="0" fillId="0" borderId="54" xfId="0" applyBorder="1"/>
    <xf numFmtId="0" fontId="0" fillId="0" borderId="52" xfId="0" applyBorder="1"/>
    <xf numFmtId="0" fontId="0" fillId="0" borderId="67" xfId="0" applyBorder="1"/>
    <xf numFmtId="0" fontId="0" fillId="0" borderId="68" xfId="0" applyBorder="1"/>
    <xf numFmtId="0" fontId="10" fillId="5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7" borderId="0" xfId="0" applyFill="1" applyProtection="1">
      <protection locked="0"/>
    </xf>
    <xf numFmtId="0" fontId="10" fillId="5" borderId="22" xfId="0" applyFont="1" applyFill="1" applyBorder="1" applyAlignment="1">
      <alignment horizontal="center"/>
    </xf>
    <xf numFmtId="10" fontId="9" fillId="0" borderId="2" xfId="1" applyNumberFormat="1" applyFont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166" fontId="0" fillId="0" borderId="1" xfId="0" applyNumberFormat="1" applyBorder="1"/>
    <xf numFmtId="167" fontId="0" fillId="0" borderId="0" xfId="20" applyNumberFormat="1" applyFont="1"/>
    <xf numFmtId="167" fontId="0" fillId="0" borderId="54" xfId="20" applyNumberFormat="1" applyFont="1" applyBorder="1" applyAlignment="1">
      <alignment horizontal="center"/>
    </xf>
    <xf numFmtId="167" fontId="0" fillId="0" borderId="40" xfId="20" applyNumberFormat="1" applyFont="1" applyBorder="1" applyAlignment="1">
      <alignment horizontal="center"/>
    </xf>
    <xf numFmtId="167" fontId="0" fillId="0" borderId="38" xfId="20" applyNumberFormat="1" applyFont="1" applyBorder="1" applyAlignment="1">
      <alignment horizontal="center"/>
    </xf>
    <xf numFmtId="167" fontId="0" fillId="0" borderId="26" xfId="20" applyNumberFormat="1" applyFont="1" applyBorder="1"/>
    <xf numFmtId="167" fontId="0" fillId="0" borderId="19" xfId="20" applyNumberFormat="1" applyFont="1" applyBorder="1"/>
    <xf numFmtId="167" fontId="0" fillId="0" borderId="29" xfId="20" applyNumberFormat="1" applyFont="1" applyBorder="1"/>
    <xf numFmtId="167" fontId="0" fillId="0" borderId="51" xfId="20" applyNumberFormat="1" applyFont="1" applyBorder="1"/>
    <xf numFmtId="167" fontId="0" fillId="0" borderId="30" xfId="20" applyNumberFormat="1" applyFont="1" applyBorder="1"/>
    <xf numFmtId="167" fontId="0" fillId="0" borderId="53" xfId="20" applyNumberFormat="1" applyFont="1" applyBorder="1"/>
    <xf numFmtId="43" fontId="0" fillId="0" borderId="28" xfId="0" applyNumberFormat="1" applyBorder="1"/>
    <xf numFmtId="43" fontId="0" fillId="0" borderId="14" xfId="0" applyNumberFormat="1" applyBorder="1"/>
    <xf numFmtId="0" fontId="4" fillId="0" borderId="19" xfId="18" applyBorder="1"/>
    <xf numFmtId="0" fontId="4" fillId="0" borderId="29" xfId="18" applyBorder="1"/>
    <xf numFmtId="0" fontId="4" fillId="0" borderId="16" xfId="18" applyBorder="1"/>
    <xf numFmtId="0" fontId="4" fillId="0" borderId="3" xfId="18" applyBorder="1"/>
    <xf numFmtId="0" fontId="4" fillId="0" borderId="13" xfId="18" applyBorder="1"/>
    <xf numFmtId="0" fontId="4" fillId="0" borderId="20" xfId="18" applyBorder="1"/>
    <xf numFmtId="0" fontId="1" fillId="0" borderId="5" xfId="18" applyFont="1" applyBorder="1"/>
    <xf numFmtId="0" fontId="4" fillId="0" borderId="46" xfId="18" applyBorder="1"/>
    <xf numFmtId="0" fontId="4" fillId="0" borderId="69" xfId="18" applyBorder="1"/>
    <xf numFmtId="0" fontId="4" fillId="0" borderId="24" xfId="18" applyBorder="1"/>
    <xf numFmtId="0" fontId="4" fillId="0" borderId="66" xfId="18" applyBorder="1"/>
    <xf numFmtId="0" fontId="4" fillId="0" borderId="11" xfId="18" applyBorder="1"/>
    <xf numFmtId="0" fontId="4" fillId="0" borderId="32" xfId="18" applyBorder="1"/>
    <xf numFmtId="0" fontId="1" fillId="0" borderId="11" xfId="18" applyFont="1" applyBorder="1"/>
    <xf numFmtId="0" fontId="4" fillId="0" borderId="21" xfId="18" applyBorder="1"/>
    <xf numFmtId="0" fontId="4" fillId="0" borderId="10" xfId="18" applyBorder="1"/>
    <xf numFmtId="0" fontId="1" fillId="0" borderId="2" xfId="18" applyFont="1" applyBorder="1"/>
    <xf numFmtId="0" fontId="4" fillId="0" borderId="27" xfId="18" applyBorder="1"/>
    <xf numFmtId="0" fontId="4" fillId="0" borderId="17" xfId="18" applyBorder="1"/>
    <xf numFmtId="0" fontId="1" fillId="0" borderId="6" xfId="18" applyFont="1" applyBorder="1"/>
    <xf numFmtId="0" fontId="4" fillId="0" borderId="7" xfId="18" applyBorder="1"/>
    <xf numFmtId="0" fontId="4" fillId="0" borderId="8" xfId="18" applyBorder="1"/>
    <xf numFmtId="0" fontId="4" fillId="0" borderId="15" xfId="18" applyBorder="1"/>
    <xf numFmtId="0" fontId="4" fillId="0" borderId="2" xfId="18" applyBorder="1"/>
    <xf numFmtId="0" fontId="4" fillId="0" borderId="12" xfId="18" applyBorder="1"/>
    <xf numFmtId="0" fontId="4" fillId="0" borderId="61" xfId="18" applyBorder="1"/>
    <xf numFmtId="0" fontId="4" fillId="0" borderId="22" xfId="18" applyBorder="1"/>
    <xf numFmtId="0" fontId="4" fillId="0" borderId="65" xfId="18" applyBorder="1"/>
    <xf numFmtId="0" fontId="4" fillId="0" borderId="70" xfId="18" applyBorder="1"/>
    <xf numFmtId="10" fontId="4" fillId="0" borderId="34" xfId="1" applyNumberFormat="1" applyFont="1" applyBorder="1"/>
    <xf numFmtId="0" fontId="1" fillId="0" borderId="21" xfId="18" applyFont="1" applyBorder="1"/>
    <xf numFmtId="0" fontId="1" fillId="0" borderId="10" xfId="18" applyFont="1" applyBorder="1"/>
    <xf numFmtId="0" fontId="1" fillId="0" borderId="7" xfId="18" applyFont="1" applyBorder="1"/>
    <xf numFmtId="0" fontId="1" fillId="0" borderId="46" xfId="18" applyFont="1" applyBorder="1"/>
    <xf numFmtId="0" fontId="4" fillId="0" borderId="41" xfId="18" applyBorder="1"/>
    <xf numFmtId="0" fontId="15" fillId="0" borderId="38" xfId="18" applyFont="1" applyBorder="1"/>
    <xf numFmtId="0" fontId="15" fillId="0" borderId="39" xfId="18" applyFont="1" applyBorder="1"/>
    <xf numFmtId="0" fontId="15" fillId="0" borderId="40" xfId="18" applyFont="1" applyBorder="1"/>
    <xf numFmtId="0" fontId="21" fillId="0" borderId="26" xfId="18" applyFont="1" applyBorder="1"/>
    <xf numFmtId="10" fontId="21" fillId="0" borderId="27" xfId="1" applyNumberFormat="1" applyFont="1" applyBorder="1"/>
    <xf numFmtId="2" fontId="21" fillId="0" borderId="27" xfId="18" applyNumberFormat="1" applyFont="1" applyBorder="1"/>
    <xf numFmtId="0" fontId="21" fillId="0" borderId="28" xfId="18" applyFont="1" applyBorder="1"/>
    <xf numFmtId="0" fontId="21" fillId="0" borderId="35" xfId="18" applyFont="1" applyBorder="1"/>
    <xf numFmtId="10" fontId="21" fillId="0" borderId="22" xfId="1" applyNumberFormat="1" applyFont="1" applyBorder="1"/>
    <xf numFmtId="2" fontId="21" fillId="0" borderId="22" xfId="18" applyNumberFormat="1" applyFont="1" applyBorder="1"/>
    <xf numFmtId="0" fontId="21" fillId="0" borderId="23" xfId="18" applyFont="1" applyBorder="1"/>
    <xf numFmtId="0" fontId="21" fillId="0" borderId="4" xfId="18" applyFont="1" applyBorder="1"/>
    <xf numFmtId="10" fontId="21" fillId="0" borderId="5" xfId="1" applyNumberFormat="1" applyFont="1" applyBorder="1"/>
    <xf numFmtId="2" fontId="21" fillId="0" borderId="5" xfId="18" applyNumberFormat="1" applyFont="1" applyBorder="1"/>
    <xf numFmtId="0" fontId="21" fillId="0" borderId="6" xfId="18" applyFont="1" applyBorder="1"/>
    <xf numFmtId="0" fontId="21" fillId="0" borderId="42" xfId="18" applyFont="1" applyBorder="1"/>
    <xf numFmtId="10" fontId="21" fillId="0" borderId="44" xfId="1" applyNumberFormat="1" applyFont="1" applyBorder="1"/>
    <xf numFmtId="0" fontId="21" fillId="0" borderId="44" xfId="18" applyFont="1" applyBorder="1"/>
    <xf numFmtId="0" fontId="21" fillId="0" borderId="45" xfId="18" applyFont="1" applyBorder="1"/>
    <xf numFmtId="0" fontId="17" fillId="0" borderId="0" xfId="0" applyFont="1" applyAlignment="1">
      <alignment horizontal="center"/>
    </xf>
    <xf numFmtId="0" fontId="17" fillId="0" borderId="58" xfId="0" applyFont="1" applyBorder="1" applyAlignment="1" applyProtection="1">
      <alignment horizontal="center"/>
      <protection locked="0"/>
    </xf>
    <xf numFmtId="0" fontId="10" fillId="5" borderId="24" xfId="0" applyFont="1" applyFill="1" applyBorder="1"/>
    <xf numFmtId="0" fontId="10" fillId="5" borderId="25" xfId="0" applyFont="1" applyFill="1" applyBorder="1"/>
    <xf numFmtId="0" fontId="10" fillId="5" borderId="9" xfId="0" applyFont="1" applyFill="1" applyBorder="1"/>
    <xf numFmtId="0" fontId="17" fillId="0" borderId="72" xfId="0" applyFont="1" applyBorder="1" applyAlignment="1">
      <alignment horizontal="center"/>
    </xf>
    <xf numFmtId="0" fontId="22" fillId="2" borderId="1" xfId="0" applyFont="1" applyFill="1" applyBorder="1" applyAlignment="1" applyProtection="1">
      <alignment horizontal="center"/>
      <protection locked="0"/>
    </xf>
    <xf numFmtId="0" fontId="23" fillId="2" borderId="1" xfId="0" applyFont="1" applyFill="1" applyBorder="1" applyAlignment="1" applyProtection="1">
      <alignment horizontal="center"/>
      <protection locked="0"/>
    </xf>
    <xf numFmtId="0" fontId="0" fillId="0" borderId="46" xfId="0" applyBorder="1"/>
    <xf numFmtId="0" fontId="0" fillId="0" borderId="69" xfId="0" applyBorder="1"/>
    <xf numFmtId="0" fontId="0" fillId="0" borderId="24" xfId="0" applyBorder="1"/>
    <xf numFmtId="0" fontId="0" fillId="0" borderId="31" xfId="0" applyBorder="1"/>
    <xf numFmtId="0" fontId="0" fillId="0" borderId="66" xfId="0" applyBorder="1"/>
    <xf numFmtId="167" fontId="0" fillId="0" borderId="32" xfId="20" applyNumberFormat="1" applyFont="1" applyBorder="1"/>
    <xf numFmtId="167" fontId="0" fillId="0" borderId="11" xfId="20" applyNumberFormat="1" applyFont="1" applyBorder="1"/>
    <xf numFmtId="167" fontId="0" fillId="0" borderId="12" xfId="20" applyNumberFormat="1" applyFont="1" applyBorder="1"/>
    <xf numFmtId="167" fontId="0" fillId="0" borderId="55" xfId="20" applyNumberFormat="1" applyFont="1" applyBorder="1" applyAlignment="1">
      <alignment horizontal="center"/>
    </xf>
    <xf numFmtId="0" fontId="12" fillId="9" borderId="23" xfId="18" applyFont="1" applyFill="1" applyBorder="1"/>
    <xf numFmtId="10" fontId="12" fillId="9" borderId="6" xfId="1" applyNumberFormat="1" applyFont="1" applyFill="1" applyBorder="1"/>
    <xf numFmtId="0" fontId="12" fillId="9" borderId="22" xfId="18" applyFont="1" applyFill="1" applyBorder="1"/>
    <xf numFmtId="10" fontId="12" fillId="9" borderId="5" xfId="1" applyNumberFormat="1" applyFont="1" applyFill="1" applyBorder="1"/>
    <xf numFmtId="0" fontId="12" fillId="10" borderId="5" xfId="18" applyFont="1" applyFill="1" applyBorder="1"/>
    <xf numFmtId="0" fontId="12" fillId="10" borderId="0" xfId="18" applyFont="1" applyFill="1" applyBorder="1"/>
    <xf numFmtId="0" fontId="12" fillId="10" borderId="3" xfId="18" applyFont="1" applyFill="1" applyBorder="1"/>
    <xf numFmtId="0" fontId="1" fillId="0" borderId="73" xfId="18" applyFont="1" applyBorder="1"/>
    <xf numFmtId="0" fontId="12" fillId="10" borderId="4" xfId="18" applyFont="1" applyFill="1" applyBorder="1"/>
    <xf numFmtId="0" fontId="4" fillId="0" borderId="5" xfId="18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8" xfId="0" applyNumberFormat="1" applyBorder="1"/>
    <xf numFmtId="0" fontId="0" fillId="0" borderId="14" xfId="0" applyNumberFormat="1" applyBorder="1"/>
    <xf numFmtId="0" fontId="0" fillId="0" borderId="17" xfId="0" applyNumberFormat="1" applyBorder="1"/>
    <xf numFmtId="0" fontId="0" fillId="0" borderId="1" xfId="0" applyNumberFormat="1" applyBorder="1"/>
    <xf numFmtId="0" fontId="0" fillId="0" borderId="0" xfId="0" applyNumberFormat="1"/>
    <xf numFmtId="0" fontId="0" fillId="0" borderId="32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4" xfId="0" applyBorder="1"/>
    <xf numFmtId="0" fontId="0" fillId="0" borderId="55" xfId="0" applyFill="1" applyBorder="1" applyAlignment="1">
      <alignment horizontal="center"/>
    </xf>
    <xf numFmtId="0" fontId="0" fillId="0" borderId="2" xfId="0" applyNumberFormat="1" applyFill="1" applyBorder="1"/>
    <xf numFmtId="0" fontId="11" fillId="4" borderId="8" xfId="18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center"/>
    </xf>
    <xf numFmtId="0" fontId="10" fillId="5" borderId="48" xfId="0" applyFont="1" applyFill="1" applyBorder="1" applyAlignment="1">
      <alignment horizontal="center"/>
    </xf>
    <xf numFmtId="49" fontId="0" fillId="7" borderId="1" xfId="0" applyNumberFormat="1" applyFill="1" applyBorder="1" applyAlignment="1" applyProtection="1">
      <alignment horizontal="left"/>
      <protection locked="0"/>
    </xf>
    <xf numFmtId="0" fontId="0" fillId="0" borderId="32" xfId="20" applyNumberFormat="1" applyFont="1" applyBorder="1"/>
    <xf numFmtId="0" fontId="0" fillId="0" borderId="11" xfId="20" applyNumberFormat="1" applyFont="1" applyBorder="1"/>
    <xf numFmtId="0" fontId="0" fillId="0" borderId="26" xfId="20" applyNumberFormat="1" applyFont="1" applyBorder="1"/>
    <xf numFmtId="0" fontId="0" fillId="0" borderId="26" xfId="0" applyNumberFormat="1" applyBorder="1"/>
    <xf numFmtId="0" fontId="0" fillId="0" borderId="19" xfId="20" applyNumberFormat="1" applyFont="1" applyBorder="1"/>
    <xf numFmtId="0" fontId="0" fillId="0" borderId="19" xfId="0" applyNumberFormat="1" applyBorder="1"/>
    <xf numFmtId="0" fontId="0" fillId="0" borderId="29" xfId="20" applyNumberFormat="1" applyFont="1" applyBorder="1"/>
    <xf numFmtId="0" fontId="0" fillId="0" borderId="29" xfId="0" applyNumberFormat="1" applyBorder="1"/>
    <xf numFmtId="0" fontId="0" fillId="0" borderId="12" xfId="20" applyNumberFormat="1" applyFont="1" applyBorder="1"/>
    <xf numFmtId="0" fontId="10" fillId="5" borderId="69" xfId="0" applyFont="1" applyFill="1" applyBorder="1" applyAlignment="1">
      <alignment horizontal="center"/>
    </xf>
    <xf numFmtId="0" fontId="10" fillId="5" borderId="72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18" fillId="7" borderId="33" xfId="0" applyFont="1" applyFill="1" applyBorder="1" applyAlignment="1" applyProtection="1">
      <alignment horizontal="center"/>
      <protection locked="0"/>
    </xf>
    <xf numFmtId="0" fontId="18" fillId="7" borderId="18" xfId="0" applyFont="1" applyFill="1" applyBorder="1" applyAlignment="1" applyProtection="1">
      <alignment horizontal="center"/>
      <protection locked="0"/>
    </xf>
    <xf numFmtId="0" fontId="18" fillId="7" borderId="34" xfId="0" applyFont="1" applyFill="1" applyBorder="1" applyAlignment="1" applyProtection="1">
      <alignment horizontal="center"/>
      <protection locked="0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9" fontId="9" fillId="0" borderId="33" xfId="1" applyFont="1" applyBorder="1" applyAlignment="1">
      <alignment horizontal="center"/>
    </xf>
    <xf numFmtId="9" fontId="9" fillId="0" borderId="18" xfId="1" applyFont="1" applyBorder="1" applyAlignment="1">
      <alignment horizontal="center"/>
    </xf>
    <xf numFmtId="0" fontId="17" fillId="5" borderId="54" xfId="0" applyFont="1" applyFill="1" applyBorder="1" applyAlignment="1">
      <alignment horizontal="center"/>
    </xf>
    <xf numFmtId="0" fontId="17" fillId="5" borderId="37" xfId="0" applyFont="1" applyFill="1" applyBorder="1" applyAlignment="1">
      <alignment horizontal="center"/>
    </xf>
    <xf numFmtId="49" fontId="0" fillId="7" borderId="24" xfId="0" applyNumberFormat="1" applyFill="1" applyBorder="1" applyAlignment="1" applyProtection="1">
      <alignment horizontal="center"/>
      <protection locked="0"/>
    </xf>
    <xf numFmtId="49" fontId="0" fillId="7" borderId="25" xfId="0" applyNumberFormat="1" applyFill="1" applyBorder="1" applyAlignment="1" applyProtection="1">
      <alignment horizontal="center"/>
      <protection locked="0"/>
    </xf>
    <xf numFmtId="49" fontId="0" fillId="7" borderId="9" xfId="0" applyNumberFormat="1" applyFill="1" applyBorder="1" applyAlignment="1" applyProtection="1">
      <alignment horizontal="center"/>
      <protection locked="0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8" fillId="0" borderId="33" xfId="18" applyFont="1" applyBorder="1" applyAlignment="1">
      <alignment horizontal="center"/>
    </xf>
    <xf numFmtId="0" fontId="18" fillId="0" borderId="18" xfId="18" applyFont="1" applyBorder="1" applyAlignment="1">
      <alignment horizontal="center"/>
    </xf>
    <xf numFmtId="0" fontId="18" fillId="0" borderId="34" xfId="18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33" xfId="18" applyFont="1" applyBorder="1" applyAlignment="1">
      <alignment horizontal="center"/>
    </xf>
    <xf numFmtId="0" fontId="14" fillId="0" borderId="18" xfId="18" applyFont="1" applyBorder="1" applyAlignment="1">
      <alignment horizontal="center"/>
    </xf>
    <xf numFmtId="0" fontId="14" fillId="0" borderId="34" xfId="18" applyFont="1" applyBorder="1" applyAlignment="1">
      <alignment horizontal="center"/>
    </xf>
    <xf numFmtId="0" fontId="11" fillId="4" borderId="24" xfId="18" applyFont="1" applyFill="1" applyBorder="1" applyAlignment="1">
      <alignment horizontal="left" vertical="center"/>
    </xf>
    <xf numFmtId="0" fontId="11" fillId="4" borderId="25" xfId="18" applyFont="1" applyFill="1" applyBorder="1" applyAlignment="1">
      <alignment horizontal="left" vertical="center"/>
    </xf>
    <xf numFmtId="0" fontId="12" fillId="0" borderId="32" xfId="18" applyFont="1" applyBorder="1" applyAlignment="1">
      <alignment horizontal="center" vertical="center"/>
    </xf>
    <xf numFmtId="0" fontId="12" fillId="0" borderId="11" xfId="18" applyFont="1" applyBorder="1" applyAlignment="1">
      <alignment horizontal="center" vertical="center"/>
    </xf>
    <xf numFmtId="0" fontId="12" fillId="0" borderId="12" xfId="18" applyFont="1" applyBorder="1" applyAlignment="1">
      <alignment horizontal="center" vertical="center"/>
    </xf>
    <xf numFmtId="0" fontId="11" fillId="4" borderId="26" xfId="18" applyFont="1" applyFill="1" applyBorder="1" applyAlignment="1">
      <alignment horizontal="left" vertical="center"/>
    </xf>
    <xf numFmtId="0" fontId="11" fillId="4" borderId="27" xfId="18" applyFont="1" applyFill="1" applyBorder="1" applyAlignment="1">
      <alignment horizontal="left" vertical="center"/>
    </xf>
    <xf numFmtId="0" fontId="11" fillId="4" borderId="19" xfId="18" applyFont="1" applyFill="1" applyBorder="1" applyAlignment="1">
      <alignment horizontal="left" vertical="center"/>
    </xf>
    <xf numFmtId="0" fontId="11" fillId="4" borderId="1" xfId="18" applyFont="1" applyFill="1" applyBorder="1" applyAlignment="1">
      <alignment horizontal="left" vertical="center"/>
    </xf>
    <xf numFmtId="0" fontId="11" fillId="4" borderId="29" xfId="18" applyFont="1" applyFill="1" applyBorder="1" applyAlignment="1">
      <alignment horizontal="left" vertical="center"/>
    </xf>
    <xf numFmtId="0" fontId="11" fillId="4" borderId="16" xfId="18" applyFont="1" applyFill="1" applyBorder="1" applyAlignment="1">
      <alignment horizontal="left" vertical="center"/>
    </xf>
    <xf numFmtId="0" fontId="21" fillId="0" borderId="4" xfId="18" applyFont="1" applyBorder="1" applyAlignment="1">
      <alignment horizontal="center"/>
    </xf>
    <xf numFmtId="0" fontId="21" fillId="0" borderId="46" xfId="18" applyFont="1" applyBorder="1" applyAlignment="1">
      <alignment horizontal="center"/>
    </xf>
    <xf numFmtId="0" fontId="21" fillId="0" borderId="42" xfId="18" applyFont="1" applyBorder="1" applyAlignment="1">
      <alignment horizontal="center"/>
    </xf>
    <xf numFmtId="0" fontId="21" fillId="0" borderId="43" xfId="18" applyFont="1" applyBorder="1" applyAlignment="1">
      <alignment horizontal="center"/>
    </xf>
    <xf numFmtId="0" fontId="21" fillId="0" borderId="33" xfId="18" applyFont="1" applyBorder="1" applyAlignment="1">
      <alignment horizontal="center"/>
    </xf>
    <xf numFmtId="0" fontId="21" fillId="0" borderId="18" xfId="18" applyFont="1" applyBorder="1" applyAlignment="1">
      <alignment horizontal="center"/>
    </xf>
    <xf numFmtId="0" fontId="21" fillId="0" borderId="34" xfId="18" applyFont="1" applyBorder="1" applyAlignment="1">
      <alignment horizontal="center"/>
    </xf>
    <xf numFmtId="0" fontId="12" fillId="10" borderId="36" xfId="18" applyFont="1" applyFill="1" applyBorder="1" applyAlignment="1">
      <alignment horizontal="center"/>
    </xf>
    <xf numFmtId="0" fontId="12" fillId="10" borderId="37" xfId="18" applyFont="1" applyFill="1" applyBorder="1" applyAlignment="1">
      <alignment horizontal="center"/>
    </xf>
    <xf numFmtId="0" fontId="12" fillId="10" borderId="71" xfId="18" applyFont="1" applyFill="1" applyBorder="1" applyAlignment="1">
      <alignment horizontal="center"/>
    </xf>
    <xf numFmtId="0" fontId="21" fillId="0" borderId="36" xfId="18" applyFont="1" applyBorder="1" applyAlignment="1">
      <alignment horizontal="center"/>
    </xf>
    <xf numFmtId="0" fontId="21" fillId="0" borderId="37" xfId="18" applyFont="1" applyBorder="1" applyAlignment="1">
      <alignment horizontal="center"/>
    </xf>
    <xf numFmtId="0" fontId="21" fillId="0" borderId="26" xfId="18" applyFont="1" applyBorder="1" applyAlignment="1">
      <alignment horizontal="left"/>
    </xf>
    <xf numFmtId="0" fontId="21" fillId="0" borderId="31" xfId="18" applyFont="1" applyBorder="1" applyAlignment="1">
      <alignment horizontal="left"/>
    </xf>
    <xf numFmtId="0" fontId="21" fillId="0" borderId="35" xfId="18" applyFont="1" applyBorder="1" applyAlignment="1">
      <alignment horizontal="left"/>
    </xf>
    <xf numFmtId="0" fontId="21" fillId="0" borderId="41" xfId="18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17" fillId="5" borderId="72" xfId="0" applyNumberFormat="1" applyFont="1" applyFill="1" applyBorder="1" applyAlignment="1">
      <alignment horizontal="center"/>
    </xf>
    <xf numFmtId="0" fontId="22" fillId="2" borderId="24" xfId="0" applyFont="1" applyFill="1" applyBorder="1" applyAlignment="1" applyProtection="1">
      <alignment horizontal="center"/>
      <protection locked="0"/>
    </xf>
    <xf numFmtId="0" fontId="22" fillId="2" borderId="9" xfId="0" applyFont="1" applyFill="1" applyBorder="1" applyAlignment="1" applyProtection="1">
      <alignment horizontal="center"/>
      <protection locked="0"/>
    </xf>
    <xf numFmtId="0" fontId="22" fillId="2" borderId="1" xfId="0" applyFont="1" applyFill="1" applyBorder="1" applyAlignment="1" applyProtection="1">
      <alignment horizontal="center"/>
      <protection locked="0"/>
    </xf>
    <xf numFmtId="0" fontId="23" fillId="2" borderId="1" xfId="0" applyFont="1" applyFill="1" applyBorder="1" applyAlignment="1" applyProtection="1">
      <alignment horizontal="center"/>
      <protection locked="0"/>
    </xf>
    <xf numFmtId="10" fontId="22" fillId="2" borderId="1" xfId="1" applyNumberFormat="1" applyFont="1" applyFill="1" applyBorder="1" applyAlignment="1" applyProtection="1">
      <alignment horizontal="center"/>
      <protection locked="0"/>
    </xf>
    <xf numFmtId="0" fontId="10" fillId="5" borderId="0" xfId="0" applyFont="1" applyFill="1" applyAlignment="1">
      <alignment horizontal="center"/>
    </xf>
    <xf numFmtId="10" fontId="23" fillId="2" borderId="1" xfId="1" applyNumberFormat="1" applyFont="1" applyFill="1" applyBorder="1" applyAlignment="1" applyProtection="1">
      <alignment horizontal="center"/>
      <protection locked="0"/>
    </xf>
  </cellXfs>
  <cellStyles count="28">
    <cellStyle name="Comma" xfId="2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2" builtinId="9" hidden="1"/>
    <cellStyle name="Followed Hyperlink" xfId="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1" builtinId="8" hidden="1"/>
    <cellStyle name="Hyperlink" xfId="23" builtinId="8" hidden="1"/>
    <cellStyle name="Normal" xfId="0" builtinId="0"/>
    <cellStyle name="Normal 2" xfId="18" xr:uid="{00000000-0005-0000-0000-000016000000}"/>
    <cellStyle name="Normal 2 2" xfId="26" xr:uid="{0E70685A-EF51-412E-B335-C96BFAAE989E}"/>
    <cellStyle name="Percent" xfId="1" builtinId="5"/>
    <cellStyle name="Percent 2" xfId="19" xr:uid="{00000000-0005-0000-0000-000018000000}"/>
    <cellStyle name="Percent 2 2" xfId="27" xr:uid="{3BA3BC36-525B-4F60-BA24-633D986E099F}"/>
    <cellStyle name="Percent 3" xfId="25" xr:uid="{7B833B04-084D-4732-A84D-CE437AB9CCEC}"/>
  </cellStyles>
  <dxfs count="1065"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Analysis!$R$7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Analysis!$R$8:$R$17</c:f>
              <c:numCache>
                <c:formatCode>_(* #,##0.0000_);_(* \(#,##0.0000\);_(* "-"??_);_(@_)</c:formatCode>
                <c:ptCount val="10"/>
                <c:pt idx="0">
                  <c:v>-0.1650851242859781</c:v>
                </c:pt>
                <c:pt idx="1">
                  <c:v>0.10319797996906244</c:v>
                </c:pt>
                <c:pt idx="2">
                  <c:v>0.23022196212840235</c:v>
                </c:pt>
                <c:pt idx="3">
                  <c:v>0.30115588817456668</c:v>
                </c:pt>
                <c:pt idx="4">
                  <c:v>0.34444532557734919</c:v>
                </c:pt>
                <c:pt idx="5">
                  <c:v>0.37230861223628287</c:v>
                </c:pt>
                <c:pt idx="6">
                  <c:v>0.39086201815543437</c:v>
                </c:pt>
                <c:pt idx="7">
                  <c:v>0.40349700080092782</c:v>
                </c:pt>
                <c:pt idx="8">
                  <c:v>0.41223371605271664</c:v>
                </c:pt>
                <c:pt idx="9">
                  <c:v>0.41833877977736161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6-754B-84BC-7D0C1DEB8F92}"/>
            </c:ext>
          </c:extLst>
        </c:ser>
        <c:ser>
          <c:idx val="1"/>
          <c:order val="1"/>
          <c:tx>
            <c:strRef>
              <c:f>Analysis!$S$7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Analysis!$S$8:$S$17</c:f>
              <c:numCache>
                <c:formatCode>General</c:formatCode>
                <c:ptCount val="10"/>
                <c:pt idx="0">
                  <c:v>0.55032723143323903</c:v>
                </c:pt>
                <c:pt idx="1">
                  <c:v>1.1507676941182765</c:v>
                </c:pt>
                <c:pt idx="2">
                  <c:v>1.7986623728274731</c:v>
                </c:pt>
                <c:pt idx="3">
                  <c:v>2.49056438916503</c:v>
                </c:pt>
                <c:pt idx="4">
                  <c:v>3.2224680324897914</c:v>
                </c:pt>
                <c:pt idx="5">
                  <c:v>3.99004812877279</c:v>
                </c:pt>
                <c:pt idx="6">
                  <c:v>4.7888848157793227</c:v>
                </c:pt>
                <c:pt idx="7">
                  <c:v>5.6146552936527021</c:v>
                </c:pt>
                <c:pt idx="8">
                  <c:v>6.4632820919161782</c:v>
                </c:pt>
                <c:pt idx="9">
                  <c:v>7.3310349619076991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6-754B-84BC-7D0C1DEB8F92}"/>
            </c:ext>
          </c:extLst>
        </c:ser>
        <c:ser>
          <c:idx val="2"/>
          <c:order val="2"/>
          <c:tx>
            <c:strRef>
              <c:f>Analysis!$T$7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Analysis!$T$8:$T$17</c:f>
              <c:numCache>
                <c:formatCode>General</c:formatCode>
                <c:ptCount val="10"/>
                <c:pt idx="0">
                  <c:v>-0.58254256214298905</c:v>
                </c:pt>
                <c:pt idx="1">
                  <c:v>-1.2181319089320113</c:v>
                </c:pt>
                <c:pt idx="2">
                  <c:v>-1.9039533703761744</c:v>
                </c:pt>
                <c:pt idx="3">
                  <c:v>-2.6363582929882523</c:v>
                </c:pt>
                <c:pt idx="4">
                  <c:v>-3.4111064778341951</c:v>
                </c:pt>
                <c:pt idx="5">
                  <c:v>-4.2236195616845702</c:v>
                </c:pt>
                <c:pt idx="6">
                  <c:v>-5.0692189501986666</c:v>
                </c:pt>
                <c:pt idx="7">
                  <c:v>-5.9433287932998162</c:v>
                </c:pt>
                <c:pt idx="8">
                  <c:v>-6.8416329315052291</c:v>
                </c:pt>
                <c:pt idx="9">
                  <c:v>-7.7601827529910592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6-754B-84BC-7D0C1DEB8F92}"/>
            </c:ext>
          </c:extLst>
        </c:ser>
        <c:ser>
          <c:idx val="3"/>
          <c:order val="3"/>
          <c:tx>
            <c:strRef>
              <c:f>Analysis!$U$7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Analysis!$U$8:$U$17</c:f>
              <c:numCache>
                <c:formatCode>_(* #,##0.0000_);_(* \(#,##0.0000\);_(* "-"??_);_(@_)</c:formatCode>
                <c:ptCount val="10"/>
                <c:pt idx="0">
                  <c:v>-3.2215330709750023E-2</c:v>
                </c:pt>
                <c:pt idx="1">
                  <c:v>-6.736421481373478E-2</c:v>
                </c:pt>
                <c:pt idx="2">
                  <c:v>-0.1052909975487013</c:v>
                </c:pt>
                <c:pt idx="3">
                  <c:v>-0.14579390382322233</c:v>
                </c:pt>
                <c:pt idx="4">
                  <c:v>-0.18863844534440366</c:v>
                </c:pt>
                <c:pt idx="5">
                  <c:v>-0.23357143291178017</c:v>
                </c:pt>
                <c:pt idx="6">
                  <c:v>-0.28033413441934396</c:v>
                </c:pt>
                <c:pt idx="7">
                  <c:v>-0.32867349964711412</c:v>
                </c:pt>
                <c:pt idx="8">
                  <c:v>-0.37835083958905091</c:v>
                </c:pt>
                <c:pt idx="9">
                  <c:v>-0.4291477910833601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F-FC44-ACD8-F3249BA2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963424"/>
        <c:axId val="-1985960080"/>
      </c:lineChart>
      <c:catAx>
        <c:axId val="-198596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60080"/>
        <c:crosses val="autoZero"/>
        <c:auto val="1"/>
        <c:lblAlgn val="ctr"/>
        <c:lblOffset val="100"/>
        <c:noMultiLvlLbl val="0"/>
      </c:catAx>
      <c:valAx>
        <c:axId val="-19859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'1x8'!$E$20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'1x8'!$E$21:$E$30</c:f>
              <c:numCache>
                <c:formatCode>General</c:formatCode>
                <c:ptCount val="10"/>
                <c:pt idx="0">
                  <c:v>19.826665338578159</c:v>
                </c:pt>
                <c:pt idx="1">
                  <c:v>92.903204749710255</c:v>
                </c:pt>
                <c:pt idx="2">
                  <c:v>642.65084712196108</c:v>
                </c:pt>
                <c:pt idx="3">
                  <c:v>4865.119305799446</c:v>
                </c:pt>
                <c:pt idx="4">
                  <c:v>38058.539734381688</c:v>
                </c:pt>
                <c:pt idx="5">
                  <c:v>301641.63357701519</c:v>
                </c:pt>
                <c:pt idx="6">
                  <c:v>2403675.6287268936</c:v>
                </c:pt>
                <c:pt idx="7">
                  <c:v>19197474.655311458</c:v>
                </c:pt>
                <c:pt idx="8">
                  <c:v>153471562.9396235</c:v>
                </c:pt>
                <c:pt idx="9">
                  <c:v>1227404983.1118348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141840"/>
        <c:axId val="-1936138816"/>
      </c:lineChart>
      <c:catAx>
        <c:axId val="-19361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138816"/>
        <c:crosses val="autoZero"/>
        <c:auto val="1"/>
        <c:lblAlgn val="ctr"/>
        <c:lblOffset val="100"/>
        <c:noMultiLvlLbl val="0"/>
      </c:catAx>
      <c:valAx>
        <c:axId val="-19361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1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'1x9'!$E$20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'1x9'!$E$21:$E$30</c:f>
              <c:numCache>
                <c:formatCode>General</c:formatCode>
                <c:ptCount val="10"/>
                <c:pt idx="0">
                  <c:v>21.832275356266774</c:v>
                </c:pt>
                <c:pt idx="1">
                  <c:v>115.08451039891871</c:v>
                </c:pt>
                <c:pt idx="2">
                  <c:v>896.82701136380854</c:v>
                </c:pt>
                <c:pt idx="3">
                  <c:v>7651.4505107375808</c:v>
                </c:pt>
                <c:pt idx="4">
                  <c:v>67417.145407854507</c:v>
                </c:pt>
                <c:pt idx="5">
                  <c:v>601528.32287763979</c:v>
                </c:pt>
                <c:pt idx="6">
                  <c:v>5394476.16302309</c:v>
                </c:pt>
                <c:pt idx="7">
                  <c:v>48478539.311407149</c:v>
                </c:pt>
                <c:pt idx="8">
                  <c:v>436038846.50359732</c:v>
                </c:pt>
                <c:pt idx="9">
                  <c:v>3923346885.0693164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5917904"/>
        <c:axId val="-1925931872"/>
      </c:lineChart>
      <c:catAx>
        <c:axId val="-19259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931872"/>
        <c:crosses val="autoZero"/>
        <c:auto val="1"/>
        <c:lblAlgn val="ctr"/>
        <c:lblOffset val="100"/>
        <c:noMultiLvlLbl val="0"/>
      </c:catAx>
      <c:valAx>
        <c:axId val="-19259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9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'1x10'!$E$20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'1x10'!$E$21:$E$30</c:f>
              <c:numCache>
                <c:formatCode>General</c:formatCode>
                <c:ptCount val="10"/>
                <c:pt idx="0">
                  <c:v>23.90407125373833</c:v>
                </c:pt>
                <c:pt idx="1">
                  <c:v>139.79270980119577</c:v>
                </c:pt>
                <c:pt idx="2">
                  <c:v>1211.4482663130677</c:v>
                </c:pt>
                <c:pt idx="3">
                  <c:v>11498.209412518325</c:v>
                </c:pt>
                <c:pt idx="4">
                  <c:v>112659.15978746426</c:v>
                </c:pt>
                <c:pt idx="5">
                  <c:v>1117393.5224213742</c:v>
                </c:pt>
                <c:pt idx="6">
                  <c:v>11136763.443068126</c:v>
                </c:pt>
                <c:pt idx="7">
                  <c:v>111216122.12948537</c:v>
                </c:pt>
                <c:pt idx="8">
                  <c:v>1111541441.7927327</c:v>
                </c:pt>
                <c:pt idx="9">
                  <c:v>11112875358.977859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214848"/>
        <c:axId val="1993849392"/>
      </c:lineChart>
      <c:catAx>
        <c:axId val="-19322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49392"/>
        <c:crosses val="autoZero"/>
        <c:auto val="1"/>
        <c:lblAlgn val="ctr"/>
        <c:lblOffset val="100"/>
        <c:noMultiLvlLbl val="0"/>
      </c:catAx>
      <c:valAx>
        <c:axId val="19938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2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'2x3'!$U$6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'2x3'!$U$7:$U$16</c:f>
              <c:numCache>
                <c:formatCode>General</c:formatCode>
                <c:ptCount val="10"/>
                <c:pt idx="0">
                  <c:v>-0.78189150743510027</c:v>
                </c:pt>
                <c:pt idx="1">
                  <c:v>-5.7198360245537785</c:v>
                </c:pt>
                <c:pt idx="2">
                  <c:v>-28.993553583297505</c:v>
                </c:pt>
                <c:pt idx="3">
                  <c:v>-126.03062367281436</c:v>
                </c:pt>
                <c:pt idx="4">
                  <c:v>-503.58863168868129</c:v>
                </c:pt>
                <c:pt idx="5">
                  <c:v>-1907.8215783177034</c:v>
                </c:pt>
                <c:pt idx="6">
                  <c:v>-6965.5707327855107</c:v>
                </c:pt>
                <c:pt idx="7">
                  <c:v>-24747.858162761695</c:v>
                </c:pt>
                <c:pt idx="8">
                  <c:v>-86098.141438188119</c:v>
                </c:pt>
                <c:pt idx="9">
                  <c:v>-294572.73973481648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352000"/>
        <c:axId val="-2106348976"/>
      </c:lineChart>
      <c:catAx>
        <c:axId val="-21063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48976"/>
        <c:crosses val="autoZero"/>
        <c:auto val="1"/>
        <c:lblAlgn val="ctr"/>
        <c:lblOffset val="100"/>
        <c:noMultiLvlLbl val="0"/>
      </c:catAx>
      <c:valAx>
        <c:axId val="-21063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'2x4'!$U$6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'2x4'!$U$7:$U$16</c:f>
              <c:numCache>
                <c:formatCode>General</c:formatCode>
                <c:ptCount val="10"/>
                <c:pt idx="0">
                  <c:v>-0.72599486891678078</c:v>
                </c:pt>
                <c:pt idx="1">
                  <c:v>-6.7450808860090259</c:v>
                </c:pt>
                <c:pt idx="2">
                  <c:v>-44.100237810578129</c:v>
                </c:pt>
                <c:pt idx="3">
                  <c:v>-249.76975989257059</c:v>
                </c:pt>
                <c:pt idx="4">
                  <c:v>-1309.2996479465278</c:v>
                </c:pt>
                <c:pt idx="5">
                  <c:v>-6539.167752035888</c:v>
                </c:pt>
                <c:pt idx="6">
                  <c:v>-31589.626596276612</c:v>
                </c:pt>
                <c:pt idx="7">
                  <c:v>-148915.46992004002</c:v>
                </c:pt>
                <c:pt idx="8">
                  <c:v>-688888.33320100408</c:v>
                </c:pt>
                <c:pt idx="9">
                  <c:v>-3139254.658737978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360432"/>
        <c:axId val="-1933357408"/>
      </c:lineChart>
      <c:catAx>
        <c:axId val="-19333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357408"/>
        <c:crosses val="autoZero"/>
        <c:auto val="1"/>
        <c:lblAlgn val="ctr"/>
        <c:lblOffset val="100"/>
        <c:noMultiLvlLbl val="0"/>
      </c:catAx>
      <c:valAx>
        <c:axId val="-19333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3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'2x5'!$U$6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'2x5'!$U$7:$U$16</c:f>
              <c:numCache>
                <c:formatCode>General</c:formatCode>
                <c:ptCount val="10"/>
                <c:pt idx="0">
                  <c:v>-0.64384955541173738</c:v>
                </c:pt>
                <c:pt idx="1">
                  <c:v>-7.2354814230235682</c:v>
                </c:pt>
                <c:pt idx="2">
                  <c:v>-57.812099230180706</c:v>
                </c:pt>
                <c:pt idx="3">
                  <c:v>-402.50725202572937</c:v>
                </c:pt>
                <c:pt idx="4">
                  <c:v>-2603.2468095608078</c:v>
                </c:pt>
                <c:pt idx="5">
                  <c:v>-16081.932137102778</c:v>
                </c:pt>
                <c:pt idx="6">
                  <c:v>-96280.221041431607</c:v>
                </c:pt>
                <c:pt idx="7">
                  <c:v>-563371.15935656033</c:v>
                </c:pt>
                <c:pt idx="8">
                  <c:v>-3239295.7352497</c:v>
                </c:pt>
                <c:pt idx="9">
                  <c:v>-18368984.346977048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283616"/>
        <c:axId val="-1933280592"/>
      </c:lineChart>
      <c:catAx>
        <c:axId val="-19332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80592"/>
        <c:crosses val="autoZero"/>
        <c:auto val="1"/>
        <c:lblAlgn val="ctr"/>
        <c:lblOffset val="100"/>
        <c:noMultiLvlLbl val="0"/>
      </c:catAx>
      <c:valAx>
        <c:axId val="-19332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'2x6'!$U$6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'2x6'!$U$7:$U$16</c:f>
              <c:numCache>
                <c:formatCode>General</c:formatCode>
                <c:ptCount val="10"/>
                <c:pt idx="0">
                  <c:v>-0.55486156768717532</c:v>
                </c:pt>
                <c:pt idx="1">
                  <c:v>-7.309833952555997</c:v>
                </c:pt>
                <c:pt idx="2">
                  <c:v>-68.971875647188014</c:v>
                </c:pt>
                <c:pt idx="3">
                  <c:v>-569.18156723438324</c:v>
                </c:pt>
                <c:pt idx="4">
                  <c:v>-4372.3754085329201</c:v>
                </c:pt>
                <c:pt idx="5">
                  <c:v>-32125.099633339014</c:v>
                </c:pt>
                <c:pt idx="6">
                  <c:v>-228966.65126128416</c:v>
                </c:pt>
                <c:pt idx="7">
                  <c:v>-1596256.6801464998</c:v>
                </c:pt>
                <c:pt idx="8">
                  <c:v>-10942819.568796411</c:v>
                </c:pt>
                <c:pt idx="9">
                  <c:v>-74029041.624437109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206736"/>
        <c:axId val="-1933203712"/>
      </c:lineChart>
      <c:catAx>
        <c:axId val="-193320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03712"/>
        <c:crosses val="autoZero"/>
        <c:auto val="1"/>
        <c:lblAlgn val="ctr"/>
        <c:lblOffset val="100"/>
        <c:noMultiLvlLbl val="0"/>
      </c:catAx>
      <c:valAx>
        <c:axId val="-19332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'2x7'!$U$6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'2x7'!$U$7:$U$16</c:f>
              <c:numCache>
                <c:formatCode>General</c:formatCode>
                <c:ptCount val="10"/>
                <c:pt idx="0">
                  <c:v>-0.46888637054718174</c:v>
                </c:pt>
                <c:pt idx="1">
                  <c:v>-7.0844670587980261</c:v>
                </c:pt>
                <c:pt idx="2">
                  <c:v>-77.084953844997671</c:v>
                </c:pt>
                <c:pt idx="3">
                  <c:v>-735.42881715814042</c:v>
                </c:pt>
                <c:pt idx="4">
                  <c:v>-6539.6864362195456</c:v>
                </c:pt>
                <c:pt idx="5">
                  <c:v>-55662.40723667515</c:v>
                </c:pt>
                <c:pt idx="6">
                  <c:v>-459823.0773481041</c:v>
                </c:pt>
                <c:pt idx="7">
                  <c:v>-3716997.1036175401</c:v>
                </c:pt>
                <c:pt idx="8">
                  <c:v>-29554964.839323334</c:v>
                </c:pt>
                <c:pt idx="9">
                  <c:v>-231973557.61371022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130400"/>
        <c:axId val="-1933127376"/>
      </c:lineChart>
      <c:catAx>
        <c:axId val="-19331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127376"/>
        <c:crosses val="autoZero"/>
        <c:auto val="1"/>
        <c:lblAlgn val="ctr"/>
        <c:lblOffset val="100"/>
        <c:noMultiLvlLbl val="0"/>
      </c:catAx>
      <c:valAx>
        <c:axId val="-19331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1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'2x8'!$U$6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'2x8'!$U$7:$U$16</c:f>
              <c:numCache>
                <c:formatCode>General</c:formatCode>
                <c:ptCount val="10"/>
                <c:pt idx="0">
                  <c:v>-0.39077277531745391</c:v>
                </c:pt>
                <c:pt idx="1">
                  <c:v>-6.6616576431762367</c:v>
                </c:pt>
                <c:pt idx="2">
                  <c:v>-82.134497785356317</c:v>
                </c:pt>
                <c:pt idx="3">
                  <c:v>-889.54816074724783</c:v>
                </c:pt>
                <c:pt idx="4">
                  <c:v>-8987.3810736533796</c:v>
                </c:pt>
                <c:pt idx="5">
                  <c:v>-86954.015035141405</c:v>
                </c:pt>
                <c:pt idx="6">
                  <c:v>-816764.85288700101</c:v>
                </c:pt>
                <c:pt idx="7">
                  <c:v>-7508719.3544728272</c:v>
                </c:pt>
                <c:pt idx="8">
                  <c:v>-67910841.931439593</c:v>
                </c:pt>
                <c:pt idx="9">
                  <c:v>-606369479.19435906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053296"/>
        <c:axId val="-1933050272"/>
      </c:lineChart>
      <c:catAx>
        <c:axId val="-19330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050272"/>
        <c:crosses val="autoZero"/>
        <c:auto val="1"/>
        <c:lblAlgn val="ctr"/>
        <c:lblOffset val="100"/>
        <c:noMultiLvlLbl val="0"/>
      </c:catAx>
      <c:valAx>
        <c:axId val="-1933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0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'2x9'!$U$6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'2x9'!$U$7:$U$16</c:f>
              <c:numCache>
                <c:formatCode>General</c:formatCode>
                <c:ptCount val="10"/>
                <c:pt idx="0">
                  <c:v>-0.32256403400269473</c:v>
                </c:pt>
                <c:pt idx="1">
                  <c:v>-6.1257841314431536</c:v>
                </c:pt>
                <c:pt idx="2">
                  <c:v>-84.429666620502488</c:v>
                </c:pt>
                <c:pt idx="3">
                  <c:v>-1023.6011924573847</c:v>
                </c:pt>
                <c:pt idx="4">
                  <c:v>-11583.936413861391</c:v>
                </c:pt>
                <c:pt idx="5">
                  <c:v>-125577.8371417006</c:v>
                </c:pt>
                <c:pt idx="6">
                  <c:v>-1321907.7423882377</c:v>
                </c:pt>
                <c:pt idx="7">
                  <c:v>-13620781.704985429</c:v>
                </c:pt>
                <c:pt idx="8">
                  <c:v>-138083765.56909305</c:v>
                </c:pt>
                <c:pt idx="9">
                  <c:v>-1382082460.1093686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976928"/>
        <c:axId val="-1932973904"/>
      </c:lineChart>
      <c:catAx>
        <c:axId val="-19329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973904"/>
        <c:crosses val="autoZero"/>
        <c:auto val="1"/>
        <c:lblAlgn val="ctr"/>
        <c:lblOffset val="100"/>
        <c:noMultiLvlLbl val="0"/>
      </c:catAx>
      <c:valAx>
        <c:axId val="-19329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9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Analysis!$R$23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Analysis!$R$24:$R$33</c:f>
              <c:numCache>
                <c:formatCode>_(* #,##0.0000_);_(* \(#,##0.0000\);_(* "-"??_);_(@_)</c:formatCode>
                <c:ptCount val="10"/>
                <c:pt idx="0">
                  <c:v>-0.53946179783308501</c:v>
                </c:pt>
                <c:pt idx="1">
                  <c:v>-0.32141080823318502</c:v>
                </c:pt>
                <c:pt idx="2">
                  <c:v>-0.19964472510748005</c:v>
                </c:pt>
                <c:pt idx="3">
                  <c:v>-0.12533352414812982</c:v>
                </c:pt>
                <c:pt idx="4">
                  <c:v>-7.7503050514695249E-2</c:v>
                </c:pt>
                <c:pt idx="5">
                  <c:v>-4.5654037026480077E-2</c:v>
                </c:pt>
                <c:pt idx="6">
                  <c:v>-2.3964664495461085E-2</c:v>
                </c:pt>
                <c:pt idx="7">
                  <c:v>-8.9671075450314941E-3</c:v>
                </c:pt>
                <c:pt idx="8">
                  <c:v>1.5129227933297074E-3</c:v>
                </c:pt>
                <c:pt idx="9">
                  <c:v>8.8901281862445725E-3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Analysis!$S$23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Analysis!$S$24:$S$33</c:f>
              <c:numCache>
                <c:formatCode>General</c:formatCode>
                <c:ptCount val="10"/>
                <c:pt idx="0">
                  <c:v>1.030723764588475</c:v>
                </c:pt>
                <c:pt idx="1">
                  <c:v>2.1429080422930911</c:v>
                </c:pt>
                <c:pt idx="2">
                  <c:v>3.3306358776503369</c:v>
                </c:pt>
                <c:pt idx="3">
                  <c:v>4.5870310166292301</c:v>
                </c:pt>
                <c:pt idx="4">
                  <c:v>5.9046688102684053</c:v>
                </c:pt>
                <c:pt idx="5">
                  <c:v>7.2759620666235536</c:v>
                </c:pt>
                <c:pt idx="6">
                  <c:v>8.6934902122677666</c:v>
                </c:pt>
                <c:pt idx="7">
                  <c:v>10.150253809320054</c:v>
                </c:pt>
                <c:pt idx="8">
                  <c:v>11.639849465299823</c:v>
                </c:pt>
                <c:pt idx="9">
                  <c:v>13.156570329011167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Analysis!$T$23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Analysis!$T$24:$T$33</c:f>
              <c:numCache>
                <c:formatCode>General</c:formatCode>
                <c:ptCount val="10"/>
                <c:pt idx="0">
                  <c:v>-1.0910607878176162</c:v>
                </c:pt>
                <c:pt idx="1">
                  <c:v>-2.2683506650091529</c:v>
                </c:pt>
                <c:pt idx="2">
                  <c:v>-3.5256063064129202</c:v>
                </c:pt>
                <c:pt idx="3">
                  <c:v>-4.8555489324004357</c:v>
                </c:pt>
                <c:pt idx="4">
                  <c:v>-6.2503192661961311</c:v>
                </c:pt>
                <c:pt idx="5">
                  <c:v>-7.7018859730190687</c:v>
                </c:pt>
                <c:pt idx="6">
                  <c:v>-9.2023940902038088</c:v>
                </c:pt>
                <c:pt idx="7">
                  <c:v>-10.744434443274043</c:v>
                </c:pt>
                <c:pt idx="8">
                  <c:v>-12.32122879475761</c:v>
                </c:pt>
                <c:pt idx="9">
                  <c:v>-13.926736222949119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Analysis!$U$23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Analysis!$U$24:$U$33</c:f>
              <c:numCache>
                <c:formatCode>_(* #,##0.0000_);_(* \(#,##0.0000\);_(* "-"??_);_(@_)</c:formatCode>
                <c:ptCount val="10"/>
                <c:pt idx="0">
                  <c:v>-6.033702322914114E-2</c:v>
                </c:pt>
                <c:pt idx="1">
                  <c:v>-0.12544262271606188</c:v>
                </c:pt>
                <c:pt idx="2">
                  <c:v>-0.1949704287625833</c:v>
                </c:pt>
                <c:pt idx="3">
                  <c:v>-0.26851791577120565</c:v>
                </c:pt>
                <c:pt idx="4">
                  <c:v>-0.34565045592772581</c:v>
                </c:pt>
                <c:pt idx="5">
                  <c:v>-0.42592390639551514</c:v>
                </c:pt>
                <c:pt idx="6">
                  <c:v>-0.50890387793604219</c:v>
                </c:pt>
                <c:pt idx="7">
                  <c:v>-0.59418063395398946</c:v>
                </c:pt>
                <c:pt idx="8">
                  <c:v>-0.68137932945778701</c:v>
                </c:pt>
                <c:pt idx="9">
                  <c:v>-0.77016589393795165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900160"/>
        <c:axId val="-1985896816"/>
      </c:lineChart>
      <c:catAx>
        <c:axId val="-198590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96816"/>
        <c:crosses val="autoZero"/>
        <c:auto val="1"/>
        <c:lblAlgn val="ctr"/>
        <c:lblOffset val="100"/>
        <c:noMultiLvlLbl val="0"/>
      </c:catAx>
      <c:valAx>
        <c:axId val="-19858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'2x10'!$U$6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'2x10'!$U$7:$U$16</c:f>
              <c:numCache>
                <c:formatCode>General</c:formatCode>
                <c:ptCount val="10"/>
                <c:pt idx="0">
                  <c:v>-0.26469591349183386</c:v>
                </c:pt>
                <c:pt idx="1">
                  <c:v>-5.5427872624287309</c:v>
                </c:pt>
                <c:pt idx="2">
                  <c:v>-84.476778698426045</c:v>
                </c:pt>
                <c:pt idx="3">
                  <c:v>-1133.7653807261988</c:v>
                </c:pt>
                <c:pt idx="4">
                  <c:v>-14210.32186010457</c:v>
                </c:pt>
                <c:pt idx="5">
                  <c:v>-170654.48205340863</c:v>
                </c:pt>
                <c:pt idx="6">
                  <c:v>-1990301.5955877325</c:v>
                </c:pt>
                <c:pt idx="7">
                  <c:v>-22723030.913530651</c:v>
                </c:pt>
                <c:pt idx="8">
                  <c:v>-255255021.4263671</c:v>
                </c:pt>
                <c:pt idx="9">
                  <c:v>-2831044002.5501008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389504"/>
        <c:axId val="-1935929568"/>
      </c:lineChart>
      <c:catAx>
        <c:axId val="-19853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29568"/>
        <c:crosses val="autoZero"/>
        <c:auto val="1"/>
        <c:lblAlgn val="ctr"/>
        <c:lblOffset val="100"/>
        <c:noMultiLvlLbl val="0"/>
      </c:catAx>
      <c:valAx>
        <c:axId val="-19359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'3x4'!$U$6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'3x4'!$U$7:$U$16</c:f>
              <c:numCache>
                <c:formatCode>General</c:formatCode>
                <c:ptCount val="10"/>
                <c:pt idx="0">
                  <c:v>-2.7912533943912736</c:v>
                </c:pt>
                <c:pt idx="1">
                  <c:v>-26.817078127062754</c:v>
                </c:pt>
                <c:pt idx="2">
                  <c:v>-179.27684656403062</c:v>
                </c:pt>
                <c:pt idx="3">
                  <c:v>-1027.4026276760885</c:v>
                </c:pt>
                <c:pt idx="4">
                  <c:v>-5404.0719364228617</c:v>
                </c:pt>
                <c:pt idx="5">
                  <c:v>-26917.608781026644</c:v>
                </c:pt>
                <c:pt idx="6">
                  <c:v>-129150.48523527227</c:v>
                </c:pt>
                <c:pt idx="7">
                  <c:v>-603111.13309487491</c:v>
                </c:pt>
                <c:pt idx="8">
                  <c:v>-2759704.7648289176</c:v>
                </c:pt>
                <c:pt idx="9">
                  <c:v>-12430336.977322426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6-E343-B621-93D8E8709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556384"/>
        <c:axId val="-1985155968"/>
      </c:lineChart>
      <c:catAx>
        <c:axId val="-19855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55968"/>
        <c:crosses val="autoZero"/>
        <c:auto val="1"/>
        <c:lblAlgn val="ctr"/>
        <c:lblOffset val="100"/>
        <c:noMultiLvlLbl val="0"/>
      </c:catAx>
      <c:valAx>
        <c:axId val="-19851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5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'3x5'!$U$6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'3x5'!$U$7:$U$16</c:f>
              <c:numCache>
                <c:formatCode>General</c:formatCode>
                <c:ptCount val="10"/>
                <c:pt idx="0">
                  <c:v>-3.2310393152575481</c:v>
                </c:pt>
                <c:pt idx="1">
                  <c:v>-37.916491825751777</c:v>
                </c:pt>
                <c:pt idx="2">
                  <c:v>-313.16592513545686</c:v>
                </c:pt>
                <c:pt idx="3">
                  <c:v>-2231.0473554644827</c:v>
                </c:pt>
                <c:pt idx="4">
                  <c:v>-14636.040694842855</c:v>
                </c:pt>
                <c:pt idx="5">
                  <c:v>-91073.807353791053</c:v>
                </c:pt>
                <c:pt idx="6">
                  <c:v>-546323.87815186719</c:v>
                </c:pt>
                <c:pt idx="7">
                  <c:v>-3190745.3382729921</c:v>
                </c:pt>
                <c:pt idx="8">
                  <c:v>-18261710.255075719</c:v>
                </c:pt>
                <c:pt idx="9">
                  <c:v>-102882684.60384418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6-48B2-A1FA-8D12D664B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479808"/>
        <c:axId val="-1985476784"/>
      </c:lineChart>
      <c:catAx>
        <c:axId val="-19854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476784"/>
        <c:crosses val="autoZero"/>
        <c:auto val="1"/>
        <c:lblAlgn val="ctr"/>
        <c:lblOffset val="100"/>
        <c:noMultiLvlLbl val="0"/>
      </c:catAx>
      <c:valAx>
        <c:axId val="-19854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4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'3x6'!$U$6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'3x6'!$U$7:$U$16</c:f>
              <c:numCache>
                <c:formatCode>General</c:formatCode>
                <c:ptCount val="10"/>
                <c:pt idx="0">
                  <c:v>-3.675687754442297</c:v>
                </c:pt>
                <c:pt idx="1">
                  <c:v>-50.922050194874132</c:v>
                </c:pt>
                <c:pt idx="2">
                  <c:v>-500.67829823118711</c:v>
                </c:pt>
                <c:pt idx="3">
                  <c:v>-4264.5679081534336</c:v>
                </c:pt>
                <c:pt idx="4">
                  <c:v>-33524.24817271049</c:v>
                </c:pt>
                <c:pt idx="5">
                  <c:v>-250272.47256551008</c:v>
                </c:pt>
                <c:pt idx="6">
                  <c:v>-1802221.5768886311</c:v>
                </c:pt>
                <c:pt idx="7">
                  <c:v>-12638590.13676377</c:v>
                </c:pt>
                <c:pt idx="8">
                  <c:v>-86861891.805218816</c:v>
                </c:pt>
                <c:pt idx="9">
                  <c:v>-587632241.32789993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5-4536-BE92-0DAB3951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075952"/>
        <c:axId val="-1936072928"/>
      </c:lineChart>
      <c:catAx>
        <c:axId val="-19360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72928"/>
        <c:crosses val="autoZero"/>
        <c:auto val="1"/>
        <c:lblAlgn val="ctr"/>
        <c:lblOffset val="100"/>
        <c:noMultiLvlLbl val="0"/>
      </c:catAx>
      <c:valAx>
        <c:axId val="-19360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'3x7'!$U$6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'3x7'!$U$7:$U$16</c:f>
              <c:numCache>
                <c:formatCode>General</c:formatCode>
                <c:ptCount val="10"/>
                <c:pt idx="0">
                  <c:v>-4.1368716463621862</c:v>
                </c:pt>
                <c:pt idx="1">
                  <c:v>-66.059389941514965</c:v>
                </c:pt>
                <c:pt idx="2">
                  <c:v>-753.37129978445682</c:v>
                </c:pt>
                <c:pt idx="3">
                  <c:v>-7466.1501757121041</c:v>
                </c:pt>
                <c:pt idx="4">
                  <c:v>-68400.913530506296</c:v>
                </c:pt>
                <c:pt idx="5">
                  <c:v>-595633.20604321256</c:v>
                </c:pt>
                <c:pt idx="6">
                  <c:v>-5005365.1801047651</c:v>
                </c:pt>
                <c:pt idx="7">
                  <c:v>-40971460.330377862</c:v>
                </c:pt>
                <c:pt idx="8">
                  <c:v>-328701018.25762385</c:v>
                </c:pt>
                <c:pt idx="9">
                  <c:v>-2595779555.1348262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B-4F91-A004-6AB09417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5999136"/>
        <c:axId val="-1935996112"/>
      </c:lineChart>
      <c:catAx>
        <c:axId val="-19359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96112"/>
        <c:crosses val="autoZero"/>
        <c:auto val="1"/>
        <c:lblAlgn val="ctr"/>
        <c:lblOffset val="100"/>
        <c:noMultiLvlLbl val="0"/>
      </c:catAx>
      <c:valAx>
        <c:axId val="-19359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'3x8'!$U$6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'3x8'!$U$7:$U$16</c:f>
              <c:numCache>
                <c:formatCode>General</c:formatCode>
                <c:ptCount val="10"/>
                <c:pt idx="0">
                  <c:v>-4.6194441632662091</c:v>
                </c:pt>
                <c:pt idx="1">
                  <c:v>-83.529274366201051</c:v>
                </c:pt>
                <c:pt idx="2">
                  <c:v>-1083.9412487182065</c:v>
                </c:pt>
                <c:pt idx="3">
                  <c:v>-12251.336091501464</c:v>
                </c:pt>
                <c:pt idx="4">
                  <c:v>-128162.27929120224</c:v>
                </c:pt>
                <c:pt idx="5">
                  <c:v>-1275192.6029208847</c:v>
                </c:pt>
                <c:pt idx="6">
                  <c:v>-12248624.513099158</c:v>
                </c:pt>
                <c:pt idx="7">
                  <c:v>-114621605.55626735</c:v>
                </c:pt>
                <c:pt idx="8">
                  <c:v>-1051363128.7688334</c:v>
                </c:pt>
                <c:pt idx="9">
                  <c:v>-9492776992.537117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F-4969-9C31-BD0E9832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388176"/>
        <c:axId val="-1985314560"/>
      </c:lineChart>
      <c:catAx>
        <c:axId val="-198538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14560"/>
        <c:crosses val="autoZero"/>
        <c:auto val="1"/>
        <c:lblAlgn val="ctr"/>
        <c:lblOffset val="100"/>
        <c:noMultiLvlLbl val="0"/>
      </c:catAx>
      <c:valAx>
        <c:axId val="-19853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'3x9'!$U$6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'3x9'!$U$7:$U$16</c:f>
              <c:numCache>
                <c:formatCode>General</c:formatCode>
                <c:ptCount val="10"/>
                <c:pt idx="0">
                  <c:v>-5.1244559659732136</c:v>
                </c:pt>
                <c:pt idx="1">
                  <c:v>-103.49528494406357</c:v>
                </c:pt>
                <c:pt idx="2">
                  <c:v>-1505.8342974862501</c:v>
                </c:pt>
                <c:pt idx="3">
                  <c:v>-19116.108751895852</c:v>
                </c:pt>
                <c:pt idx="4">
                  <c:v>-224807.73178675777</c:v>
                </c:pt>
                <c:pt idx="5">
                  <c:v>-2515819.7768357689</c:v>
                </c:pt>
                <c:pt idx="6">
                  <c:v>-27187295.783271436</c:v>
                </c:pt>
                <c:pt idx="7">
                  <c:v>-286276182.52508312</c:v>
                </c:pt>
                <c:pt idx="8">
                  <c:v>-2954894235.5599427</c:v>
                </c:pt>
                <c:pt idx="9">
                  <c:v>-30023606735.8223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6-4C82-88E2-BE300815D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48272"/>
        <c:axId val="-1985145248"/>
      </c:lineChart>
      <c:catAx>
        <c:axId val="-19851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45248"/>
        <c:crosses val="autoZero"/>
        <c:auto val="1"/>
        <c:lblAlgn val="ctr"/>
        <c:lblOffset val="100"/>
        <c:noMultiLvlLbl val="0"/>
      </c:catAx>
      <c:valAx>
        <c:axId val="-19851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'3x10'!$U$6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'3x10'!$U$7:$U$16</c:f>
              <c:numCache>
                <c:formatCode>General</c:formatCode>
                <c:ptCount val="10"/>
                <c:pt idx="0">
                  <c:v>-5.6508809219950296</c:v>
                </c:pt>
                <c:pt idx="1">
                  <c:v>-126.08203701558193</c:v>
                </c:pt>
                <c:pt idx="2">
                  <c:v>-2032.9142076220378</c:v>
                </c:pt>
                <c:pt idx="3">
                  <c:v>-28637.456887881133</c:v>
                </c:pt>
                <c:pt idx="4">
                  <c:v>-373969.87439431937</c:v>
                </c:pt>
                <c:pt idx="5">
                  <c:v>-4649027.8032740932</c:v>
                </c:pt>
                <c:pt idx="6">
                  <c:v>-55821506.265364811</c:v>
                </c:pt>
                <c:pt idx="7">
                  <c:v>-653170643.06551015</c:v>
                </c:pt>
                <c:pt idx="8">
                  <c:v>-7492313724.7560654</c:v>
                </c:pt>
                <c:pt idx="9">
                  <c:v>-84601908329.521667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2-42CD-8E23-47038D1C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'4x4'!$U$6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'4x4'!$U$7:$U$16</c:f>
              <c:numCache>
                <c:formatCode>General</c:formatCode>
                <c:ptCount val="10"/>
                <c:pt idx="0">
                  <c:v>-4.8863855706316528</c:v>
                </c:pt>
                <c:pt idx="1">
                  <c:v>-109.73040284093292</c:v>
                </c:pt>
                <c:pt idx="2">
                  <c:v>-1753.0653958102507</c:v>
                </c:pt>
                <c:pt idx="3">
                  <c:v>-24280.808047597558</c:v>
                </c:pt>
                <c:pt idx="4">
                  <c:v>-311038.66791440221</c:v>
                </c:pt>
                <c:pt idx="5">
                  <c:v>-3795254.9030130617</c:v>
                </c:pt>
                <c:pt idx="6">
                  <c:v>-44809746.794436216</c:v>
                </c:pt>
                <c:pt idx="7">
                  <c:v>-516696623.77244216</c:v>
                </c:pt>
                <c:pt idx="8">
                  <c:v>-5853042016.7703667</c:v>
                </c:pt>
                <c:pt idx="9">
                  <c:v>-65391433258.06958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1-C347-9EA6-F9A0D5BA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'4x5'!$U$6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'4x5'!$U$7:$U$16</c:f>
              <c:numCache>
                <c:formatCode>General</c:formatCode>
                <c:ptCount val="10"/>
                <c:pt idx="0">
                  <c:v>-5.90079810670081</c:v>
                </c:pt>
                <c:pt idx="1">
                  <c:v>-132.76252570511042</c:v>
                </c:pt>
                <c:pt idx="2">
                  <c:v>-2127.309451514534</c:v>
                </c:pt>
                <c:pt idx="3">
                  <c:v>-29548.147916222304</c:v>
                </c:pt>
                <c:pt idx="4">
                  <c:v>-379390.97467857116</c:v>
                </c:pt>
                <c:pt idx="5">
                  <c:v>-4637491.9893853692</c:v>
                </c:pt>
                <c:pt idx="6">
                  <c:v>-54827176.179530129</c:v>
                </c:pt>
                <c:pt idx="7">
                  <c:v>-632852126.16140103</c:v>
                </c:pt>
                <c:pt idx="8">
                  <c:v>-7174522282.3566771</c:v>
                </c:pt>
                <c:pt idx="9">
                  <c:v>-80205892283.164841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E-4144-8538-D1A3E4F0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Analysis!$R$23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Analysis!$R$24:$R$33</c:f>
              <c:numCache>
                <c:formatCode>_(* #,##0.0000_);_(* \(#,##0.0000\);_(* "-"??_);_(@_)</c:formatCode>
                <c:ptCount val="10"/>
                <c:pt idx="0">
                  <c:v>-0.53946179783308501</c:v>
                </c:pt>
                <c:pt idx="1">
                  <c:v>-0.32141080823318502</c:v>
                </c:pt>
                <c:pt idx="2">
                  <c:v>-0.19964472510748005</c:v>
                </c:pt>
                <c:pt idx="3">
                  <c:v>-0.12533352414812982</c:v>
                </c:pt>
                <c:pt idx="4">
                  <c:v>-7.7503050514695249E-2</c:v>
                </c:pt>
                <c:pt idx="5">
                  <c:v>-4.5654037026480077E-2</c:v>
                </c:pt>
                <c:pt idx="6">
                  <c:v>-2.3964664495461085E-2</c:v>
                </c:pt>
                <c:pt idx="7">
                  <c:v>-8.9671075450314941E-3</c:v>
                </c:pt>
                <c:pt idx="8">
                  <c:v>1.5129227933297074E-3</c:v>
                </c:pt>
                <c:pt idx="9">
                  <c:v>8.8901281862445725E-3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Analysis!$S$23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Analysis!$S$24:$S$33</c:f>
              <c:numCache>
                <c:formatCode>General</c:formatCode>
                <c:ptCount val="10"/>
                <c:pt idx="0">
                  <c:v>1.030723764588475</c:v>
                </c:pt>
                <c:pt idx="1">
                  <c:v>2.1429080422930911</c:v>
                </c:pt>
                <c:pt idx="2">
                  <c:v>3.3306358776503369</c:v>
                </c:pt>
                <c:pt idx="3">
                  <c:v>4.5870310166292301</c:v>
                </c:pt>
                <c:pt idx="4">
                  <c:v>5.9046688102684053</c:v>
                </c:pt>
                <c:pt idx="5">
                  <c:v>7.2759620666235536</c:v>
                </c:pt>
                <c:pt idx="6">
                  <c:v>8.6934902122677666</c:v>
                </c:pt>
                <c:pt idx="7">
                  <c:v>10.150253809320054</c:v>
                </c:pt>
                <c:pt idx="8">
                  <c:v>11.639849465299823</c:v>
                </c:pt>
                <c:pt idx="9">
                  <c:v>13.156570329011167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Analysis!$T$23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Analysis!$T$24:$T$33</c:f>
              <c:numCache>
                <c:formatCode>General</c:formatCode>
                <c:ptCount val="10"/>
                <c:pt idx="0">
                  <c:v>-1.0910607878176162</c:v>
                </c:pt>
                <c:pt idx="1">
                  <c:v>-2.2683506650091529</c:v>
                </c:pt>
                <c:pt idx="2">
                  <c:v>-3.5256063064129202</c:v>
                </c:pt>
                <c:pt idx="3">
                  <c:v>-4.8555489324004357</c:v>
                </c:pt>
                <c:pt idx="4">
                  <c:v>-6.2503192661961311</c:v>
                </c:pt>
                <c:pt idx="5">
                  <c:v>-7.7018859730190687</c:v>
                </c:pt>
                <c:pt idx="6">
                  <c:v>-9.2023940902038088</c:v>
                </c:pt>
                <c:pt idx="7">
                  <c:v>-10.744434443274043</c:v>
                </c:pt>
                <c:pt idx="8">
                  <c:v>-12.32122879475761</c:v>
                </c:pt>
                <c:pt idx="9">
                  <c:v>-13.926736222949119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Analysis!$U$23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Analysis!$U$24:$U$33</c:f>
              <c:numCache>
                <c:formatCode>_(* #,##0.0000_);_(* \(#,##0.0000\);_(* "-"??_);_(@_)</c:formatCode>
                <c:ptCount val="10"/>
                <c:pt idx="0">
                  <c:v>-6.033702322914114E-2</c:v>
                </c:pt>
                <c:pt idx="1">
                  <c:v>-0.12544262271606188</c:v>
                </c:pt>
                <c:pt idx="2">
                  <c:v>-0.1949704287625833</c:v>
                </c:pt>
                <c:pt idx="3">
                  <c:v>-0.26851791577120565</c:v>
                </c:pt>
                <c:pt idx="4">
                  <c:v>-0.34565045592772581</c:v>
                </c:pt>
                <c:pt idx="5">
                  <c:v>-0.42592390639551514</c:v>
                </c:pt>
                <c:pt idx="6">
                  <c:v>-0.50890387793604219</c:v>
                </c:pt>
                <c:pt idx="7">
                  <c:v>-0.59418063395398946</c:v>
                </c:pt>
                <c:pt idx="8">
                  <c:v>-0.68137932945778701</c:v>
                </c:pt>
                <c:pt idx="9">
                  <c:v>-0.77016589393795165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849824"/>
        <c:axId val="-1985846480"/>
      </c:lineChart>
      <c:catAx>
        <c:axId val="-198584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46480"/>
        <c:crosses val="autoZero"/>
        <c:auto val="1"/>
        <c:lblAlgn val="ctr"/>
        <c:lblOffset val="100"/>
        <c:noMultiLvlLbl val="0"/>
      </c:catAx>
      <c:valAx>
        <c:axId val="-19858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'4x6'!$U$6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'4x6'!$U$7:$U$16</c:f>
              <c:numCache>
                <c:formatCode>General</c:formatCode>
                <c:ptCount val="10"/>
                <c:pt idx="0">
                  <c:v>-6.9299044546506572</c:v>
                </c:pt>
                <c:pt idx="1">
                  <c:v>-156.06776481780997</c:v>
                </c:pt>
                <c:pt idx="2">
                  <c:v>-2505.3990353139084</c:v>
                </c:pt>
                <c:pt idx="3">
                  <c:v>-34867.238150118465</c:v>
                </c:pt>
                <c:pt idx="4">
                  <c:v>-448429.00448457088</c:v>
                </c:pt>
                <c:pt idx="5">
                  <c:v>-5488562.4988979241</c:v>
                </c:pt>
                <c:pt idx="6">
                  <c:v>-64954551.142622694</c:v>
                </c:pt>
                <c:pt idx="7">
                  <c:v>-750333089.9172976</c:v>
                </c:pt>
                <c:pt idx="8">
                  <c:v>-8511564816.6289816</c:v>
                </c:pt>
                <c:pt idx="9">
                  <c:v>-95199263208.266342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4-4E41-A1E7-1256B3C7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'4x7'!$U$6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'4x7'!$U$7:$U$16</c:f>
              <c:numCache>
                <c:formatCode>General</c:formatCode>
                <c:ptCount val="10"/>
                <c:pt idx="0">
                  <c:v>-7.9843940829671478</c:v>
                </c:pt>
                <c:pt idx="1">
                  <c:v>-179.90694284590003</c:v>
                </c:pt>
                <c:pt idx="2">
                  <c:v>-2891.5619124963896</c:v>
                </c:pt>
                <c:pt idx="3">
                  <c:v>-40294.838325992685</c:v>
                </c:pt>
                <c:pt idx="4">
                  <c:v>-518844.43270086712</c:v>
                </c:pt>
                <c:pt idx="5">
                  <c:v>-6356480.6554949498</c:v>
                </c:pt>
                <c:pt idx="6">
                  <c:v>-75282228.974311143</c:v>
                </c:pt>
                <c:pt idx="7">
                  <c:v>-870141847.49979329</c:v>
                </c:pt>
                <c:pt idx="8">
                  <c:v>-9875167295.4681911</c:v>
                </c:pt>
                <c:pt idx="9">
                  <c:v>-110491220682.20982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8-184C-8865-AEE66559C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'4x8'!$U$6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'4x8'!$U$7:$U$16</c:f>
              <c:numCache>
                <c:formatCode>General</c:formatCode>
                <c:ptCount val="10"/>
                <c:pt idx="0">
                  <c:v>-9.0679775375215605</c:v>
                </c:pt>
                <c:pt idx="1">
                  <c:v>-204.37792628435062</c:v>
                </c:pt>
                <c:pt idx="2">
                  <c:v>-3287.4675448230178</c:v>
                </c:pt>
                <c:pt idx="3">
                  <c:v>-45853.911604200301</c:v>
                </c:pt>
                <c:pt idx="4">
                  <c:v>-590918.2673819107</c:v>
                </c:pt>
                <c:pt idx="5">
                  <c:v>-7244476.3540622965</c:v>
                </c:pt>
                <c:pt idx="6">
                  <c:v>-85846123.76889956</c:v>
                </c:pt>
                <c:pt idx="7">
                  <c:v>-992670637.51310313</c:v>
                </c:pt>
                <c:pt idx="8">
                  <c:v>-11269568816.947903</c:v>
                </c:pt>
                <c:pt idx="9">
                  <c:v>-126127261633.89859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8-5546-9734-F1DB0791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'4x9'!$U$6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'4x9'!$U$7:$U$16</c:f>
              <c:numCache>
                <c:formatCode>General</c:formatCode>
                <c:ptCount val="10"/>
                <c:pt idx="0">
                  <c:v>-10.180499656778693</c:v>
                </c:pt>
                <c:pt idx="1">
                  <c:v>-229.48644846935588</c:v>
                </c:pt>
                <c:pt idx="2">
                  <c:v>-3693.3001762334475</c:v>
                </c:pt>
                <c:pt idx="3">
                  <c:v>-51547.373532920305</c:v>
                </c:pt>
                <c:pt idx="4">
                  <c:v>-664684.71796816878</c:v>
                </c:pt>
                <c:pt idx="5">
                  <c:v>-8152887.2123593492</c:v>
                </c:pt>
                <c:pt idx="6">
                  <c:v>-96649184.713565975</c:v>
                </c:pt>
                <c:pt idx="7">
                  <c:v>-1117942466.3527315</c:v>
                </c:pt>
                <c:pt idx="8">
                  <c:v>-12694923162.012032</c:v>
                </c:pt>
                <c:pt idx="9">
                  <c:v>-142108106750.57208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D-8C4F-A8D7-9A508093E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'4x10'!$U$6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'4x10'!$U$7:$U$16</c:f>
              <c:numCache>
                <c:formatCode>General</c:formatCode>
                <c:ptCount val="10"/>
                <c:pt idx="0">
                  <c:v>-11.319773884521862</c:v>
                </c:pt>
                <c:pt idx="1">
                  <c:v>-255.18897038245285</c:v>
                </c:pt>
                <c:pt idx="2">
                  <c:v>-4108.4336469228419</c:v>
                </c:pt>
                <c:pt idx="3">
                  <c:v>-57367.027402752821</c:v>
                </c:pt>
                <c:pt idx="4">
                  <c:v>-740039.93374650879</c:v>
                </c:pt>
                <c:pt idx="5">
                  <c:v>-9080426.9957344774</c:v>
                </c:pt>
                <c:pt idx="6">
                  <c:v>-107675850.3941121</c:v>
                </c:pt>
                <c:pt idx="7">
                  <c:v>-1245773337.2149343</c:v>
                </c:pt>
                <c:pt idx="8">
                  <c:v>-14149098829.388905</c:v>
                </c:pt>
                <c:pt idx="9">
                  <c:v>-158409486539.39594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9-A248-A885-3AD9B5ED6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'1x2'!$E$20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'1x2'!$E$21:$E$30</c:f>
              <c:numCache>
                <c:formatCode>General</c:formatCode>
                <c:ptCount val="10"/>
                <c:pt idx="0">
                  <c:v>19.380224308650003</c:v>
                </c:pt>
                <c:pt idx="1">
                  <c:v>12.883072963545962</c:v>
                </c:pt>
                <c:pt idx="2">
                  <c:v>21.767119723802981</c:v>
                </c:pt>
                <c:pt idx="3">
                  <c:v>40.178293258402711</c:v>
                </c:pt>
                <c:pt idx="4">
                  <c:v>76.233434167860011</c:v>
                </c:pt>
                <c:pt idx="5">
                  <c:v>146.69443697494555</c:v>
                </c:pt>
                <c:pt idx="6">
                  <c:v>284.90021126348978</c:v>
                </c:pt>
                <c:pt idx="7">
                  <c:v>557.03945483290022</c:v>
                </c:pt>
                <c:pt idx="8">
                  <c:v>1094.6504987585356</c:v>
                </c:pt>
                <c:pt idx="9">
                  <c:v>2159.4457632749582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173168"/>
        <c:axId val="-2139170176"/>
      </c:lineChart>
      <c:catAx>
        <c:axId val="-21391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170176"/>
        <c:crosses val="autoZero"/>
        <c:auto val="1"/>
        <c:lblAlgn val="ctr"/>
        <c:lblOffset val="100"/>
        <c:noMultiLvlLbl val="0"/>
      </c:catAx>
      <c:valAx>
        <c:axId val="-21391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1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'1x3'!$E$20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'1x3'!$E$21:$E$30</c:f>
              <c:numCache>
                <c:formatCode>General</c:formatCode>
                <c:ptCount val="10"/>
                <c:pt idx="0">
                  <c:v>13.030902752565376</c:v>
                </c:pt>
                <c:pt idx="1">
                  <c:v>19.613633686215511</c:v>
                </c:pt>
                <c:pt idx="2">
                  <c:v>49.782326653186303</c:v>
                </c:pt>
                <c:pt idx="3">
                  <c:v>137.44512181693045</c:v>
                </c:pt>
                <c:pt idx="4">
                  <c:v>393.02139053477481</c:v>
                </c:pt>
                <c:pt idx="5">
                  <c:v>1145.4717277930013</c:v>
                </c:pt>
                <c:pt idx="6">
                  <c:v>3376.1969869601139</c:v>
                </c:pt>
                <c:pt idx="7">
                  <c:v>10018.86754585537</c:v>
                </c:pt>
                <c:pt idx="8">
                  <c:v>29854.65611429391</c:v>
                </c:pt>
                <c:pt idx="9">
                  <c:v>89189.826431016205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1669328"/>
        <c:axId val="-1931666304"/>
      </c:lineChart>
      <c:catAx>
        <c:axId val="-19316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666304"/>
        <c:crosses val="autoZero"/>
        <c:auto val="1"/>
        <c:lblAlgn val="ctr"/>
        <c:lblOffset val="100"/>
        <c:noMultiLvlLbl val="0"/>
      </c:catAx>
      <c:valAx>
        <c:axId val="-19316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'1x4'!$E$20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'1x4'!$E$21:$E$30</c:f>
              <c:numCache>
                <c:formatCode>General</c:formatCode>
                <c:ptCount val="10"/>
                <c:pt idx="0">
                  <c:v>13.282157703260239</c:v>
                </c:pt>
                <c:pt idx="1">
                  <c:v>29.241240660485374</c:v>
                </c:pt>
                <c:pt idx="2">
                  <c:v>99.580524546258616</c:v>
                </c:pt>
                <c:pt idx="3">
                  <c:v>369.8249632467988</c:v>
                </c:pt>
                <c:pt idx="4">
                  <c:v>1424.3890284865449</c:v>
                </c:pt>
                <c:pt idx="5">
                  <c:v>5585.7610194436384</c:v>
                </c:pt>
                <c:pt idx="6">
                  <c:v>22109.754520011702</c:v>
                </c:pt>
                <c:pt idx="7">
                  <c:v>87945.93151270345</c:v>
                </c:pt>
                <c:pt idx="8">
                  <c:v>350734.11671241355</c:v>
                </c:pt>
                <c:pt idx="9">
                  <c:v>1400693.2300415332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501168"/>
        <c:axId val="-1932439824"/>
      </c:lineChart>
      <c:catAx>
        <c:axId val="-19325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439824"/>
        <c:crosses val="autoZero"/>
        <c:auto val="1"/>
        <c:lblAlgn val="ctr"/>
        <c:lblOffset val="100"/>
        <c:noMultiLvlLbl val="0"/>
      </c:catAx>
      <c:valAx>
        <c:axId val="-19324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5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'1x5'!$E$20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'1x5'!$E$21:$E$30</c:f>
              <c:numCache>
                <c:formatCode>General</c:formatCode>
                <c:ptCount val="10"/>
                <c:pt idx="0">
                  <c:v>14.516091898240006</c:v>
                </c:pt>
                <c:pt idx="1">
                  <c:v>41.413693033190086</c:v>
                </c:pt>
                <c:pt idx="2">
                  <c:v>177.3299355023631</c:v>
                </c:pt>
                <c:pt idx="3">
                  <c:v>829.4091820761123</c:v>
                </c:pt>
                <c:pt idx="4">
                  <c:v>4020.1010838636826</c:v>
                </c:pt>
                <c:pt idx="5">
                  <c:v>19804.569707334456</c:v>
                </c:pt>
                <c:pt idx="6">
                  <c:v>98317.396288256699</c:v>
                </c:pt>
                <c:pt idx="7">
                  <c:v>489886.70511016261</c:v>
                </c:pt>
                <c:pt idx="8">
                  <c:v>2445312.450884419</c:v>
                </c:pt>
                <c:pt idx="9">
                  <c:v>12216544.898902414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681792"/>
        <c:axId val="-1985261776"/>
      </c:lineChart>
      <c:catAx>
        <c:axId val="-19856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261776"/>
        <c:crosses val="autoZero"/>
        <c:auto val="1"/>
        <c:lblAlgn val="ctr"/>
        <c:lblOffset val="100"/>
        <c:noMultiLvlLbl val="0"/>
      </c:catAx>
      <c:valAx>
        <c:axId val="-19852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6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'1x6'!$E$20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'1x6'!$E$21:$E$30</c:f>
              <c:numCache>
                <c:formatCode>General</c:formatCode>
                <c:ptCount val="10"/>
                <c:pt idx="0">
                  <c:v>16.115662659428747</c:v>
                </c:pt>
                <c:pt idx="1">
                  <c:v>56.079559294460843</c:v>
                </c:pt>
                <c:pt idx="2">
                  <c:v>289.43253895704834</c:v>
                </c:pt>
                <c:pt idx="3">
                  <c:v>1633.1589858550701</c:v>
                </c:pt>
                <c:pt idx="4">
                  <c:v>9539.1649072222626</c:v>
                </c:pt>
                <c:pt idx="5">
                  <c:v>56550.333213805396</c:v>
                </c:pt>
                <c:pt idx="6">
                  <c:v>337458.82910440874</c:v>
                </c:pt>
                <c:pt idx="7">
                  <c:v>2019740.8386423788</c:v>
                </c:pt>
                <c:pt idx="8">
                  <c:v>12104749.707764093</c:v>
                </c:pt>
                <c:pt idx="9">
                  <c:v>72590990.386791617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061568"/>
        <c:axId val="-1985235936"/>
      </c:lineChart>
      <c:catAx>
        <c:axId val="-19850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235936"/>
        <c:crosses val="autoZero"/>
        <c:auto val="1"/>
        <c:lblAlgn val="ctr"/>
        <c:lblOffset val="100"/>
        <c:noMultiLvlLbl val="0"/>
      </c:catAx>
      <c:valAx>
        <c:axId val="-19852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'1x7'!$E$20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'1x7'!$E$21:$E$30</c:f>
              <c:numCache>
                <c:formatCode>General</c:formatCode>
                <c:ptCount val="10"/>
                <c:pt idx="0">
                  <c:v>17.909133338241897</c:v>
                </c:pt>
                <c:pt idx="1">
                  <c:v>73.238946698657955</c:v>
                </c:pt>
                <c:pt idx="2">
                  <c:v>442.36661763385865</c:v>
                </c:pt>
                <c:pt idx="3">
                  <c:v>2922.8534815563962</c:v>
                </c:pt>
                <c:pt idx="4">
                  <c:v>19971.28308901074</c:v>
                </c:pt>
                <c:pt idx="5">
                  <c:v>138356.86525716577</c:v>
                </c:pt>
                <c:pt idx="6">
                  <c:v>964152.93760938547</c:v>
                </c:pt>
                <c:pt idx="7">
                  <c:v>6735854.2208362604</c:v>
                </c:pt>
                <c:pt idx="8">
                  <c:v>47110605.98130627</c:v>
                </c:pt>
                <c:pt idx="9">
                  <c:v>329650665.74810421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013312"/>
        <c:axId val="-1985084080"/>
      </c:lineChart>
      <c:catAx>
        <c:axId val="-19850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84080"/>
        <c:crosses val="autoZero"/>
        <c:auto val="1"/>
        <c:lblAlgn val="ctr"/>
        <c:lblOffset val="100"/>
        <c:noMultiLvlLbl val="0"/>
      </c:catAx>
      <c:valAx>
        <c:axId val="-19850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403225</xdr:colOff>
      <xdr:row>4</xdr:row>
      <xdr:rowOff>180975</xdr:rowOff>
    </xdr:from>
    <xdr:to>
      <xdr:col>29</xdr:col>
      <xdr:colOff>171450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339725</xdr:colOff>
      <xdr:row>20</xdr:row>
      <xdr:rowOff>196850</xdr:rowOff>
    </xdr:from>
    <xdr:to>
      <xdr:col>28</xdr:col>
      <xdr:colOff>631825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187325</xdr:colOff>
      <xdr:row>36</xdr:row>
      <xdr:rowOff>63500</xdr:rowOff>
    </xdr:from>
    <xdr:to>
      <xdr:col>29</xdr:col>
      <xdr:colOff>479425</xdr:colOff>
      <xdr:row>47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16</xdr:row>
      <xdr:rowOff>47625</xdr:rowOff>
    </xdr:from>
    <xdr:to>
      <xdr:col>12</xdr:col>
      <xdr:colOff>171450</xdr:colOff>
      <xdr:row>30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19</xdr:row>
      <xdr:rowOff>34925</xdr:rowOff>
    </xdr:from>
    <xdr:to>
      <xdr:col>12</xdr:col>
      <xdr:colOff>187325</xdr:colOff>
      <xdr:row>33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</xdr:colOff>
      <xdr:row>18</xdr:row>
      <xdr:rowOff>123825</xdr:rowOff>
    </xdr:from>
    <xdr:to>
      <xdr:col>12</xdr:col>
      <xdr:colOff>212725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19</xdr:row>
      <xdr:rowOff>9525</xdr:rowOff>
    </xdr:from>
    <xdr:to>
      <xdr:col>12</xdr:col>
      <xdr:colOff>200025</xdr:colOff>
      <xdr:row>32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18</xdr:row>
      <xdr:rowOff>212725</xdr:rowOff>
    </xdr:from>
    <xdr:to>
      <xdr:col>12</xdr:col>
      <xdr:colOff>149225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136525</xdr:colOff>
      <xdr:row>18</xdr:row>
      <xdr:rowOff>200025</xdr:rowOff>
    </xdr:from>
    <xdr:to>
      <xdr:col>12</xdr:col>
      <xdr:colOff>288925</xdr:colOff>
      <xdr:row>32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19</xdr:row>
      <xdr:rowOff>22225</xdr:rowOff>
    </xdr:from>
    <xdr:to>
      <xdr:col>12</xdr:col>
      <xdr:colOff>187325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19</xdr:row>
      <xdr:rowOff>60325</xdr:rowOff>
    </xdr:from>
    <xdr:to>
      <xdr:col>12</xdr:col>
      <xdr:colOff>276225</xdr:colOff>
      <xdr:row>31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136525</xdr:colOff>
      <xdr:row>19</xdr:row>
      <xdr:rowOff>73025</xdr:rowOff>
    </xdr:from>
    <xdr:to>
      <xdr:col>12</xdr:col>
      <xdr:colOff>288925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136525</xdr:colOff>
      <xdr:row>19</xdr:row>
      <xdr:rowOff>85725</xdr:rowOff>
    </xdr:from>
    <xdr:to>
      <xdr:col>12</xdr:col>
      <xdr:colOff>288925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422275</xdr:colOff>
      <xdr:row>18</xdr:row>
      <xdr:rowOff>57150</xdr:rowOff>
    </xdr:from>
    <xdr:to>
      <xdr:col>12</xdr:col>
      <xdr:colOff>571500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</xdr:colOff>
      <xdr:row>19</xdr:row>
      <xdr:rowOff>73025</xdr:rowOff>
    </xdr:from>
    <xdr:to>
      <xdr:col>12</xdr:col>
      <xdr:colOff>212725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98425</xdr:colOff>
      <xdr:row>19</xdr:row>
      <xdr:rowOff>85725</xdr:rowOff>
    </xdr:from>
    <xdr:to>
      <xdr:col>12</xdr:col>
      <xdr:colOff>250825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19</xdr:row>
      <xdr:rowOff>22225</xdr:rowOff>
    </xdr:from>
    <xdr:to>
      <xdr:col>12</xdr:col>
      <xdr:colOff>200025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19</xdr:row>
      <xdr:rowOff>85725</xdr:rowOff>
    </xdr:from>
    <xdr:to>
      <xdr:col>12</xdr:col>
      <xdr:colOff>200025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19</xdr:row>
      <xdr:rowOff>47625</xdr:rowOff>
    </xdr:from>
    <xdr:to>
      <xdr:col>12</xdr:col>
      <xdr:colOff>149225</xdr:colOff>
      <xdr:row>31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E7FF7-B687-8541-B657-8E9F795F7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9D68E-FFEC-B841-998B-F5763A87F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8540C-3F12-C64F-ABC6-92C3DB5E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A0CE6-9544-0944-BE56-C64B4C0BC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19</xdr:row>
      <xdr:rowOff>57150</xdr:rowOff>
    </xdr:from>
    <xdr:to>
      <xdr:col>12</xdr:col>
      <xdr:colOff>127000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3C6FB-7E55-304E-9639-C7C997F1D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F22FF-4884-BB42-B54F-40B1F580F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5CD6F-7D81-4548-B549-CA8332187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16</xdr:row>
      <xdr:rowOff>152400</xdr:rowOff>
    </xdr:from>
    <xdr:to>
      <xdr:col>12</xdr:col>
      <xdr:colOff>180975</xdr:colOff>
      <xdr:row>30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18</xdr:row>
      <xdr:rowOff>161925</xdr:rowOff>
    </xdr:from>
    <xdr:to>
      <xdr:col>13</xdr:col>
      <xdr:colOff>180975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17</xdr:row>
      <xdr:rowOff>200025</xdr:rowOff>
    </xdr:from>
    <xdr:to>
      <xdr:col>12</xdr:col>
      <xdr:colOff>187325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19</xdr:row>
      <xdr:rowOff>9525</xdr:rowOff>
    </xdr:from>
    <xdr:to>
      <xdr:col>12</xdr:col>
      <xdr:colOff>466725</xdr:colOff>
      <xdr:row>32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98425</xdr:colOff>
      <xdr:row>16</xdr:row>
      <xdr:rowOff>190500</xdr:rowOff>
    </xdr:from>
    <xdr:to>
      <xdr:col>12</xdr:col>
      <xdr:colOff>247650</xdr:colOff>
      <xdr:row>30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18</xdr:row>
      <xdr:rowOff>111125</xdr:rowOff>
    </xdr:from>
    <xdr:to>
      <xdr:col>12</xdr:col>
      <xdr:colOff>209550</xdr:colOff>
      <xdr:row>32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4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7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8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0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2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14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5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1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7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18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9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0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21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22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2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24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25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26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27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28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29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1.bin"/><Relationship Id="rId4" Type="http://schemas.openxmlformats.org/officeDocument/2006/relationships/comments" Target="../comments3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2.bin"/><Relationship Id="rId4" Type="http://schemas.openxmlformats.org/officeDocument/2006/relationships/comments" Target="../comments3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42"/>
  <sheetViews>
    <sheetView tabSelected="1" zoomScale="80" zoomScaleNormal="80" zoomScalePageLayoutView="80" workbookViewId="0">
      <selection activeCell="B10" sqref="B10"/>
    </sheetView>
  </sheetViews>
  <sheetFormatPr baseColWidth="10" defaultColWidth="11" defaultRowHeight="16" x14ac:dyDescent="0.2"/>
  <cols>
    <col min="1" max="1" width="16.83203125" bestFit="1" customWidth="1"/>
    <col min="2" max="2" width="15.33203125" bestFit="1" customWidth="1"/>
    <col min="3" max="6" width="13.5" bestFit="1" customWidth="1"/>
    <col min="7" max="7" width="15.33203125" bestFit="1" customWidth="1"/>
    <col min="8" max="19" width="4.6640625" customWidth="1"/>
  </cols>
  <sheetData>
    <row r="1" spans="1:19" ht="25" thickBot="1" x14ac:dyDescent="0.35">
      <c r="A1" s="309" t="s">
        <v>120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1"/>
    </row>
    <row r="2" spans="1:19" ht="22" thickBot="1" x14ac:dyDescent="0.3">
      <c r="A2" s="316" t="s">
        <v>50</v>
      </c>
      <c r="B2" s="317"/>
      <c r="C2" s="317"/>
      <c r="D2" s="317"/>
      <c r="E2" s="317"/>
      <c r="F2" s="317"/>
      <c r="G2" s="317"/>
      <c r="I2" s="324" t="s">
        <v>23</v>
      </c>
      <c r="J2" s="324"/>
      <c r="K2" s="324"/>
      <c r="L2" s="324"/>
      <c r="M2" s="324"/>
      <c r="N2" s="324"/>
      <c r="O2" s="324"/>
      <c r="P2" s="324"/>
      <c r="Q2" s="324"/>
      <c r="R2" s="324"/>
      <c r="S2" s="324"/>
    </row>
    <row r="3" spans="1:19" ht="17" thickBot="1" x14ac:dyDescent="0.25">
      <c r="A3" s="112" t="s">
        <v>63</v>
      </c>
      <c r="B3" s="132" t="s">
        <v>61</v>
      </c>
      <c r="D3" s="123" t="s">
        <v>52</v>
      </c>
      <c r="E3" s="124" t="s">
        <v>61</v>
      </c>
      <c r="F3" s="138" t="s">
        <v>62</v>
      </c>
      <c r="G3" s="125" t="s">
        <v>85</v>
      </c>
      <c r="I3" s="48" t="s">
        <v>9</v>
      </c>
      <c r="J3" s="48" t="s">
        <v>22</v>
      </c>
      <c r="K3" s="48">
        <v>2</v>
      </c>
      <c r="L3" s="48">
        <v>3</v>
      </c>
      <c r="M3" s="48">
        <v>4</v>
      </c>
      <c r="N3" s="48">
        <v>5</v>
      </c>
      <c r="O3" s="48">
        <v>6</v>
      </c>
      <c r="P3" s="48">
        <v>7</v>
      </c>
      <c r="Q3" s="48">
        <v>8</v>
      </c>
      <c r="R3" s="48">
        <v>9</v>
      </c>
      <c r="S3" s="48">
        <v>10</v>
      </c>
    </row>
    <row r="4" spans="1:19" ht="17" thickBot="1" x14ac:dyDescent="0.25">
      <c r="A4" s="112" t="s">
        <v>121</v>
      </c>
      <c r="B4" s="133" t="s">
        <v>6</v>
      </c>
      <c r="D4" s="126" t="s">
        <v>52</v>
      </c>
      <c r="E4" s="122" t="s">
        <v>51</v>
      </c>
      <c r="F4" s="122" t="s">
        <v>6</v>
      </c>
      <c r="G4" s="127"/>
      <c r="I4" s="48" t="s">
        <v>20</v>
      </c>
      <c r="J4" s="49" t="str">
        <f>Summary!C3</f>
        <v>H</v>
      </c>
      <c r="K4" s="49" t="str">
        <f>Summary!D3</f>
        <v>H</v>
      </c>
      <c r="L4" s="49" t="str">
        <f>Summary!E3</f>
        <v>H</v>
      </c>
      <c r="M4" s="49" t="str">
        <f>Summary!F3</f>
        <v>H</v>
      </c>
      <c r="N4" s="49" t="str">
        <f>Summary!G3</f>
        <v>H</v>
      </c>
      <c r="O4" s="49" t="str">
        <f>Summary!H3</f>
        <v>H</v>
      </c>
      <c r="P4" s="49" t="str">
        <f>Summary!I3</f>
        <v>H</v>
      </c>
      <c r="Q4" s="49" t="str">
        <f>Summary!J3</f>
        <v>H</v>
      </c>
      <c r="R4" s="49" t="str">
        <f>Summary!K3</f>
        <v>H</v>
      </c>
      <c r="S4" s="49" t="str">
        <f>Summary!L3</f>
        <v>H</v>
      </c>
    </row>
    <row r="5" spans="1:19" ht="17" thickBot="1" x14ac:dyDescent="0.25">
      <c r="A5" s="112" t="s">
        <v>122</v>
      </c>
      <c r="B5" s="134">
        <v>4</v>
      </c>
      <c r="C5" s="114" t="str">
        <f>"True Count: " &amp; B5-4</f>
        <v>True Count: 0</v>
      </c>
      <c r="D5" s="126" t="s">
        <v>52</v>
      </c>
      <c r="E5" s="122" t="s">
        <v>82</v>
      </c>
      <c r="F5" s="122" t="s">
        <v>81</v>
      </c>
      <c r="G5" s="127"/>
      <c r="I5" s="48">
        <v>9</v>
      </c>
      <c r="J5" s="49" t="str">
        <f>Summary!C4</f>
        <v>H</v>
      </c>
      <c r="K5" s="49" t="str">
        <f>Summary!D4</f>
        <v>H</v>
      </c>
      <c r="L5" s="49" t="str">
        <f>Summary!E4</f>
        <v>D</v>
      </c>
      <c r="M5" s="49" t="str">
        <f>Summary!F4</f>
        <v>D</v>
      </c>
      <c r="N5" s="49" t="str">
        <f>Summary!G4</f>
        <v>D</v>
      </c>
      <c r="O5" s="49" t="str">
        <f>Summary!H4</f>
        <v>D</v>
      </c>
      <c r="P5" s="49" t="str">
        <f>Summary!I4</f>
        <v>H</v>
      </c>
      <c r="Q5" s="49" t="str">
        <f>Summary!J4</f>
        <v>H</v>
      </c>
      <c r="R5" s="49" t="str">
        <f>Summary!K4</f>
        <v>H</v>
      </c>
      <c r="S5" s="49" t="str">
        <f>Summary!L4</f>
        <v>H</v>
      </c>
    </row>
    <row r="6" spans="1:19" ht="17" thickBot="1" x14ac:dyDescent="0.25">
      <c r="A6" s="112" t="s">
        <v>54</v>
      </c>
      <c r="B6" s="135" t="s">
        <v>55</v>
      </c>
      <c r="C6" s="121"/>
      <c r="D6" s="126" t="s">
        <v>52</v>
      </c>
      <c r="E6" s="122" t="s">
        <v>74</v>
      </c>
      <c r="F6" s="122" t="s">
        <v>55</v>
      </c>
      <c r="G6" s="127"/>
      <c r="I6" s="48">
        <v>10</v>
      </c>
      <c r="J6" s="49" t="str">
        <f>Summary!C5</f>
        <v>H</v>
      </c>
      <c r="K6" s="49" t="str">
        <f>Summary!D5</f>
        <v>D</v>
      </c>
      <c r="L6" s="49" t="str">
        <f>Summary!E5</f>
        <v>D</v>
      </c>
      <c r="M6" s="49" t="str">
        <f>Summary!F5</f>
        <v>D</v>
      </c>
      <c r="N6" s="49" t="str">
        <f>Summary!G5</f>
        <v>D</v>
      </c>
      <c r="O6" s="49" t="str">
        <f>Summary!H5</f>
        <v>D</v>
      </c>
      <c r="P6" s="49" t="str">
        <f>Summary!I5</f>
        <v>D</v>
      </c>
      <c r="Q6" s="49" t="str">
        <f>Summary!J5</f>
        <v>D</v>
      </c>
      <c r="R6" s="49" t="str">
        <f>Summary!K5</f>
        <v>D</v>
      </c>
      <c r="S6" s="49" t="str">
        <f>Summary!L5</f>
        <v>H</v>
      </c>
    </row>
    <row r="7" spans="1:19" ht="17" thickBot="1" x14ac:dyDescent="0.25">
      <c r="A7" s="112" t="s">
        <v>60</v>
      </c>
      <c r="B7" s="136" t="s">
        <v>57</v>
      </c>
      <c r="C7" s="98"/>
      <c r="D7" s="126" t="s">
        <v>52</v>
      </c>
      <c r="E7" s="122" t="s">
        <v>56</v>
      </c>
      <c r="F7" s="122" t="s">
        <v>57</v>
      </c>
      <c r="G7" s="127"/>
      <c r="I7" s="48">
        <v>11</v>
      </c>
      <c r="J7" s="49" t="str">
        <f>Summary!C6</f>
        <v>H</v>
      </c>
      <c r="K7" s="49" t="str">
        <f>Summary!D6</f>
        <v>D</v>
      </c>
      <c r="L7" s="49" t="str">
        <f>Summary!E6</f>
        <v>D</v>
      </c>
      <c r="M7" s="49" t="str">
        <f>Summary!F6</f>
        <v>D</v>
      </c>
      <c r="N7" s="49" t="str">
        <f>Summary!G6</f>
        <v>D</v>
      </c>
      <c r="O7" s="49" t="str">
        <f>Summary!H6</f>
        <v>D</v>
      </c>
      <c r="P7" s="49" t="str">
        <f>Summary!I6</f>
        <v>D</v>
      </c>
      <c r="Q7" s="49" t="str">
        <f>Summary!J6</f>
        <v>D</v>
      </c>
      <c r="R7" s="49" t="str">
        <f>Summary!K6</f>
        <v>D</v>
      </c>
      <c r="S7" s="49" t="str">
        <f>Summary!L6</f>
        <v>H</v>
      </c>
    </row>
    <row r="8" spans="1:19" ht="17" thickBot="1" x14ac:dyDescent="0.25">
      <c r="A8" s="112" t="s">
        <v>58</v>
      </c>
      <c r="B8" s="136" t="s">
        <v>57</v>
      </c>
      <c r="C8" s="98"/>
      <c r="D8" s="126" t="s">
        <v>52</v>
      </c>
      <c r="E8" s="122" t="s">
        <v>56</v>
      </c>
      <c r="F8" s="122" t="s">
        <v>57</v>
      </c>
      <c r="G8" s="127"/>
      <c r="I8" s="48">
        <v>12</v>
      </c>
      <c r="J8" s="49" t="str">
        <f>Summary!C7</f>
        <v>H</v>
      </c>
      <c r="K8" s="49" t="str">
        <f>Summary!D7</f>
        <v>H</v>
      </c>
      <c r="L8" s="49" t="str">
        <f>Summary!E7</f>
        <v>H</v>
      </c>
      <c r="M8" s="49" t="str">
        <f>Summary!F7</f>
        <v>S</v>
      </c>
      <c r="N8" s="49" t="str">
        <f>Summary!G7</f>
        <v>S</v>
      </c>
      <c r="O8" s="49" t="str">
        <f>Summary!H7</f>
        <v>S</v>
      </c>
      <c r="P8" s="49" t="str">
        <f>Summary!I7</f>
        <v>H</v>
      </c>
      <c r="Q8" s="49" t="str">
        <f>Summary!J7</f>
        <v>H</v>
      </c>
      <c r="R8" s="49" t="str">
        <f>Summary!K7</f>
        <v>H</v>
      </c>
      <c r="S8" s="49" t="str">
        <f>Summary!L7</f>
        <v>H</v>
      </c>
    </row>
    <row r="9" spans="1:19" ht="17" thickBot="1" x14ac:dyDescent="0.25">
      <c r="A9" s="112" t="s">
        <v>73</v>
      </c>
      <c r="B9" s="136" t="s">
        <v>57</v>
      </c>
      <c r="C9" s="98"/>
      <c r="D9" s="126" t="s">
        <v>52</v>
      </c>
      <c r="E9" s="122" t="s">
        <v>56</v>
      </c>
      <c r="F9" s="122" t="s">
        <v>57</v>
      </c>
      <c r="G9" s="127"/>
      <c r="I9" s="48">
        <v>13</v>
      </c>
      <c r="J9" s="49" t="str">
        <f>Summary!C8</f>
        <v>H</v>
      </c>
      <c r="K9" s="49" t="str">
        <f>Summary!D8</f>
        <v>S</v>
      </c>
      <c r="L9" s="49" t="str">
        <f>Summary!E8</f>
        <v>S</v>
      </c>
      <c r="M9" s="49" t="str">
        <f>Summary!F8</f>
        <v>S</v>
      </c>
      <c r="N9" s="49" t="str">
        <f>Summary!G8</f>
        <v>S</v>
      </c>
      <c r="O9" s="49" t="str">
        <f>Summary!H8</f>
        <v>S</v>
      </c>
      <c r="P9" s="49" t="str">
        <f>Summary!I8</f>
        <v>H</v>
      </c>
      <c r="Q9" s="49" t="str">
        <f>Summary!J8</f>
        <v>H</v>
      </c>
      <c r="R9" s="49" t="str">
        <f>Summary!K8</f>
        <v>H</v>
      </c>
      <c r="S9" s="49" t="str">
        <f>Summary!L8</f>
        <v>H</v>
      </c>
    </row>
    <row r="10" spans="1:19" ht="17" thickBot="1" x14ac:dyDescent="0.25">
      <c r="A10" s="112" t="s">
        <v>50</v>
      </c>
      <c r="B10" s="136" t="s">
        <v>64</v>
      </c>
      <c r="C10" s="98"/>
      <c r="D10" s="126" t="s">
        <v>52</v>
      </c>
      <c r="E10" s="122" t="s">
        <v>65</v>
      </c>
      <c r="F10" s="122" t="s">
        <v>64</v>
      </c>
      <c r="G10" s="127"/>
      <c r="I10" s="48">
        <v>14</v>
      </c>
      <c r="J10" s="49" t="str">
        <f>Summary!C9</f>
        <v>H</v>
      </c>
      <c r="K10" s="49" t="str">
        <f>Summary!D9</f>
        <v>S</v>
      </c>
      <c r="L10" s="49" t="str">
        <f>Summary!E9</f>
        <v>S</v>
      </c>
      <c r="M10" s="49" t="str">
        <f>Summary!F9</f>
        <v>S</v>
      </c>
      <c r="N10" s="49" t="str">
        <f>Summary!G9</f>
        <v>S</v>
      </c>
      <c r="O10" s="49" t="str">
        <f>Summary!H9</f>
        <v>S</v>
      </c>
      <c r="P10" s="49" t="str">
        <f>Summary!I9</f>
        <v>H</v>
      </c>
      <c r="Q10" s="49" t="str">
        <f>Summary!J9</f>
        <v>H</v>
      </c>
      <c r="R10" s="49" t="str">
        <f>Summary!K9</f>
        <v>H</v>
      </c>
      <c r="S10" s="49" t="str">
        <f>Summary!L9</f>
        <v>H</v>
      </c>
    </row>
    <row r="11" spans="1:19" ht="17" thickBot="1" x14ac:dyDescent="0.25">
      <c r="A11" s="112" t="s">
        <v>71</v>
      </c>
      <c r="B11" s="136">
        <v>2</v>
      </c>
      <c r="C11" s="98" t="s">
        <v>72</v>
      </c>
      <c r="D11" s="126" t="s">
        <v>52</v>
      </c>
      <c r="E11" s="122" t="s">
        <v>59</v>
      </c>
      <c r="F11" s="122" t="s">
        <v>80</v>
      </c>
      <c r="G11" s="127"/>
      <c r="I11" s="48">
        <v>15</v>
      </c>
      <c r="J11" s="49" t="str">
        <f>Summary!C10</f>
        <v>H</v>
      </c>
      <c r="K11" s="49" t="str">
        <f>Summary!D10</f>
        <v>S</v>
      </c>
      <c r="L11" s="49" t="str">
        <f>Summary!E10</f>
        <v>S</v>
      </c>
      <c r="M11" s="49" t="str">
        <f>Summary!F10</f>
        <v>S</v>
      </c>
      <c r="N11" s="49" t="str">
        <f>Summary!G10</f>
        <v>S</v>
      </c>
      <c r="O11" s="49" t="str">
        <f>Summary!H10</f>
        <v>S</v>
      </c>
      <c r="P11" s="49" t="str">
        <f>Summary!I10</f>
        <v>H</v>
      </c>
      <c r="Q11" s="49" t="str">
        <f>Summary!J10</f>
        <v>H</v>
      </c>
      <c r="R11" s="49" t="str">
        <f>Summary!K10</f>
        <v>H</v>
      </c>
      <c r="S11" s="49" t="str">
        <f>Summary!L10</f>
        <v>H</v>
      </c>
    </row>
    <row r="12" spans="1:19" ht="17" thickBot="1" x14ac:dyDescent="0.25">
      <c r="A12" s="112" t="s">
        <v>79</v>
      </c>
      <c r="B12" s="133" t="s">
        <v>57</v>
      </c>
      <c r="C12" s="128"/>
      <c r="D12" s="126" t="s">
        <v>52</v>
      </c>
      <c r="E12" s="122" t="s">
        <v>56</v>
      </c>
      <c r="F12" s="122" t="s">
        <v>57</v>
      </c>
      <c r="G12" s="127"/>
      <c r="I12" s="48">
        <v>16</v>
      </c>
      <c r="J12" s="49" t="str">
        <f>Summary!C11</f>
        <v>S</v>
      </c>
      <c r="K12" s="49" t="str">
        <f>Summary!D11</f>
        <v>S</v>
      </c>
      <c r="L12" s="49" t="str">
        <f>Summary!E11</f>
        <v>S</v>
      </c>
      <c r="M12" s="49" t="str">
        <f>Summary!F11</f>
        <v>S</v>
      </c>
      <c r="N12" s="49" t="str">
        <f>Summary!G11</f>
        <v>S</v>
      </c>
      <c r="O12" s="49" t="str">
        <f>Summary!H11</f>
        <v>S</v>
      </c>
      <c r="P12" s="49" t="str">
        <f>Summary!I11</f>
        <v>H</v>
      </c>
      <c r="Q12" s="49" t="str">
        <f>Summary!J11</f>
        <v>H</v>
      </c>
      <c r="R12" s="49" t="str">
        <f>Summary!K11</f>
        <v>H</v>
      </c>
      <c r="S12" s="49" t="str">
        <f>Summary!L11</f>
        <v>H</v>
      </c>
    </row>
    <row r="13" spans="1:19" ht="17" thickBot="1" x14ac:dyDescent="0.25">
      <c r="A13" s="112" t="s">
        <v>87</v>
      </c>
      <c r="B13" s="133" t="s">
        <v>84</v>
      </c>
      <c r="C13" s="128"/>
      <c r="D13" s="126" t="s">
        <v>52</v>
      </c>
      <c r="E13" s="122" t="s">
        <v>83</v>
      </c>
      <c r="F13" s="122" t="s">
        <v>84</v>
      </c>
      <c r="G13" s="127"/>
      <c r="I13" s="48" t="s">
        <v>21</v>
      </c>
      <c r="J13" s="49" t="str">
        <f>Summary!C12</f>
        <v>S</v>
      </c>
      <c r="K13" s="49" t="str">
        <f>Summary!D12</f>
        <v>S</v>
      </c>
      <c r="L13" s="49" t="str">
        <f>Summary!E12</f>
        <v>S</v>
      </c>
      <c r="M13" s="49" t="str">
        <f>Summary!F12</f>
        <v>S</v>
      </c>
      <c r="N13" s="49" t="str">
        <f>Summary!G12</f>
        <v>S</v>
      </c>
      <c r="O13" s="49" t="str">
        <f>Summary!H12</f>
        <v>S</v>
      </c>
      <c r="P13" s="49" t="str">
        <f>Summary!I12</f>
        <v>S</v>
      </c>
      <c r="Q13" s="49" t="str">
        <f>Summary!J12</f>
        <v>S</v>
      </c>
      <c r="R13" s="49" t="str">
        <f>Summary!K12</f>
        <v>S</v>
      </c>
      <c r="S13" s="49" t="str">
        <f>Summary!L12</f>
        <v>S</v>
      </c>
    </row>
    <row r="14" spans="1:19" ht="17" thickBot="1" x14ac:dyDescent="0.25">
      <c r="A14" s="112" t="s">
        <v>88</v>
      </c>
      <c r="B14" s="133" t="s">
        <v>89</v>
      </c>
      <c r="C14" s="128"/>
      <c r="D14" s="129" t="s">
        <v>52</v>
      </c>
      <c r="E14" s="130" t="s">
        <v>89</v>
      </c>
      <c r="F14" s="130" t="s">
        <v>90</v>
      </c>
      <c r="G14" s="131"/>
      <c r="I14" s="48" t="s">
        <v>4</v>
      </c>
      <c r="J14" s="48" t="s">
        <v>22</v>
      </c>
      <c r="K14" s="48">
        <v>2</v>
      </c>
      <c r="L14" s="48">
        <v>3</v>
      </c>
      <c r="M14" s="48">
        <v>4</v>
      </c>
      <c r="N14" s="48">
        <v>5</v>
      </c>
      <c r="O14" s="48">
        <v>6</v>
      </c>
      <c r="P14" s="48">
        <v>7</v>
      </c>
      <c r="Q14" s="48">
        <v>8</v>
      </c>
      <c r="R14" s="48">
        <v>9</v>
      </c>
      <c r="S14" s="48">
        <v>10</v>
      </c>
    </row>
    <row r="15" spans="1:19" ht="17" thickBot="1" x14ac:dyDescent="0.25">
      <c r="A15" s="112" t="s">
        <v>113</v>
      </c>
      <c r="B15" s="133" t="s">
        <v>84</v>
      </c>
      <c r="C15" s="128"/>
      <c r="D15" s="129" t="s">
        <v>52</v>
      </c>
      <c r="E15" s="130" t="s">
        <v>83</v>
      </c>
      <c r="F15" s="130" t="s">
        <v>114</v>
      </c>
      <c r="G15" s="131" t="s">
        <v>84</v>
      </c>
      <c r="I15" s="48">
        <v>13</v>
      </c>
      <c r="J15" s="49" t="str">
        <f>Summary!C14</f>
        <v>H</v>
      </c>
      <c r="K15" s="49" t="str">
        <f>Summary!D14</f>
        <v>H</v>
      </c>
      <c r="L15" s="49" t="str">
        <f>Summary!E14</f>
        <v>H</v>
      </c>
      <c r="M15" s="49" t="str">
        <f>Summary!F14</f>
        <v>H</v>
      </c>
      <c r="N15" s="49" t="str">
        <f>Summary!G14</f>
        <v>H</v>
      </c>
      <c r="O15" s="49" t="str">
        <f>Summary!H14</f>
        <v>H</v>
      </c>
      <c r="P15" s="49" t="str">
        <f>Summary!I14</f>
        <v>H</v>
      </c>
      <c r="Q15" s="49" t="str">
        <f>Summary!J14</f>
        <v>H</v>
      </c>
      <c r="R15" s="49" t="str">
        <f>Summary!K14</f>
        <v>H</v>
      </c>
      <c r="S15" s="49" t="str">
        <f>Summary!L14</f>
        <v>H</v>
      </c>
    </row>
    <row r="16" spans="1:19" ht="17" thickBot="1" x14ac:dyDescent="0.25">
      <c r="A16" s="112" t="s">
        <v>112</v>
      </c>
      <c r="B16" s="133" t="s">
        <v>84</v>
      </c>
      <c r="C16" s="128"/>
      <c r="D16" s="129" t="s">
        <v>52</v>
      </c>
      <c r="E16" s="130" t="s">
        <v>83</v>
      </c>
      <c r="F16" s="130" t="s">
        <v>114</v>
      </c>
      <c r="G16" s="131" t="s">
        <v>84</v>
      </c>
      <c r="I16" s="48">
        <v>14</v>
      </c>
      <c r="J16" s="49" t="str">
        <f>Summary!C15</f>
        <v>H</v>
      </c>
      <c r="K16" s="49" t="str">
        <f>Summary!D15</f>
        <v>H</v>
      </c>
      <c r="L16" s="49" t="str">
        <f>Summary!E15</f>
        <v>H</v>
      </c>
      <c r="M16" s="49" t="str">
        <f>Summary!F15</f>
        <v>H</v>
      </c>
      <c r="N16" s="49" t="str">
        <f>Summary!G15</f>
        <v>H</v>
      </c>
      <c r="O16" s="49" t="str">
        <f>Summary!H15</f>
        <v>H</v>
      </c>
      <c r="P16" s="49" t="str">
        <f>Summary!I15</f>
        <v>H</v>
      </c>
      <c r="Q16" s="49" t="str">
        <f>Summary!J15</f>
        <v>H</v>
      </c>
      <c r="R16" s="49" t="str">
        <f>Summary!K15</f>
        <v>H</v>
      </c>
      <c r="S16" s="49" t="str">
        <f>Summary!L15</f>
        <v>H</v>
      </c>
    </row>
    <row r="17" spans="1:19" x14ac:dyDescent="0.2">
      <c r="A17" s="112" t="s">
        <v>86</v>
      </c>
      <c r="B17" s="133">
        <v>2</v>
      </c>
      <c r="C17" s="128" t="s">
        <v>72</v>
      </c>
      <c r="D17" s="129" t="s">
        <v>52</v>
      </c>
      <c r="E17" s="130" t="s">
        <v>59</v>
      </c>
      <c r="F17" s="130" t="s">
        <v>80</v>
      </c>
      <c r="G17" s="131"/>
      <c r="I17" s="48">
        <v>15</v>
      </c>
      <c r="J17" s="49" t="str">
        <f>Summary!C16</f>
        <v>H</v>
      </c>
      <c r="K17" s="49" t="str">
        <f>Summary!D16</f>
        <v>H</v>
      </c>
      <c r="L17" s="49" t="str">
        <f>Summary!E16</f>
        <v>H</v>
      </c>
      <c r="M17" s="49" t="str">
        <f>Summary!F16</f>
        <v>H</v>
      </c>
      <c r="N17" s="49" t="str">
        <f>Summary!G16</f>
        <v>H</v>
      </c>
      <c r="O17" s="49" t="str">
        <f>Summary!H16</f>
        <v>H</v>
      </c>
      <c r="P17" s="49" t="str">
        <f>Summary!I16</f>
        <v>H</v>
      </c>
      <c r="Q17" s="49" t="str">
        <f>Summary!J16</f>
        <v>H</v>
      </c>
      <c r="R17" s="49" t="str">
        <f>Summary!K16</f>
        <v>H</v>
      </c>
      <c r="S17" s="49" t="str">
        <f>Summary!L16</f>
        <v>H</v>
      </c>
    </row>
    <row r="18" spans="1:19" x14ac:dyDescent="0.2">
      <c r="A18" s="290" t="s">
        <v>205</v>
      </c>
      <c r="B18" s="293" t="s">
        <v>207</v>
      </c>
      <c r="C18" s="1"/>
      <c r="D18" s="122"/>
      <c r="E18" s="122"/>
      <c r="F18" s="122"/>
      <c r="G18" s="122"/>
      <c r="I18" s="48">
        <v>16</v>
      </c>
      <c r="J18" s="49" t="str">
        <f>Summary!C17</f>
        <v>H</v>
      </c>
      <c r="K18" s="49" t="str">
        <f>Summary!D17</f>
        <v>H</v>
      </c>
      <c r="L18" s="49" t="str">
        <f>Summary!E17</f>
        <v>H</v>
      </c>
      <c r="M18" s="49" t="str">
        <f>Summary!F17</f>
        <v>H</v>
      </c>
      <c r="N18" s="49" t="str">
        <f>Summary!G17</f>
        <v>H</v>
      </c>
      <c r="O18" s="49" t="str">
        <f>Summary!H17</f>
        <v>H</v>
      </c>
      <c r="P18" s="49" t="str">
        <f>Summary!I17</f>
        <v>H</v>
      </c>
      <c r="Q18" s="49" t="str">
        <f>Summary!J17</f>
        <v>H</v>
      </c>
      <c r="R18" s="49" t="str">
        <f>Summary!K17</f>
        <v>H</v>
      </c>
      <c r="S18" s="49" t="str">
        <f>Summary!L17</f>
        <v>H</v>
      </c>
    </row>
    <row r="19" spans="1:19" x14ac:dyDescent="0.2">
      <c r="A19" s="290" t="s">
        <v>204</v>
      </c>
      <c r="B19" s="318" t="s">
        <v>206</v>
      </c>
      <c r="C19" s="319"/>
      <c r="D19" s="319"/>
      <c r="E19" s="319"/>
      <c r="F19" s="319"/>
      <c r="G19" s="320"/>
      <c r="I19" s="48">
        <v>17</v>
      </c>
      <c r="J19" s="49" t="str">
        <f>Summary!C18</f>
        <v>H</v>
      </c>
      <c r="K19" s="49" t="str">
        <f>Summary!D18</f>
        <v>H</v>
      </c>
      <c r="L19" s="49" t="str">
        <f>Summary!E18</f>
        <v>H</v>
      </c>
      <c r="M19" s="49" t="str">
        <f>Summary!F18</f>
        <v>H</v>
      </c>
      <c r="N19" s="49" t="str">
        <f>Summary!G18</f>
        <v>H</v>
      </c>
      <c r="O19" s="49" t="str">
        <f>Summary!H18</f>
        <v>H</v>
      </c>
      <c r="P19" s="49" t="str">
        <f>Summary!I18</f>
        <v>H</v>
      </c>
      <c r="Q19" s="49" t="str">
        <f>Summary!J18</f>
        <v>H</v>
      </c>
      <c r="R19" s="49" t="str">
        <f>Summary!K18</f>
        <v>H</v>
      </c>
      <c r="S19" s="49" t="str">
        <f>Summary!L18</f>
        <v>H</v>
      </c>
    </row>
    <row r="20" spans="1:19" ht="17" thickBot="1" x14ac:dyDescent="0.25">
      <c r="A20" s="48" t="s">
        <v>41</v>
      </c>
      <c r="B20">
        <f>'WL Prob'!P15</f>
        <v>0.41745743785701095</v>
      </c>
      <c r="C20" s="30">
        <f>'WL Prob'!P15</f>
        <v>0.41745743785701095</v>
      </c>
      <c r="D20" s="291" t="s">
        <v>177</v>
      </c>
      <c r="E20">
        <f>'WL Prob'!R15</f>
        <v>0.58254256214298905</v>
      </c>
      <c r="F20" s="30">
        <f>'WL Prob'!R15</f>
        <v>0.58254256214298905</v>
      </c>
      <c r="G20" s="292" t="s">
        <v>49</v>
      </c>
      <c r="I20" s="48">
        <v>18</v>
      </c>
      <c r="J20" s="49" t="str">
        <f>Summary!C19</f>
        <v>S</v>
      </c>
      <c r="K20" s="49" t="str">
        <f>Summary!D19</f>
        <v>S</v>
      </c>
      <c r="L20" s="49" t="str">
        <f>Summary!E19</f>
        <v>S</v>
      </c>
      <c r="M20" s="49" t="str">
        <f>Summary!F19</f>
        <v>S</v>
      </c>
      <c r="N20" s="49" t="str">
        <f>Summary!G19</f>
        <v>S</v>
      </c>
      <c r="O20" s="49" t="str">
        <f>Summary!H19</f>
        <v>S</v>
      </c>
      <c r="P20" s="49" t="str">
        <f>Summary!I19</f>
        <v>S</v>
      </c>
      <c r="Q20" s="49" t="str">
        <f>Summary!J19</f>
        <v>S</v>
      </c>
      <c r="R20" s="49" t="str">
        <f>Summary!K19</f>
        <v>H</v>
      </c>
      <c r="S20" s="49" t="str">
        <f>Summary!L19</f>
        <v>H</v>
      </c>
    </row>
    <row r="21" spans="1:19" ht="17" thickBot="1" x14ac:dyDescent="0.25">
      <c r="A21" s="48" t="s">
        <v>68</v>
      </c>
      <c r="B21" s="48"/>
      <c r="C21" s="312">
        <f>IF(Rules!$B$16=Rules!$E$16,EV!H46+'5 Cards'!G122,EV!H46)</f>
        <v>-3.2215330709750079E-2</v>
      </c>
      <c r="D21" s="313"/>
      <c r="E21" s="314" t="str">
        <f>"( "&amp; ROUND(C21*100,2)&amp; "% )"</f>
        <v>( -3.22% )</v>
      </c>
      <c r="F21" s="315"/>
      <c r="G21" s="178">
        <f>B20-E20</f>
        <v>-0.1650851242859781</v>
      </c>
      <c r="I21" s="48">
        <v>19</v>
      </c>
      <c r="J21" s="49" t="str">
        <f>Summary!C20</f>
        <v>S</v>
      </c>
      <c r="K21" s="49" t="str">
        <f>Summary!D20</f>
        <v>S</v>
      </c>
      <c r="L21" s="49" t="str">
        <f>Summary!E20</f>
        <v>S</v>
      </c>
      <c r="M21" s="49" t="str">
        <f>Summary!F20</f>
        <v>S</v>
      </c>
      <c r="N21" s="49" t="str">
        <f>Summary!G20</f>
        <v>S</v>
      </c>
      <c r="O21" s="49" t="str">
        <f>Summary!H20</f>
        <v>S</v>
      </c>
      <c r="P21" s="49" t="str">
        <f>Summary!I20</f>
        <v>S</v>
      </c>
      <c r="Q21" s="49" t="str">
        <f>Summary!J20</f>
        <v>S</v>
      </c>
      <c r="R21" s="49" t="str">
        <f>Summary!K20</f>
        <v>S</v>
      </c>
      <c r="S21" s="49" t="str">
        <f>Summary!L20</f>
        <v>S</v>
      </c>
    </row>
    <row r="22" spans="1:19" x14ac:dyDescent="0.2">
      <c r="A22" s="303" t="str">
        <f>Final!M6</f>
        <v>Strategy Evs</v>
      </c>
      <c r="B22" s="304"/>
      <c r="C22" s="304"/>
      <c r="D22" s="304"/>
      <c r="E22" s="304"/>
      <c r="F22" s="304"/>
      <c r="G22" s="305"/>
      <c r="I22" s="48" t="s">
        <v>10</v>
      </c>
      <c r="J22" s="48" t="s">
        <v>22</v>
      </c>
      <c r="K22" s="48">
        <v>2</v>
      </c>
      <c r="L22" s="48">
        <v>3</v>
      </c>
      <c r="M22" s="48">
        <v>4</v>
      </c>
      <c r="N22" s="48">
        <v>5</v>
      </c>
      <c r="O22" s="48">
        <v>6</v>
      </c>
      <c r="P22" s="48">
        <v>7</v>
      </c>
      <c r="Q22" s="48">
        <v>8</v>
      </c>
      <c r="R22" s="48">
        <v>9</v>
      </c>
      <c r="S22" s="48">
        <v>10</v>
      </c>
    </row>
    <row r="23" spans="1:19" x14ac:dyDescent="0.2">
      <c r="A23" s="177" t="str">
        <f>Final!M7</f>
        <v>Level</v>
      </c>
      <c r="B23" s="177" t="str">
        <f>Final!N7</f>
        <v>1x2</v>
      </c>
      <c r="C23" s="177" t="str">
        <f>Final!O7</f>
        <v>1x3</v>
      </c>
      <c r="D23" s="177" t="str">
        <f>Final!P7</f>
        <v>1x4</v>
      </c>
      <c r="E23" s="177" t="str">
        <f>Final!Q7</f>
        <v>1x5</v>
      </c>
      <c r="F23" s="177" t="str">
        <f>Final!R7</f>
        <v>1x6</v>
      </c>
      <c r="G23" s="177" t="str">
        <f>Final!S7</f>
        <v>1x7</v>
      </c>
      <c r="I23" s="48" t="s">
        <v>22</v>
      </c>
      <c r="J23" s="49" t="str">
        <f>Summary!C22</f>
        <v>P</v>
      </c>
      <c r="K23" s="49" t="str">
        <f>Summary!D22</f>
        <v>P</v>
      </c>
      <c r="L23" s="49" t="str">
        <f>Summary!E22</f>
        <v>P</v>
      </c>
      <c r="M23" s="49" t="str">
        <f>Summary!F22</f>
        <v>P</v>
      </c>
      <c r="N23" s="49" t="str">
        <f>Summary!G22</f>
        <v>P</v>
      </c>
      <c r="O23" s="49" t="str">
        <f>Summary!H22</f>
        <v>P</v>
      </c>
      <c r="P23" s="49" t="str">
        <f>Summary!I22</f>
        <v>P</v>
      </c>
      <c r="Q23" s="49" t="str">
        <f>Summary!J22</f>
        <v>P</v>
      </c>
      <c r="R23" s="49" t="str">
        <f>Summary!K22</f>
        <v>P</v>
      </c>
      <c r="S23" s="49" t="str">
        <f>Summary!L22</f>
        <v>P</v>
      </c>
    </row>
    <row r="24" spans="1:19" x14ac:dyDescent="0.2">
      <c r="A24" s="177">
        <f>Final!M8</f>
        <v>1</v>
      </c>
      <c r="B24" s="1">
        <f>Final!N8</f>
        <v>8.8550719485284368E-2</v>
      </c>
      <c r="C24" s="1">
        <f>Final!O8</f>
        <v>0.3735662319295775</v>
      </c>
      <c r="D24" s="1">
        <f>Final!P8</f>
        <v>0.69910452506149046</v>
      </c>
      <c r="E24" s="1">
        <f>Final!Q8</f>
        <v>1.0481326433028733</v>
      </c>
      <c r="F24" s="1">
        <f>Final!R8</f>
        <v>1.4122238931461972</v>
      </c>
      <c r="G24" s="1">
        <f>Final!S8</f>
        <v>1.7864120993682504</v>
      </c>
      <c r="I24" s="48">
        <v>2</v>
      </c>
      <c r="J24" s="49" t="str">
        <f>Summary!C23</f>
        <v>H</v>
      </c>
      <c r="K24" s="49" t="str">
        <f>Summary!D23</f>
        <v>H</v>
      </c>
      <c r="L24" s="49" t="str">
        <f>Summary!E23</f>
        <v>H</v>
      </c>
      <c r="M24" s="49" t="str">
        <f>Summary!F23</f>
        <v>P</v>
      </c>
      <c r="N24" s="49" t="str">
        <f>Summary!G23</f>
        <v>P</v>
      </c>
      <c r="O24" s="49" t="str">
        <f>Summary!H23</f>
        <v>P</v>
      </c>
      <c r="P24" s="49" t="str">
        <f>Summary!I23</f>
        <v>P</v>
      </c>
      <c r="Q24" s="49" t="str">
        <f>Summary!J23</f>
        <v>H</v>
      </c>
      <c r="R24" s="49" t="str">
        <f>Summary!K23</f>
        <v>H</v>
      </c>
      <c r="S24" s="49" t="str">
        <f>Summary!L23</f>
        <v>H</v>
      </c>
    </row>
    <row r="25" spans="1:19" x14ac:dyDescent="0.2">
      <c r="A25" s="177">
        <f>Final!M9</f>
        <v>2</v>
      </c>
      <c r="B25" s="1">
        <f>Final!N9</f>
        <v>0.42935940618750656</v>
      </c>
      <c r="C25" s="1">
        <f>Final!O9</f>
        <v>2.4070313133674213</v>
      </c>
      <c r="D25" s="1">
        <f>Final!P9</f>
        <v>5.5828584017657237</v>
      </c>
      <c r="E25" s="1">
        <f>Final!Q9</f>
        <v>9.9730846596842717</v>
      </c>
      <c r="F25" s="1">
        <f>Final!R9</f>
        <v>15.60022756509299</v>
      </c>
      <c r="G25" s="1">
        <f>Final!S9</f>
        <v>22.483727386309575</v>
      </c>
      <c r="I25" s="48">
        <v>3</v>
      </c>
      <c r="J25" s="49" t="str">
        <f>Summary!C24</f>
        <v>H</v>
      </c>
      <c r="K25" s="49" t="str">
        <f>Summary!D24</f>
        <v>H</v>
      </c>
      <c r="L25" s="49" t="str">
        <f>Summary!E24</f>
        <v>H</v>
      </c>
      <c r="M25" s="49" t="str">
        <f>Summary!F24</f>
        <v>P</v>
      </c>
      <c r="N25" s="49" t="str">
        <f>Summary!G24</f>
        <v>P</v>
      </c>
      <c r="O25" s="49" t="str">
        <f>Summary!H24</f>
        <v>P</v>
      </c>
      <c r="P25" s="49" t="str">
        <f>Summary!I24</f>
        <v>P</v>
      </c>
      <c r="Q25" s="49" t="str">
        <f>Summary!J24</f>
        <v>H</v>
      </c>
      <c r="R25" s="49" t="str">
        <f>Summary!K24</f>
        <v>H</v>
      </c>
      <c r="S25" s="49" t="str">
        <f>Summary!L24</f>
        <v>H</v>
      </c>
    </row>
    <row r="26" spans="1:19" x14ac:dyDescent="0.2">
      <c r="A26" s="177">
        <f>Final!M10</f>
        <v>3</v>
      </c>
      <c r="B26" s="1">
        <f>Final!N10</f>
        <v>1.4121674630690029</v>
      </c>
      <c r="C26" s="1">
        <f>Final!O10</f>
        <v>10.684725578250754</v>
      </c>
      <c r="D26" s="1">
        <f>Final!P10</f>
        <v>31.102587955746611</v>
      </c>
      <c r="E26" s="1">
        <f>Final!Q10</f>
        <v>66.888098320941396</v>
      </c>
      <c r="F26" s="1">
        <f>Final!R10</f>
        <v>122.49418525120679</v>
      </c>
      <c r="G26" s="1">
        <f>Final!S10</f>
        <v>202.5259789346953</v>
      </c>
      <c r="I26" s="48">
        <v>4</v>
      </c>
      <c r="J26" s="49" t="str">
        <f>Summary!C25</f>
        <v>H</v>
      </c>
      <c r="K26" s="49" t="str">
        <f>Summary!D25</f>
        <v>H</v>
      </c>
      <c r="L26" s="49" t="str">
        <f>Summary!E25</f>
        <v>H</v>
      </c>
      <c r="M26" s="49" t="str">
        <f>Summary!F25</f>
        <v>H</v>
      </c>
      <c r="N26" s="49" t="str">
        <f>Summary!G25</f>
        <v>H</v>
      </c>
      <c r="O26" s="49" t="str">
        <f>Summary!H25</f>
        <v>H</v>
      </c>
      <c r="P26" s="49" t="str">
        <f>Summary!I25</f>
        <v>H</v>
      </c>
      <c r="Q26" s="49" t="str">
        <f>Summary!J25</f>
        <v>H</v>
      </c>
      <c r="R26" s="49" t="str">
        <f>Summary!K25</f>
        <v>H</v>
      </c>
      <c r="S26" s="49" t="str">
        <f>Summary!L25</f>
        <v>H</v>
      </c>
    </row>
    <row r="27" spans="1:19" x14ac:dyDescent="0.2">
      <c r="A27" s="177">
        <f>Final!M11</f>
        <v>4</v>
      </c>
      <c r="B27" s="1">
        <f>Final!N11</f>
        <v>3.9292509606000623</v>
      </c>
      <c r="C27" s="1">
        <f>Final!O11</f>
        <v>40.594128007873358</v>
      </c>
      <c r="D27" s="1">
        <f>Final!P11</f>
        <v>149.71847998438395</v>
      </c>
      <c r="E27" s="1">
        <f>Final!Q11</f>
        <v>390.60981423998044</v>
      </c>
      <c r="F27" s="1">
        <f>Final!R11</f>
        <v>842.53447940787851</v>
      </c>
      <c r="G27" s="1">
        <f>Final!S11</f>
        <v>1605.4574974494758</v>
      </c>
      <c r="I27" s="48">
        <v>5</v>
      </c>
      <c r="J27" s="49" t="str">
        <f>Summary!C26</f>
        <v>H</v>
      </c>
      <c r="K27" s="49" t="str">
        <f>Summary!D26</f>
        <v>D</v>
      </c>
      <c r="L27" s="49" t="str">
        <f>Summary!E26</f>
        <v>D</v>
      </c>
      <c r="M27" s="49" t="str">
        <f>Summary!F26</f>
        <v>D</v>
      </c>
      <c r="N27" s="49" t="str">
        <f>Summary!G26</f>
        <v>D</v>
      </c>
      <c r="O27" s="49" t="str">
        <f>Summary!H26</f>
        <v>D</v>
      </c>
      <c r="P27" s="49" t="str">
        <f>Summary!I26</f>
        <v>D</v>
      </c>
      <c r="Q27" s="49" t="str">
        <f>Summary!J26</f>
        <v>D</v>
      </c>
      <c r="R27" s="49" t="str">
        <f>Summary!K26</f>
        <v>D</v>
      </c>
      <c r="S27" s="49" t="str">
        <f>Summary!L26</f>
        <v>H</v>
      </c>
    </row>
    <row r="28" spans="1:19" x14ac:dyDescent="0.2">
      <c r="A28" s="303" t="str">
        <f>Final!M12</f>
        <v>Strategy Edges</v>
      </c>
      <c r="B28" s="304">
        <f>Final!N12</f>
        <v>0</v>
      </c>
      <c r="C28" s="304">
        <f>Final!O12</f>
        <v>0</v>
      </c>
      <c r="D28" s="304">
        <f>Final!P12</f>
        <v>0</v>
      </c>
      <c r="E28" s="304">
        <f>Final!Q12</f>
        <v>0</v>
      </c>
      <c r="F28" s="304">
        <f>Final!R12</f>
        <v>0</v>
      </c>
      <c r="G28" s="305">
        <f>Final!S12</f>
        <v>0</v>
      </c>
      <c r="I28" s="48">
        <v>6</v>
      </c>
      <c r="J28" s="49" t="str">
        <f>Summary!C27</f>
        <v>H</v>
      </c>
      <c r="K28" s="49" t="str">
        <f>Summary!D27</f>
        <v>H</v>
      </c>
      <c r="L28" s="49" t="str">
        <f>Summary!E27</f>
        <v>P</v>
      </c>
      <c r="M28" s="49" t="str">
        <f>Summary!F27</f>
        <v>P</v>
      </c>
      <c r="N28" s="49" t="str">
        <f>Summary!G27</f>
        <v>P</v>
      </c>
      <c r="O28" s="49" t="str">
        <f>Summary!H27</f>
        <v>P</v>
      </c>
      <c r="P28" s="49" t="str">
        <f>Summary!I27</f>
        <v>H</v>
      </c>
      <c r="Q28" s="49" t="str">
        <f>Summary!J27</f>
        <v>H</v>
      </c>
      <c r="R28" s="49" t="str">
        <f>Summary!K27</f>
        <v>H</v>
      </c>
      <c r="S28" s="49" t="str">
        <f>Summary!L27</f>
        <v>H</v>
      </c>
    </row>
    <row r="29" spans="1:19" x14ac:dyDescent="0.2">
      <c r="A29" s="177" t="str">
        <f>Final!M13</f>
        <v>Level</v>
      </c>
      <c r="B29" s="177" t="str">
        <f>Final!N13</f>
        <v>1x2</v>
      </c>
      <c r="C29" s="177" t="str">
        <f>Final!O13</f>
        <v>1x3</v>
      </c>
      <c r="D29" s="177" t="str">
        <f>Final!P13</f>
        <v>1x4</v>
      </c>
      <c r="E29" s="177" t="str">
        <f>Final!Q13</f>
        <v>1x5</v>
      </c>
      <c r="F29" s="177" t="str">
        <f>Final!R13</f>
        <v>1x6</v>
      </c>
      <c r="G29" s="177" t="str">
        <f>Final!S13</f>
        <v>1x7</v>
      </c>
      <c r="I29" s="48">
        <v>7</v>
      </c>
      <c r="J29" s="49" t="str">
        <f>Summary!C28</f>
        <v>H</v>
      </c>
      <c r="K29" s="49" t="str">
        <f>Summary!D28</f>
        <v>P</v>
      </c>
      <c r="L29" s="49" t="str">
        <f>Summary!E28</f>
        <v>P</v>
      </c>
      <c r="M29" s="49" t="str">
        <f>Summary!F28</f>
        <v>P</v>
      </c>
      <c r="N29" s="49" t="str">
        <f>Summary!G28</f>
        <v>P</v>
      </c>
      <c r="O29" s="49" t="str">
        <f>Summary!H28</f>
        <v>P</v>
      </c>
      <c r="P29" s="49" t="str">
        <f>Summary!I28</f>
        <v>P</v>
      </c>
      <c r="Q29" s="49" t="str">
        <f>Summary!J28</f>
        <v>H</v>
      </c>
      <c r="R29" s="49" t="str">
        <f>Summary!K28</f>
        <v>H</v>
      </c>
      <c r="S29" s="49" t="str">
        <f>Summary!L28</f>
        <v>H</v>
      </c>
    </row>
    <row r="30" spans="1:19" x14ac:dyDescent="0.2">
      <c r="A30" s="177">
        <f>Final!M14</f>
        <v>2</v>
      </c>
      <c r="B30" s="1">
        <f>Final!N14</f>
        <v>0.46572739415337044</v>
      </c>
      <c r="C30" s="1">
        <f>Final!O14</f>
        <v>0.61181931874426798</v>
      </c>
      <c r="D30" s="1">
        <f>Final!P14</f>
        <v>0.68396550721688909</v>
      </c>
      <c r="E30" s="1">
        <f>Final!Q14</f>
        <v>0.72439808678634787</v>
      </c>
      <c r="F30" s="1">
        <f>Final!R14</f>
        <v>0.74893598538226158</v>
      </c>
      <c r="G30" s="1">
        <f>Final!S14</f>
        <v>0.76462049939647958</v>
      </c>
      <c r="I30" s="48">
        <v>8</v>
      </c>
      <c r="J30" s="49" t="str">
        <f>Summary!C29</f>
        <v>S</v>
      </c>
      <c r="K30" s="49" t="str">
        <f>Summary!D29</f>
        <v>P</v>
      </c>
      <c r="L30" s="49" t="str">
        <f>Summary!E29</f>
        <v>P</v>
      </c>
      <c r="M30" s="49" t="str">
        <f>Summary!F29</f>
        <v>P</v>
      </c>
      <c r="N30" s="49" t="str">
        <f>Summary!G29</f>
        <v>P</v>
      </c>
      <c r="O30" s="49" t="str">
        <f>Summary!H29</f>
        <v>P</v>
      </c>
      <c r="P30" s="49" t="str">
        <f>Summary!I29</f>
        <v>P</v>
      </c>
      <c r="Q30" s="49" t="str">
        <f>Summary!J29</f>
        <v>P</v>
      </c>
      <c r="R30" s="49" t="str">
        <f>Summary!K29</f>
        <v>P</v>
      </c>
      <c r="S30" s="49" t="str">
        <f>Summary!L29</f>
        <v>H</v>
      </c>
    </row>
    <row r="31" spans="1:19" x14ac:dyDescent="0.2">
      <c r="A31" s="177">
        <f>Final!M15</f>
        <v>3</v>
      </c>
      <c r="B31" s="1">
        <f>Final!N15</f>
        <v>0.64317191147208108</v>
      </c>
      <c r="C31" s="1">
        <f>Final!O15</f>
        <v>0.78341055193537878</v>
      </c>
      <c r="D31" s="1">
        <f>Final!P15</f>
        <v>0.84353843668476636</v>
      </c>
      <c r="E31" s="1">
        <f>Final!Q15</f>
        <v>0.87407689830200419</v>
      </c>
      <c r="F31" s="1">
        <f>Final!R15</f>
        <v>0.8913994291370505</v>
      </c>
      <c r="G31" s="1">
        <f>Final!S15</f>
        <v>0.90196679427164039</v>
      </c>
      <c r="I31" s="48">
        <v>9</v>
      </c>
      <c r="J31" s="49" t="str">
        <f>Summary!C30</f>
        <v>S</v>
      </c>
      <c r="K31" s="49" t="str">
        <f>Summary!D30</f>
        <v>P</v>
      </c>
      <c r="L31" s="49" t="str">
        <f>Summary!E30</f>
        <v>P</v>
      </c>
      <c r="M31" s="49" t="str">
        <f>Summary!F30</f>
        <v>P</v>
      </c>
      <c r="N31" s="49" t="str">
        <f>Summary!G30</f>
        <v>P</v>
      </c>
      <c r="O31" s="49" t="str">
        <f>Summary!H30</f>
        <v>P</v>
      </c>
      <c r="P31" s="49" t="str">
        <f>Summary!I30</f>
        <v>S</v>
      </c>
      <c r="Q31" s="49" t="str">
        <f>Summary!J30</f>
        <v>P</v>
      </c>
      <c r="R31" s="49" t="str">
        <f>Summary!K30</f>
        <v>P</v>
      </c>
      <c r="S31" s="49" t="str">
        <f>Summary!L30</f>
        <v>S</v>
      </c>
    </row>
    <row r="32" spans="1:19" x14ac:dyDescent="0.2">
      <c r="A32" s="177">
        <f>Final!M16</f>
        <v>4</v>
      </c>
      <c r="B32" s="1">
        <f>Final!N16</f>
        <v>0.74667183613445132</v>
      </c>
      <c r="C32" s="1">
        <f>Final!O16</f>
        <v>0.87307572952522516</v>
      </c>
      <c r="D32" s="1">
        <f>Final!P16</f>
        <v>0.91935383975987739</v>
      </c>
      <c r="E32" s="1">
        <f>Final!Q16</f>
        <v>0.94042846022944293</v>
      </c>
      <c r="F32" s="1">
        <f>Final!R16</f>
        <v>0.95153014094728505</v>
      </c>
      <c r="G32" s="1">
        <f>Final!S16</f>
        <v>0.95796796441162091</v>
      </c>
      <c r="I32" s="48">
        <v>10</v>
      </c>
      <c r="J32" s="49" t="str">
        <f>Summary!C31</f>
        <v>S</v>
      </c>
      <c r="K32" s="49" t="str">
        <f>Summary!D31</f>
        <v>S</v>
      </c>
      <c r="L32" s="49" t="str">
        <f>Summary!E31</f>
        <v>S</v>
      </c>
      <c r="M32" s="49" t="str">
        <f>Summary!F31</f>
        <v>S</v>
      </c>
      <c r="N32" s="49" t="str">
        <f>Summary!G31</f>
        <v>S</v>
      </c>
      <c r="O32" s="49" t="str">
        <f>Summary!H31</f>
        <v>S</v>
      </c>
      <c r="P32" s="49" t="str">
        <f>Summary!I31</f>
        <v>S</v>
      </c>
      <c r="Q32" s="49" t="str">
        <f>Summary!J31</f>
        <v>S</v>
      </c>
      <c r="R32" s="49" t="str">
        <f>Summary!K31</f>
        <v>S</v>
      </c>
      <c r="S32" s="49" t="str">
        <f>Summary!L31</f>
        <v>S</v>
      </c>
    </row>
    <row r="33" spans="1:19" x14ac:dyDescent="0.2">
      <c r="A33" s="306" t="str">
        <f>Final!M17</f>
        <v>Strategy #1 Bet your Edge Bankroll</v>
      </c>
      <c r="B33" s="307"/>
      <c r="C33" s="307"/>
      <c r="D33" s="307"/>
      <c r="E33" s="307"/>
      <c r="F33" s="307"/>
      <c r="G33" s="308"/>
      <c r="I33" s="321" t="str">
        <f>Summary!B32</f>
        <v>EV = -0.0322153307097501</v>
      </c>
      <c r="J33" s="321"/>
      <c r="K33" s="321"/>
      <c r="L33" s="321"/>
      <c r="M33" s="321"/>
      <c r="N33" s="321"/>
      <c r="O33" s="321"/>
      <c r="P33" s="321"/>
      <c r="Q33" s="321"/>
      <c r="R33" s="321"/>
      <c r="S33" s="321"/>
    </row>
    <row r="34" spans="1:19" x14ac:dyDescent="0.2">
      <c r="A34" s="177" t="str">
        <f>Final!M18</f>
        <v>Level</v>
      </c>
      <c r="B34" s="177" t="str">
        <f>Final!N18</f>
        <v>1x2</v>
      </c>
      <c r="C34" s="177" t="str">
        <f>Final!O18</f>
        <v>1x3</v>
      </c>
      <c r="D34" s="177" t="str">
        <f>Final!P18</f>
        <v>1x4</v>
      </c>
      <c r="E34" s="177" t="str">
        <f>Final!Q18</f>
        <v>1x5</v>
      </c>
      <c r="F34" s="177" t="str">
        <f>Final!R18</f>
        <v>1x6</v>
      </c>
      <c r="G34" s="177" t="str">
        <f>Final!S18</f>
        <v>1x7</v>
      </c>
      <c r="I34" s="321" t="str">
        <f>Summary!B33</f>
        <v>EV = -3.22153307097501 %</v>
      </c>
      <c r="J34" s="321"/>
      <c r="K34" s="321"/>
      <c r="L34" s="321"/>
      <c r="M34" s="321"/>
      <c r="N34" s="321"/>
      <c r="O34" s="321"/>
      <c r="P34" s="321"/>
      <c r="Q34" s="321"/>
      <c r="R34" s="321"/>
      <c r="S34" s="321"/>
    </row>
    <row r="35" spans="1:19" x14ac:dyDescent="0.2">
      <c r="A35" s="177">
        <f>Final!M19</f>
        <v>2</v>
      </c>
      <c r="B35" s="1">
        <f>Final!N19</f>
        <v>12.883072963545962</v>
      </c>
      <c r="C35" s="1">
        <f>Final!O19</f>
        <v>19.613633686215511</v>
      </c>
      <c r="D35" s="1">
        <f>Final!P19</f>
        <v>29.241240660485374</v>
      </c>
      <c r="E35" s="1">
        <f>Final!Q19</f>
        <v>41.413693033190086</v>
      </c>
      <c r="F35" s="1">
        <f>Final!R19</f>
        <v>56.079559294460843</v>
      </c>
      <c r="G35" s="1">
        <f>Final!S19</f>
        <v>73.238946698657955</v>
      </c>
      <c r="I35" s="325" t="s">
        <v>24</v>
      </c>
      <c r="J35" s="325"/>
      <c r="K35" s="325"/>
      <c r="L35" s="325"/>
      <c r="M35" s="325"/>
      <c r="N35" s="325"/>
      <c r="O35" s="325"/>
      <c r="P35" s="325"/>
      <c r="Q35" s="325"/>
      <c r="R35" s="325"/>
      <c r="S35" s="325"/>
    </row>
    <row r="36" spans="1:19" x14ac:dyDescent="0.2">
      <c r="A36" s="177">
        <f>Final!M20</f>
        <v>3</v>
      </c>
      <c r="B36" s="1">
        <f>Final!N20</f>
        <v>21.767119723802981</v>
      </c>
      <c r="C36" s="1">
        <f>Final!O20</f>
        <v>49.782326653186303</v>
      </c>
      <c r="D36" s="1">
        <f>Final!P20</f>
        <v>99.580524546258616</v>
      </c>
      <c r="E36" s="1">
        <f>Final!Q20</f>
        <v>177.3299355023631</v>
      </c>
      <c r="F36" s="1">
        <f>Final!R20</f>
        <v>289.43253895704834</v>
      </c>
      <c r="G36" s="1">
        <f>Final!S20</f>
        <v>442.36661763385865</v>
      </c>
      <c r="I36" s="326" t="s">
        <v>25</v>
      </c>
      <c r="J36" s="326"/>
      <c r="K36" s="326"/>
      <c r="L36" s="326"/>
      <c r="M36" s="326"/>
      <c r="N36" s="326"/>
      <c r="O36" s="326"/>
      <c r="P36" s="326"/>
      <c r="Q36" s="326"/>
      <c r="R36" s="326"/>
      <c r="S36" s="326"/>
    </row>
    <row r="37" spans="1:19" x14ac:dyDescent="0.2">
      <c r="A37" s="177">
        <f>Final!M21</f>
        <v>4</v>
      </c>
      <c r="B37" s="1">
        <f>Final!N21</f>
        <v>40.178293258402711</v>
      </c>
      <c r="C37" s="1">
        <f>Final!O21</f>
        <v>137.44512181693045</v>
      </c>
      <c r="D37" s="1">
        <f>Final!P21</f>
        <v>369.8249632467988</v>
      </c>
      <c r="E37" s="1">
        <f>Final!Q21</f>
        <v>829.4091820761123</v>
      </c>
      <c r="F37" s="1">
        <f>Final!R21</f>
        <v>1633.1589858550701</v>
      </c>
      <c r="G37" s="1">
        <f>Final!S21</f>
        <v>2922.8534815563962</v>
      </c>
      <c r="I37" s="322" t="s">
        <v>26</v>
      </c>
      <c r="J37" s="322"/>
      <c r="K37" s="322"/>
      <c r="L37" s="322"/>
      <c r="M37" s="322"/>
      <c r="N37" s="322"/>
      <c r="O37" s="322"/>
      <c r="P37" s="322"/>
      <c r="Q37" s="322"/>
      <c r="R37" s="322"/>
      <c r="S37" s="322"/>
    </row>
    <row r="38" spans="1:19" x14ac:dyDescent="0.2">
      <c r="A38" s="306" t="str">
        <f>Final!M27</f>
        <v>Strategy #1 Bet Your Edge ROI</v>
      </c>
      <c r="B38" s="307"/>
      <c r="C38" s="307"/>
      <c r="D38" s="307"/>
      <c r="E38" s="307"/>
      <c r="F38" s="307"/>
      <c r="G38" s="308"/>
      <c r="I38" s="323" t="s">
        <v>27</v>
      </c>
      <c r="J38" s="323"/>
      <c r="K38" s="323"/>
      <c r="L38" s="323"/>
      <c r="M38" s="323"/>
      <c r="N38" s="323"/>
      <c r="O38" s="323"/>
      <c r="P38" s="323"/>
      <c r="Q38" s="323"/>
      <c r="R38" s="323"/>
      <c r="S38" s="323"/>
    </row>
    <row r="39" spans="1:19" x14ac:dyDescent="0.2">
      <c r="A39" s="177" t="str">
        <f>Final!M28</f>
        <v>Level</v>
      </c>
      <c r="B39" s="177" t="str">
        <f>Final!N28</f>
        <v>1x2</v>
      </c>
      <c r="C39" s="177" t="str">
        <f>Final!O28</f>
        <v>1x3</v>
      </c>
      <c r="D39" s="177" t="str">
        <f>Final!P28</f>
        <v>1x4</v>
      </c>
      <c r="E39" s="177" t="str">
        <f>Final!Q28</f>
        <v>1x5</v>
      </c>
      <c r="F39" s="177" t="str">
        <f>Final!R28</f>
        <v>1x6</v>
      </c>
      <c r="G39" s="177" t="str">
        <f>Final!S28</f>
        <v>1x7</v>
      </c>
      <c r="I39" s="321" t="s">
        <v>28</v>
      </c>
      <c r="J39" s="321"/>
      <c r="K39" s="321"/>
      <c r="L39" s="321"/>
      <c r="M39" s="321"/>
      <c r="N39" s="321"/>
      <c r="O39" s="321"/>
      <c r="P39" s="321"/>
      <c r="Q39" s="321"/>
      <c r="R39" s="321"/>
      <c r="S39" s="321"/>
    </row>
    <row r="40" spans="1:19" x14ac:dyDescent="0.2">
      <c r="A40" s="177">
        <f>Final!M29</f>
        <v>2</v>
      </c>
      <c r="B40" s="1">
        <f>Final!N29</f>
        <v>3.3327406233157657E-2</v>
      </c>
      <c r="C40" s="1">
        <f>Final!O29</f>
        <v>0.12272235486171469</v>
      </c>
      <c r="D40" s="1">
        <f>Final!P29</f>
        <v>0.1909241289241882</v>
      </c>
      <c r="E40" s="1">
        <f>Final!Q29</f>
        <v>0.24081611489445204</v>
      </c>
      <c r="F40" s="1">
        <f>Final!R29</f>
        <v>0.27818028103929615</v>
      </c>
      <c r="G40" s="1">
        <f>Final!S29</f>
        <v>0.30699140825739879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1:19" x14ac:dyDescent="0.2">
      <c r="A41" s="177">
        <f>Final!M30</f>
        <v>3</v>
      </c>
      <c r="B41" s="1">
        <f>Final!N30</f>
        <v>6.4876174752912144E-2</v>
      </c>
      <c r="C41" s="1">
        <f>Final!O30</f>
        <v>0.21462889134706367</v>
      </c>
      <c r="D41" s="1">
        <f>Final!P30</f>
        <v>0.31233605263143976</v>
      </c>
      <c r="E41" s="1">
        <f>Final!Q30</f>
        <v>0.37719575170121261</v>
      </c>
      <c r="F41" s="1">
        <f>Final!R30</f>
        <v>0.42322188684315437</v>
      </c>
      <c r="G41" s="1">
        <f>Final!S30</f>
        <v>0.45782382951491951</v>
      </c>
    </row>
    <row r="42" spans="1:19" x14ac:dyDescent="0.2">
      <c r="A42" s="177">
        <f>Final!M31</f>
        <v>4</v>
      </c>
      <c r="B42" s="1">
        <f>Final!N31</f>
        <v>9.7795367646143508E-2</v>
      </c>
      <c r="C42" s="1">
        <f>Final!O31</f>
        <v>0.29534789937428674</v>
      </c>
      <c r="D42" s="1">
        <f>Final!P31</f>
        <v>0.40483605722545801</v>
      </c>
      <c r="E42" s="1">
        <f>Final!Q31</f>
        <v>0.47094946943104299</v>
      </c>
      <c r="F42" s="1">
        <f>Final!R31</f>
        <v>0.51589250446842094</v>
      </c>
      <c r="G42" s="1">
        <f>Final!S31</f>
        <v>0.54927744670751766</v>
      </c>
    </row>
  </sheetData>
  <sheetProtection sheet="1" objects="1" scenarios="1"/>
  <mergeCells count="17">
    <mergeCell ref="I39:S39"/>
    <mergeCell ref="I37:S37"/>
    <mergeCell ref="I38:S38"/>
    <mergeCell ref="I2:S2"/>
    <mergeCell ref="I33:S33"/>
    <mergeCell ref="I35:S35"/>
    <mergeCell ref="I36:S36"/>
    <mergeCell ref="I34:S34"/>
    <mergeCell ref="A22:G22"/>
    <mergeCell ref="A38:G38"/>
    <mergeCell ref="A28:G28"/>
    <mergeCell ref="A33:G33"/>
    <mergeCell ref="A1:S1"/>
    <mergeCell ref="C21:D21"/>
    <mergeCell ref="E21:F21"/>
    <mergeCell ref="A2:G2"/>
    <mergeCell ref="B19:G19"/>
  </mergeCells>
  <phoneticPr fontId="16" type="noConversion"/>
  <conditionalFormatting sqref="J23:S32 J4:S13 J15:S21">
    <cfRule type="containsText" dxfId="1064" priority="70" operator="containsText" text="S">
      <formula>NOT(ISERROR(SEARCH("S",J4)))</formula>
    </cfRule>
    <cfRule type="containsText" dxfId="1063" priority="71" operator="containsText" text="H">
      <formula>NOT(ISERROR(SEARCH("H",J4)))</formula>
    </cfRule>
  </conditionalFormatting>
  <conditionalFormatting sqref="J23:S32 J4:S13 J15:S21">
    <cfRule type="containsText" dxfId="1062" priority="69" operator="containsText" text="D">
      <formula>NOT(ISERROR(SEARCH("D",J4)))</formula>
    </cfRule>
  </conditionalFormatting>
  <conditionalFormatting sqref="J23:S32 J4:S13 J15:S21">
    <cfRule type="containsText" dxfId="1061" priority="68" operator="containsText" text="R">
      <formula>NOT(ISERROR(SEARCH("R",J4)))</formula>
    </cfRule>
  </conditionalFormatting>
  <conditionalFormatting sqref="J23:S32 J4:S13 J15:S21">
    <cfRule type="containsText" dxfId="1060" priority="67" operator="containsText" text="P">
      <formula>NOT(ISERROR(SEARCH("P",J4)))</formula>
    </cfRule>
  </conditionalFormatting>
  <conditionalFormatting sqref="A39:A42">
    <cfRule type="containsText" dxfId="1059" priority="65" operator="containsText" text="S">
      <formula>NOT(ISERROR(SEARCH("S",A39)))</formula>
    </cfRule>
    <cfRule type="containsText" dxfId="1058" priority="66" operator="containsText" text="H">
      <formula>NOT(ISERROR(SEARCH("H",A39)))</formula>
    </cfRule>
  </conditionalFormatting>
  <conditionalFormatting sqref="A39:A42">
    <cfRule type="containsText" dxfId="1057" priority="64" operator="containsText" text="D">
      <formula>NOT(ISERROR(SEARCH("D",A39)))</formula>
    </cfRule>
  </conditionalFormatting>
  <conditionalFormatting sqref="A39:A42">
    <cfRule type="containsText" dxfId="1056" priority="63" operator="containsText" text="R">
      <formula>NOT(ISERROR(SEARCH("R",A39)))</formula>
    </cfRule>
  </conditionalFormatting>
  <conditionalFormatting sqref="A39:A42">
    <cfRule type="containsText" dxfId="1055" priority="62" operator="containsText" text="P">
      <formula>NOT(ISERROR(SEARCH("P",A39)))</formula>
    </cfRule>
  </conditionalFormatting>
  <conditionalFormatting sqref="B39:G39">
    <cfRule type="containsText" dxfId="1054" priority="60" operator="containsText" text="S">
      <formula>NOT(ISERROR(SEARCH("S",B39)))</formula>
    </cfRule>
    <cfRule type="containsText" dxfId="1053" priority="61" operator="containsText" text="H">
      <formula>NOT(ISERROR(SEARCH("H",B39)))</formula>
    </cfRule>
  </conditionalFormatting>
  <conditionalFormatting sqref="B39:G39">
    <cfRule type="containsText" dxfId="1052" priority="59" operator="containsText" text="D">
      <formula>NOT(ISERROR(SEARCH("D",B39)))</formula>
    </cfRule>
  </conditionalFormatting>
  <conditionalFormatting sqref="B39:G39">
    <cfRule type="containsText" dxfId="1051" priority="58" operator="containsText" text="R">
      <formula>NOT(ISERROR(SEARCH("R",B39)))</formula>
    </cfRule>
  </conditionalFormatting>
  <conditionalFormatting sqref="B39:G39">
    <cfRule type="containsText" dxfId="1050" priority="57" operator="containsText" text="P">
      <formula>NOT(ISERROR(SEARCH("P",B39)))</formula>
    </cfRule>
  </conditionalFormatting>
  <conditionalFormatting sqref="B40:G42">
    <cfRule type="colorScale" priority="55">
      <colorScale>
        <cfvo type="num" val="0"/>
        <cfvo type="num" val="0"/>
        <cfvo type="max"/>
        <color rgb="FFFF0000"/>
        <color rgb="FFFFEB84"/>
        <color rgb="FF00B050"/>
      </colorScale>
    </cfRule>
    <cfRule type="cellIs" dxfId="1049" priority="56" operator="equal">
      <formula>MAX($B$40:$G$42)</formula>
    </cfRule>
  </conditionalFormatting>
  <conditionalFormatting sqref="A23:A27">
    <cfRule type="containsText" dxfId="1048" priority="53" operator="containsText" text="S">
      <formula>NOT(ISERROR(SEARCH("S",A23)))</formula>
    </cfRule>
    <cfRule type="containsText" dxfId="1047" priority="54" operator="containsText" text="H">
      <formula>NOT(ISERROR(SEARCH("H",A23)))</formula>
    </cfRule>
  </conditionalFormatting>
  <conditionalFormatting sqref="A23:A27">
    <cfRule type="containsText" dxfId="1046" priority="52" operator="containsText" text="D">
      <formula>NOT(ISERROR(SEARCH("D",A23)))</formula>
    </cfRule>
  </conditionalFormatting>
  <conditionalFormatting sqref="A23:A27">
    <cfRule type="containsText" dxfId="1045" priority="51" operator="containsText" text="R">
      <formula>NOT(ISERROR(SEARCH("R",A23)))</formula>
    </cfRule>
  </conditionalFormatting>
  <conditionalFormatting sqref="A23:A27">
    <cfRule type="containsText" dxfId="1044" priority="50" operator="containsText" text="P">
      <formula>NOT(ISERROR(SEARCH("P",A23)))</formula>
    </cfRule>
  </conditionalFormatting>
  <conditionalFormatting sqref="B23:G23">
    <cfRule type="containsText" dxfId="1043" priority="48" operator="containsText" text="S">
      <formula>NOT(ISERROR(SEARCH("S",B23)))</formula>
    </cfRule>
    <cfRule type="containsText" dxfId="1042" priority="49" operator="containsText" text="H">
      <formula>NOT(ISERROR(SEARCH("H",B23)))</formula>
    </cfRule>
  </conditionalFormatting>
  <conditionalFormatting sqref="B23:G23">
    <cfRule type="containsText" dxfId="1041" priority="47" operator="containsText" text="D">
      <formula>NOT(ISERROR(SEARCH("D",B23)))</formula>
    </cfRule>
  </conditionalFormatting>
  <conditionalFormatting sqref="B23:G23">
    <cfRule type="containsText" dxfId="1040" priority="46" operator="containsText" text="R">
      <formula>NOT(ISERROR(SEARCH("R",B23)))</formula>
    </cfRule>
  </conditionalFormatting>
  <conditionalFormatting sqref="B23:G23">
    <cfRule type="containsText" dxfId="1039" priority="45" operator="containsText" text="P">
      <formula>NOT(ISERROR(SEARCH("P",B23)))</formula>
    </cfRule>
  </conditionalFormatting>
  <conditionalFormatting sqref="B24:G27">
    <cfRule type="colorScale" priority="44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A34:A37">
    <cfRule type="containsText" dxfId="1038" priority="22" operator="containsText" text="S">
      <formula>NOT(ISERROR(SEARCH("S",A34)))</formula>
    </cfRule>
    <cfRule type="containsText" dxfId="1037" priority="23" operator="containsText" text="H">
      <formula>NOT(ISERROR(SEARCH("H",A34)))</formula>
    </cfRule>
  </conditionalFormatting>
  <conditionalFormatting sqref="A34:A37">
    <cfRule type="containsText" dxfId="1036" priority="21" operator="containsText" text="D">
      <formula>NOT(ISERROR(SEARCH("D",A34)))</formula>
    </cfRule>
  </conditionalFormatting>
  <conditionalFormatting sqref="A34:A37">
    <cfRule type="containsText" dxfId="1035" priority="20" operator="containsText" text="R">
      <formula>NOT(ISERROR(SEARCH("R",A34)))</formula>
    </cfRule>
  </conditionalFormatting>
  <conditionalFormatting sqref="A34:A37">
    <cfRule type="containsText" dxfId="1034" priority="19" operator="containsText" text="P">
      <formula>NOT(ISERROR(SEARCH("P",A34)))</formula>
    </cfRule>
  </conditionalFormatting>
  <conditionalFormatting sqref="B34:G34">
    <cfRule type="containsText" dxfId="1033" priority="17" operator="containsText" text="S">
      <formula>NOT(ISERROR(SEARCH("S",B34)))</formula>
    </cfRule>
    <cfRule type="containsText" dxfId="1032" priority="18" operator="containsText" text="H">
      <formula>NOT(ISERROR(SEARCH("H",B34)))</formula>
    </cfRule>
  </conditionalFormatting>
  <conditionalFormatting sqref="B34:G34">
    <cfRule type="containsText" dxfId="1031" priority="16" operator="containsText" text="D">
      <formula>NOT(ISERROR(SEARCH("D",B34)))</formula>
    </cfRule>
  </conditionalFormatting>
  <conditionalFormatting sqref="B34:G34">
    <cfRule type="containsText" dxfId="1030" priority="15" operator="containsText" text="R">
      <formula>NOT(ISERROR(SEARCH("R",B34)))</formula>
    </cfRule>
  </conditionalFormatting>
  <conditionalFormatting sqref="B34:G34">
    <cfRule type="containsText" dxfId="1029" priority="14" operator="containsText" text="P">
      <formula>NOT(ISERROR(SEARCH("P",B34)))</formula>
    </cfRule>
  </conditionalFormatting>
  <conditionalFormatting sqref="B35:G37">
    <cfRule type="colorScale" priority="12">
      <colorScale>
        <cfvo type="num" val="0"/>
        <cfvo type="num" val="0"/>
        <cfvo type="max"/>
        <color rgb="FF00B050"/>
        <color rgb="FFFFEB84"/>
        <color rgb="FFFF0000"/>
      </colorScale>
    </cfRule>
    <cfRule type="cellIs" dxfId="1028" priority="13" operator="equal">
      <formula>MAX($N$29:$V$31)</formula>
    </cfRule>
  </conditionalFormatting>
  <conditionalFormatting sqref="A29:A32">
    <cfRule type="containsText" dxfId="1027" priority="10" operator="containsText" text="S">
      <formula>NOT(ISERROR(SEARCH("S",A29)))</formula>
    </cfRule>
    <cfRule type="containsText" dxfId="1026" priority="11" operator="containsText" text="H">
      <formula>NOT(ISERROR(SEARCH("H",A29)))</formula>
    </cfRule>
  </conditionalFormatting>
  <conditionalFormatting sqref="A29:A32">
    <cfRule type="containsText" dxfId="1025" priority="9" operator="containsText" text="D">
      <formula>NOT(ISERROR(SEARCH("D",A29)))</formula>
    </cfRule>
  </conditionalFormatting>
  <conditionalFormatting sqref="A29:A32">
    <cfRule type="containsText" dxfId="1024" priority="8" operator="containsText" text="R">
      <formula>NOT(ISERROR(SEARCH("R",A29)))</formula>
    </cfRule>
  </conditionalFormatting>
  <conditionalFormatting sqref="A29:A32">
    <cfRule type="containsText" dxfId="1023" priority="7" operator="containsText" text="P">
      <formula>NOT(ISERROR(SEARCH("P",A29)))</formula>
    </cfRule>
  </conditionalFormatting>
  <conditionalFormatting sqref="B29:G29">
    <cfRule type="containsText" dxfId="1022" priority="5" operator="containsText" text="S">
      <formula>NOT(ISERROR(SEARCH("S",B29)))</formula>
    </cfRule>
    <cfRule type="containsText" dxfId="1021" priority="6" operator="containsText" text="H">
      <formula>NOT(ISERROR(SEARCH("H",B29)))</formula>
    </cfRule>
  </conditionalFormatting>
  <conditionalFormatting sqref="B29:G29">
    <cfRule type="containsText" dxfId="1020" priority="4" operator="containsText" text="D">
      <formula>NOT(ISERROR(SEARCH("D",B29)))</formula>
    </cfRule>
  </conditionalFormatting>
  <conditionalFormatting sqref="B29:G29">
    <cfRule type="containsText" dxfId="1019" priority="3" operator="containsText" text="R">
      <formula>NOT(ISERROR(SEARCH("R",B29)))</formula>
    </cfRule>
  </conditionalFormatting>
  <conditionalFormatting sqref="B29:G29">
    <cfRule type="containsText" dxfId="1018" priority="2" operator="containsText" text="P">
      <formula>NOT(ISERROR(SEARCH("P",B29)))</formula>
    </cfRule>
  </conditionalFormatting>
  <conditionalFormatting sqref="B30:G32">
    <cfRule type="colorScale" priority="1">
      <colorScale>
        <cfvo type="num" val="0"/>
        <cfvo type="num" val="0"/>
        <cfvo type="max"/>
        <color rgb="FFFF0000"/>
        <color rgb="FFFFEB84"/>
        <color rgb="FF00B050"/>
      </colorScale>
    </cfRule>
  </conditionalFormatting>
  <dataValidations count="14">
    <dataValidation type="list" allowBlank="1" showInputMessage="1" showErrorMessage="1" sqref="B4" xr:uid="{00000000-0002-0000-0000-000000000000}">
      <formula1>$E$4:$F$4</formula1>
    </dataValidation>
    <dataValidation type="list" allowBlank="1" showInputMessage="1" showErrorMessage="1" sqref="B3" xr:uid="{00000000-0002-0000-0000-000001000000}">
      <formula1>$E$3:$G$3</formula1>
    </dataValidation>
    <dataValidation type="whole" allowBlank="1" showInputMessage="1" showErrorMessage="1" sqref="B5" xr:uid="{00000000-0002-0000-0000-000002000000}">
      <formula1>0</formula1>
      <formula2>100</formula2>
    </dataValidation>
    <dataValidation type="list" allowBlank="1" showInputMessage="1" showErrorMessage="1" sqref="B6" xr:uid="{00000000-0002-0000-0000-000003000000}">
      <formula1>$E$6:$F$6</formula1>
    </dataValidation>
    <dataValidation type="list" allowBlank="1" showInputMessage="1" showErrorMessage="1" sqref="B8:B9" xr:uid="{00000000-0002-0000-0000-000004000000}">
      <formula1>$E$8:$F$8</formula1>
    </dataValidation>
    <dataValidation type="list" allowBlank="1" showInputMessage="1" showErrorMessage="1" sqref="B7" xr:uid="{00000000-0002-0000-0000-000005000000}">
      <formula1>$E$7:$F$7</formula1>
    </dataValidation>
    <dataValidation type="list" allowBlank="1" showInputMessage="1" showErrorMessage="1" sqref="B10" xr:uid="{00000000-0002-0000-0000-000006000000}">
      <formula1>$E$10:$F$10</formula1>
    </dataValidation>
    <dataValidation type="whole" allowBlank="1" showInputMessage="1" showErrorMessage="1" sqref="B11 B17" xr:uid="{00000000-0002-0000-0000-000007000000}">
      <formula1>2</formula1>
      <formula2>5</formula2>
    </dataValidation>
    <dataValidation type="list" allowBlank="1" showInputMessage="1" showErrorMessage="1" sqref="B12" xr:uid="{00000000-0002-0000-0000-000008000000}">
      <formula1>$E$12:$F$12</formula1>
    </dataValidation>
    <dataValidation type="list" allowBlank="1" showInputMessage="1" showErrorMessage="1" sqref="B13" xr:uid="{00000000-0002-0000-0000-000009000000}">
      <formula1>$E$13:$F$13</formula1>
    </dataValidation>
    <dataValidation type="list" allowBlank="1" showInputMessage="1" showErrorMessage="1" sqref="B14" xr:uid="{00000000-0002-0000-0000-00000A000000}">
      <formula1>$E$14:$F$14</formula1>
    </dataValidation>
    <dataValidation type="list" allowBlank="1" showInputMessage="1" showErrorMessage="1" sqref="B16" xr:uid="{00000000-0002-0000-0000-00000B000000}">
      <formula1>$E$16:$G$16</formula1>
    </dataValidation>
    <dataValidation type="list" allowBlank="1" showInputMessage="1" showErrorMessage="1" sqref="B15" xr:uid="{00000000-0002-0000-0000-00000C000000}">
      <formula1>$E$15:$G$15</formula1>
    </dataValidation>
    <dataValidation type="textLength" operator="greaterThan" allowBlank="1" showInputMessage="1" showErrorMessage="1" sqref="B18:B19" xr:uid="{DB7CC3A3-DC58-B24B-8A55-F7465E4C5F5A}">
      <formula1>0</formula1>
    </dataValidation>
  </dataValidations>
  <pageMargins left="0.7" right="0.7" top="0.75" bottom="0.75" header="0.3" footer="0.3"/>
  <pageSetup paperSize="9" scale="7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63"/>
  <sheetViews>
    <sheetView workbookViewId="0">
      <selection activeCell="K9" sqref="K9"/>
    </sheetView>
  </sheetViews>
  <sheetFormatPr baseColWidth="10" defaultColWidth="8.83203125" defaultRowHeight="16" x14ac:dyDescent="0.2"/>
  <cols>
    <col min="14" max="24" width="3.5" customWidth="1"/>
  </cols>
  <sheetData>
    <row r="1" spans="1:24" ht="17" thickBot="1" x14ac:dyDescent="0.25">
      <c r="A1" s="312" t="s">
        <v>75</v>
      </c>
      <c r="B1" s="328"/>
      <c r="C1" s="328"/>
      <c r="D1" s="328"/>
      <c r="E1" s="328"/>
      <c r="F1" s="328"/>
      <c r="G1" s="328"/>
      <c r="H1" s="328"/>
      <c r="I1" s="328"/>
      <c r="J1" s="328"/>
      <c r="K1" s="313"/>
      <c r="N1" t="s">
        <v>7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</row>
    <row r="2" spans="1:24" ht="17" thickBot="1" x14ac:dyDescent="0.25">
      <c r="A2" s="101" t="s">
        <v>7</v>
      </c>
      <c r="B2" s="117">
        <v>1</v>
      </c>
      <c r="C2" s="118">
        <v>2</v>
      </c>
      <c r="D2" s="118">
        <v>3</v>
      </c>
      <c r="E2" s="118">
        <v>4</v>
      </c>
      <c r="F2" s="118">
        <v>5</v>
      </c>
      <c r="G2" s="118">
        <v>6</v>
      </c>
      <c r="H2" s="118">
        <v>7</v>
      </c>
      <c r="I2" s="118">
        <v>8</v>
      </c>
      <c r="J2" s="118">
        <v>9</v>
      </c>
      <c r="K2" s="105">
        <v>10</v>
      </c>
      <c r="N2">
        <v>1</v>
      </c>
      <c r="O2" s="31" t="str">
        <f>IF(B54=IF(Rules!$B$17=2,B42,IF(Rules!$B$17=3,B29,IF(Rules!$B$17=4,B16,B3))),"P",HSDR!O34)</f>
        <v>P</v>
      </c>
      <c r="P2" s="31" t="str">
        <f>IF(C54=IF(Rules!$B$17=2,C42,IF(Rules!$B$17=3,C29,IF(Rules!$B$17=4,C16,C3))),"P",HSDR!P34)</f>
        <v>P</v>
      </c>
      <c r="Q2" s="31" t="str">
        <f>IF(D54=IF(Rules!$B$17=2,D42,IF(Rules!$B$17=3,D29,IF(Rules!$B$17=4,D16,D3))),"P",HSDR!Q34)</f>
        <v>P</v>
      </c>
      <c r="R2" s="31" t="str">
        <f>IF(E54=IF(Rules!$B$17=2,E42,IF(Rules!$B$17=3,E29,IF(Rules!$B$17=4,E16,E3))),"P",HSDR!R34)</f>
        <v>P</v>
      </c>
      <c r="S2" s="31" t="str">
        <f>IF(F54=IF(Rules!$B$17=2,F42,IF(Rules!$B$17=3,F29,IF(Rules!$B$17=4,F16,F3))),"P",HSDR!S34)</f>
        <v>P</v>
      </c>
      <c r="T2" s="31" t="str">
        <f>IF(G54=IF(Rules!$B$17=2,G42,IF(Rules!$B$17=3,G29,IF(Rules!$B$17=4,G16,G3))),"P",HSDR!T34)</f>
        <v>P</v>
      </c>
      <c r="U2" s="31" t="str">
        <f>IF(H54=IF(Rules!$B$17=2,H42,IF(Rules!$B$17=3,H29,IF(Rules!$B$17=4,H16,H3))),"P",HSDR!U34)</f>
        <v>P</v>
      </c>
      <c r="V2" s="31" t="str">
        <f>IF(I54=IF(Rules!$B$17=2,I42,IF(Rules!$B$17=3,I29,IF(Rules!$B$17=4,I16,I3))),"P",HSDR!V34)</f>
        <v>P</v>
      </c>
      <c r="W2" s="31" t="str">
        <f>IF(J54=IF(Rules!$B$17=2,J42,IF(Rules!$B$17=3,J29,IF(Rules!$B$17=4,J16,J3))),"P",HSDR!W34)</f>
        <v>P</v>
      </c>
      <c r="X2" s="31" t="str">
        <f>IF(K54=IF(Rules!$B$17=2,K42,IF(Rules!$B$17=3,K29,IF(Rules!$B$17=4,K16,K3))),"P",HSDR!X34)</f>
        <v>P</v>
      </c>
    </row>
    <row r="3" spans="1:24" x14ac:dyDescent="0.2">
      <c r="A3" s="99">
        <v>1</v>
      </c>
      <c r="B3" s="109">
        <f>2*(IF(Rules!$B$12=Rules!$F$12,SUM(Stand!B36:B43)+Rules!$B$5*Stand!B44+B16,SUM(HSD!B36:B43)+Rules!$B$5*HSD!B44+B16)/(9+Rules!$B$5))</f>
        <v>-3.5255635824912389E-2</v>
      </c>
      <c r="C3" s="110">
        <f>2*(IF(Rules!$B$12=Rules!$F$12,SUM(Stand!C36:C43)+Rules!$B$5*Stand!C44+C16,SUM(HSD!C36:C43)+Rules!$B$5*HSD!C44+C16)/(9+Rules!$B$5))</f>
        <v>0.60893997246027043</v>
      </c>
      <c r="D3" s="110">
        <f>2*(IF(Rules!$B$12=Rules!$F$12,SUM(Stand!D36:D43)+Rules!$B$5*Stand!D44+D16,SUM(HSD!D36:D43)+Rules!$B$5*HSD!D44+D16)/(9+Rules!$B$5))</f>
        <v>0.65729370645788177</v>
      </c>
      <c r="E3" s="110">
        <f>2*(IF(Rules!$B$12=Rules!$F$12,SUM(Stand!E36:E43)+Rules!$B$5*Stand!E44+E16,SUM(HSD!E36:E43)+Rules!$B$5*HSD!E44+E16)/(9+Rules!$B$5))</f>
        <v>0.7068176357371978</v>
      </c>
      <c r="F3" s="110">
        <f>2*(IF(Rules!$B$12=Rules!$F$12,SUM(Stand!F36:F43)+Rules!$B$5*Stand!F44+F16,SUM(HSD!F36:F43)+Rules!$B$5*HSD!F44+F16)/(9+Rules!$B$5))</f>
        <v>0.75634348224235182</v>
      </c>
      <c r="G3" s="110">
        <f>2*(IF(Rules!$B$12=Rules!$F$12,SUM(Stand!G36:G43)+Rules!$B$5*Stand!G44+G16,SUM(HSD!G36:G43)+Rules!$B$5*HSD!G44+G16)/(9+Rules!$B$5))</f>
        <v>0.81612360245129012</v>
      </c>
      <c r="H3" s="110">
        <f>2*(IF(Rules!$B$12=Rules!$F$12,SUM(Stand!H36:H43)+Rules!$B$5*Stand!H44+H16,SUM(HSD!H36:H43)+Rules!$B$5*HSD!H44+H16)/(9+Rules!$B$5))</f>
        <v>0.63286124044017034</v>
      </c>
      <c r="I3" s="110">
        <f>2*(IF(Rules!$B$12=Rules!$F$12,SUM(Stand!I36:I43)+Rules!$B$5*Stand!I44+I16,SUM(HSD!I36:I43)+Rules!$B$5*HSD!I44+I16)/(9+Rules!$B$5))</f>
        <v>0.5067060739538094</v>
      </c>
      <c r="J3" s="110">
        <f>2*(IF(Rules!$B$12=Rules!$F$12,SUM(Stand!J36:J43)+Rules!$B$5*Stand!J44+J16,SUM(HSD!J36:J43)+Rules!$B$5*HSD!J44+J16)/(9+Rules!$B$5))</f>
        <v>0.36744267463395625</v>
      </c>
      <c r="K3" s="57">
        <f>2*(IF(Rules!$B$12=Rules!$F$12,SUM(Stand!K36:K43)+Rules!$B$5*Stand!K44+K16,SUM(HSD!K36:K43)+Rules!$B$5*HSD!K44+K16)/(9+Rules!$B$5))</f>
        <v>0.17441704855103865</v>
      </c>
      <c r="N3">
        <v>2</v>
      </c>
      <c r="O3" s="31" t="str">
        <f>IF(B55=IF(Rules!$B$11=2,B43,IF(Rules!$B$11=3,B30,IF(Rules!$B$11=4,B17,B4))),"P",HSDR!O4)</f>
        <v>H</v>
      </c>
      <c r="P3" s="31" t="str">
        <f>IF(C55=IF(Rules!$B$11=2,C43,IF(Rules!$B$11=3,C30,IF(Rules!$B$11=4,C17,C4))),"P",HSDR!P4)</f>
        <v>H</v>
      </c>
      <c r="Q3" s="31" t="str">
        <f>IF(D55=IF(Rules!$B$11=2,D43,IF(Rules!$B$11=3,D30,IF(Rules!$B$11=4,D17,D4))),"P",HSDR!Q4)</f>
        <v>H</v>
      </c>
      <c r="R3" s="31" t="str">
        <f>IF(E55=IF(Rules!$B$11=2,E43,IF(Rules!$B$11=3,E30,IF(Rules!$B$11=4,E17,E4))),"P",HSDR!R4)</f>
        <v>P</v>
      </c>
      <c r="S3" s="31" t="str">
        <f>IF(F55=IF(Rules!$B$11=2,F43,IF(Rules!$B$11=3,F30,IF(Rules!$B$11=4,F17,F4))),"P",HSDR!S4)</f>
        <v>P</v>
      </c>
      <c r="T3" s="31" t="str">
        <f>IF(G55=IF(Rules!$B$11=2,G43,IF(Rules!$B$11=3,G30,IF(Rules!$B$11=4,G17,G4))),"P",HSDR!T4)</f>
        <v>P</v>
      </c>
      <c r="U3" s="31" t="str">
        <f>IF(H55=IF(Rules!$B$11=2,H43,IF(Rules!$B$11=3,H30,IF(Rules!$B$11=4,H17,H4))),"P",HSDR!U4)</f>
        <v>P</v>
      </c>
      <c r="V3" s="31" t="str">
        <f>IF(I55=IF(Rules!$B$11=2,I43,IF(Rules!$B$11=3,I30,IF(Rules!$B$11=4,I17,I4))),"P",HSDR!V4)</f>
        <v>H</v>
      </c>
      <c r="W3" s="31" t="str">
        <f>IF(J55=IF(Rules!$B$11=2,J43,IF(Rules!$B$11=3,J30,IF(Rules!$B$11=4,J17,J4))),"P",HSDR!W4)</f>
        <v>H</v>
      </c>
      <c r="X3" s="31" t="str">
        <f>IF(K55=IF(Rules!$B$11=2,K43,IF(Rules!$B$11=3,K30,IF(Rules!$B$11=4,K17,K4))),"P",HSDR!X4)</f>
        <v>H</v>
      </c>
    </row>
    <row r="4" spans="1:24" x14ac:dyDescent="0.2">
      <c r="A4" s="99">
        <v>2</v>
      </c>
      <c r="B4" s="93">
        <f>2*(IF(Rules!$B$9=Rules!$E$9,SUM(HSD!B5:B11)+Rules!$B$5*HSD!B12+HSD!B36+B17,SUM(HS!B5:B11)+Rules!$B$5*HS!B12+HS!B36+B17)/(9+Rules!$B$5))</f>
        <v>-0.74416317626718731</v>
      </c>
      <c r="C4" s="1">
        <f>2*(IF(Rules!$B$9=Rules!$E$9,SUM(HSD!C5:C11)+Rules!$B$5*HSD!C12+HSD!C36+C17,SUM(HS!C5:C11)+Rules!$B$5*HS!C12+HS!C36+C17)/(9+Rules!$B$5))</f>
        <v>-0.15844529598680707</v>
      </c>
      <c r="D4" s="1">
        <f>2*(IF(Rules!$B$9=Rules!$E$9,SUM(HSD!D5:D11)+Rules!$B$5*HSD!D12+HSD!D36+D17,SUM(HS!D5:D11)+Rules!$B$5*HS!D12+HS!D36+D17)/(9+Rules!$B$5))</f>
        <v>-0.10256079463294501</v>
      </c>
      <c r="E4" s="1">
        <f>2*(IF(Rules!$B$9=Rules!$E$9,SUM(HSD!E5:E11)+Rules!$B$5*HSD!E12+HSD!E36+E17,SUM(HS!E5:E11)+Rules!$B$5*HS!E12+HS!E36+E17)/(9+Rules!$B$5))</f>
        <v>-4.3264863806293831E-2</v>
      </c>
      <c r="F4" s="1">
        <f>2*(IF(Rules!$B$9=Rules!$E$9,SUM(HSD!F5:F11)+Rules!$B$5*HSD!F12+HSD!F36+F17,SUM(HS!F5:F11)+Rules!$B$5*HS!F12+HS!F36+F17)/(9+Rules!$B$5))</f>
        <v>3.4677322855237773E-2</v>
      </c>
      <c r="G4" s="1">
        <f>2*(IF(Rules!$B$9=Rules!$E$9,SUM(HSD!G5:G11)+Rules!$B$5*HSD!G12+HSD!G36+G17,SUM(HS!G5:G11)+Rules!$B$5*HS!G12+HS!G36+G17)/(9+Rules!$B$5))</f>
        <v>8.9838416897347936E-2</v>
      </c>
      <c r="H4" s="1">
        <f>2*(IF(Rules!$B$9=Rules!$E$9,SUM(HSD!H5:H11)+Rules!$B$5*HSD!H12+HSD!H36+H17,SUM(HS!H5:H11)+Rules!$B$5*HS!H12+HS!H36+H17)/(9+Rules!$B$5))</f>
        <v>-4.8397277614682085E-2</v>
      </c>
      <c r="I4" s="1">
        <f>2*(IF(Rules!$B$9=Rules!$E$9,SUM(HSD!I5:I11)+Rules!$B$5*HSD!I12+HSD!I36+I17,SUM(HS!I5:I11)+Rules!$B$5*HS!I12+HS!I36+I17)/(9+Rules!$B$5))</f>
        <v>-0.21483585543657199</v>
      </c>
      <c r="J4" s="1">
        <f>2*(IF(Rules!$B$9=Rules!$E$9,SUM(HSD!J5:J11)+Rules!$B$5*HSD!J12+HSD!J36+J17,SUM(HS!J5:J11)+Rules!$B$5*HS!J12+HS!J36+J17)/(9+Rules!$B$5))</f>
        <v>-0.40535254125838382</v>
      </c>
      <c r="K4" s="9">
        <f>2*(IF(Rules!$B$9=Rules!$E$9,SUM(HSD!K5:K11)+Rules!$B$5*HSD!K12+HSD!K36+K17,SUM(HS!K5:K11)+Rules!$B$5*HS!K12+HS!K36+K17)/(9+Rules!$B$5))</f>
        <v>-0.62664178468491172</v>
      </c>
      <c r="N4">
        <v>3</v>
      </c>
      <c r="O4" s="31" t="str">
        <f>IF(B56=IF(Rules!$B$11=2,B44,IF(Rules!$B$11=3,B31,IF(Rules!$B$11=4,B18,B5))),"P",HSDR!O6)</f>
        <v>H</v>
      </c>
      <c r="P4" s="31" t="str">
        <f>IF(C56=IF(Rules!$B$11=2,C44,IF(Rules!$B$11=3,C31,IF(Rules!$B$11=4,C18,C5))),"P",HSDR!P6)</f>
        <v>H</v>
      </c>
      <c r="Q4" s="31" t="str">
        <f>IF(D56=IF(Rules!$B$11=2,D44,IF(Rules!$B$11=3,D31,IF(Rules!$B$11=4,D18,D5))),"P",HSDR!Q6)</f>
        <v>H</v>
      </c>
      <c r="R4" s="31" t="str">
        <f>IF(E56=IF(Rules!$B$11=2,E44,IF(Rules!$B$11=3,E31,IF(Rules!$B$11=4,E18,E5))),"P",HSDR!R6)</f>
        <v>P</v>
      </c>
      <c r="S4" s="31" t="str">
        <f>IF(F56=IF(Rules!$B$11=2,F44,IF(Rules!$B$11=3,F31,IF(Rules!$B$11=4,F18,F5))),"P",HSDR!S6)</f>
        <v>P</v>
      </c>
      <c r="T4" s="31" t="str">
        <f>IF(G56=IF(Rules!$B$11=2,G44,IF(Rules!$B$11=3,G31,IF(Rules!$B$11=4,G18,G5))),"P",HSDR!T6)</f>
        <v>P</v>
      </c>
      <c r="U4" s="31" t="str">
        <f>IF(H56=IF(Rules!$B$11=2,H44,IF(Rules!$B$11=3,H31,IF(Rules!$B$11=4,H18,H5))),"P",HSDR!U6)</f>
        <v>P</v>
      </c>
      <c r="V4" s="31" t="str">
        <f>IF(I56=IF(Rules!$B$11=2,I44,IF(Rules!$B$11=3,I31,IF(Rules!$B$11=4,I18,I5))),"P",HSDR!V6)</f>
        <v>H</v>
      </c>
      <c r="W4" s="31" t="str">
        <f>IF(J56=IF(Rules!$B$11=2,J44,IF(Rules!$B$11=3,J31,IF(Rules!$B$11=4,J18,J5))),"P",HSDR!W6)</f>
        <v>H</v>
      </c>
      <c r="X4" s="31" t="str">
        <f>IF(K56=IF(Rules!$B$11=2,K44,IF(Rules!$B$11=3,K31,IF(Rules!$B$11=4,K18,K5))),"P",HSDR!X6)</f>
        <v>H</v>
      </c>
    </row>
    <row r="5" spans="1:24" x14ac:dyDescent="0.2">
      <c r="A5" s="99">
        <v>3</v>
      </c>
      <c r="B5" s="93">
        <f>2*(IF(Rules!$B$9=Rules!$E$9,SUM(HSD!B6:B12)+Rules!$B$5*HSD!B13+HSD!B37+B18,SUM(HS!B6:B12)+Rules!$B$5*HS!B13+HS!B37+B18)/(9+Rules!$B$5))</f>
        <v>-0.78803295881767643</v>
      </c>
      <c r="C5" s="1">
        <f>2*(IF(Rules!$B$9=Rules!$E$9,SUM(HSD!C6:C12)+Rules!$B$5*HSD!C13+HSD!C37+C18,SUM(HS!C6:C12)+Rules!$B$5*HS!C13+HS!C37+C18)/(9+Rules!$B$5))</f>
        <v>-0.2142385080261642</v>
      </c>
      <c r="D5" s="1">
        <f>2*(IF(Rules!$B$9=Rules!$E$9,SUM(HSD!D6:D12)+Rules!$B$5*HSD!D13+HSD!D37+D18,SUM(HS!D6:D12)+Rules!$B$5*HS!D13+HS!D37+D18)/(9+Rules!$B$5))</f>
        <v>-0.14544025216996137</v>
      </c>
      <c r="E5" s="1">
        <f>2*(IF(Rules!$B$9=Rules!$E$9,SUM(HSD!E6:E12)+Rules!$B$5*HSD!E13+HSD!E37+E18,SUM(HS!E6:E12)+Rules!$B$5*HS!E13+HS!E37+E18)/(9+Rules!$B$5))</f>
        <v>-7.4523109707665208E-2</v>
      </c>
      <c r="F5" s="1">
        <f>2*(IF(Rules!$B$9=Rules!$E$9,SUM(HSD!F6:F12)+Rules!$B$5*HSD!F13+HSD!F37+F18,SUM(HS!F6:F12)+Rules!$B$5*HS!F13+HS!F37+F18)/(9+Rules!$B$5))</f>
        <v>4.7454290741965922E-3</v>
      </c>
      <c r="G5" s="1">
        <f>2*(IF(Rules!$B$9=Rules!$E$9,SUM(HSD!G6:G12)+Rules!$B$5*HSD!G13+HSD!G37+G18,SUM(HS!G6:G12)+Rules!$B$5*HS!G13+HS!G37+G18)/(9+Rules!$B$5))</f>
        <v>5.802377155290956E-2</v>
      </c>
      <c r="H5" s="1">
        <f>2*(IF(Rules!$B$9=Rules!$E$9,SUM(HSD!H6:H12)+Rules!$B$5*HSD!H13+HSD!H37+H18,SUM(HS!H6:H12)+Rules!$B$5*HS!H13+HS!H37+H18)/(9+Rules!$B$5))</f>
        <v>-0.11404688332023669</v>
      </c>
      <c r="I5" s="1">
        <f>2*(IF(Rules!$B$9=Rules!$E$9,SUM(HSD!I6:I12)+Rules!$B$5*HSD!I13+HSD!I37+I18,SUM(HS!I6:I12)+Rules!$B$5*HS!I13+HS!I37+I18)/(9+Rules!$B$5))</f>
        <v>-0.27525135440194609</v>
      </c>
      <c r="J5" s="1">
        <f>2*(IF(Rules!$B$9=Rules!$E$9,SUM(HSD!J6:J12)+Rules!$B$5*HSD!J13+HSD!J37+J18,SUM(HS!J6:J12)+Rules!$B$5*HS!J13+HS!J37+J18)/(9+Rules!$B$5))</f>
        <v>-0.45977919033511261</v>
      </c>
      <c r="K5" s="9">
        <f>2*(IF(Rules!$B$9=Rules!$E$9,SUM(HSD!K6:K12)+Rules!$B$5*HSD!K13+HSD!K37+K18,SUM(HS!K6:K12)+Rules!$B$5*HS!K13+HS!K37+K18)/(9+Rules!$B$5))</f>
        <v>-0.67407613770117725</v>
      </c>
      <c r="N5">
        <v>4</v>
      </c>
      <c r="O5" s="31" t="str">
        <f>IF(B57=IF(Rules!$B$11=2,B45,IF(Rules!$B$11=3,B32,IF(Rules!$B$11=4,B19,B6))),"P",HSDR!O8)</f>
        <v>H</v>
      </c>
      <c r="P5" s="31" t="str">
        <f>IF(C57=IF(Rules!$B$11=2,C45,IF(Rules!$B$11=3,C32,IF(Rules!$B$11=4,C19,C6))),"P",HSDR!P8)</f>
        <v>H</v>
      </c>
      <c r="Q5" s="31" t="str">
        <f>IF(D57=IF(Rules!$B$11=2,D45,IF(Rules!$B$11=3,D32,IF(Rules!$B$11=4,D19,D6))),"P",HSDR!Q8)</f>
        <v>H</v>
      </c>
      <c r="R5" s="31" t="str">
        <f>IF(E57=IF(Rules!$B$11=2,E45,IF(Rules!$B$11=3,E32,IF(Rules!$B$11=4,E19,E6))),"P",HSDR!R8)</f>
        <v>H</v>
      </c>
      <c r="S5" s="31" t="str">
        <f>IF(F57=IF(Rules!$B$11=2,F45,IF(Rules!$B$11=3,F32,IF(Rules!$B$11=4,F19,F6))),"P",HSDR!S8)</f>
        <v>H</v>
      </c>
      <c r="T5" s="31" t="str">
        <f>IF(G57=IF(Rules!$B$11=2,G45,IF(Rules!$B$11=3,G32,IF(Rules!$B$11=4,G19,G6))),"P",HSDR!T8)</f>
        <v>H</v>
      </c>
      <c r="U5" s="31" t="str">
        <f>IF(H57=IF(Rules!$B$11=2,H45,IF(Rules!$B$11=3,H32,IF(Rules!$B$11=4,H19,H6))),"P",HSDR!U8)</f>
        <v>H</v>
      </c>
      <c r="V5" s="31" t="str">
        <f>IF(I57=IF(Rules!$B$11=2,I45,IF(Rules!$B$11=3,I32,IF(Rules!$B$11=4,I19,I6))),"P",HSDR!V8)</f>
        <v>H</v>
      </c>
      <c r="W5" s="31" t="str">
        <f>IF(J57=IF(Rules!$B$11=2,J45,IF(Rules!$B$11=3,J32,IF(Rules!$B$11=4,J19,J6))),"P",HSDR!W8)</f>
        <v>H</v>
      </c>
      <c r="X5" s="31" t="str">
        <f>IF(K57=IF(Rules!$B$11=2,K45,IF(Rules!$B$11=3,K32,IF(Rules!$B$11=4,K19,K6))),"P",HSDR!X8)</f>
        <v>H</v>
      </c>
    </row>
    <row r="6" spans="1:24" x14ac:dyDescent="0.2">
      <c r="A6" s="99">
        <v>4</v>
      </c>
      <c r="B6" s="93">
        <f>2*(IF(Rules!$B$9=Rules!$E$9,SUM(HSD!B7:B13)+Rules!$B$5*HSD!B14+HSD!B38+B19,SUM(HS!B7:B13)+Rules!$B$5*HS!B14+HS!B38+B19)/(9+Rules!$B$5))</f>
        <v>-0.83437157658628724</v>
      </c>
      <c r="C6" s="1">
        <f>2*(IF(Rules!$B$9=Rules!$E$9,SUM(HSD!C7:C13)+Rules!$B$5*HSD!C14+HSD!C38+C19,SUM(HS!C7:C13)+Rules!$B$5*HS!C14+HS!C38+C19)/(9+Rules!$B$5))</f>
        <v>-0.24596178497638319</v>
      </c>
      <c r="D6" s="1">
        <f>2*(IF(Rules!$B$9=Rules!$E$9,SUM(HSD!D7:D13)+Rules!$B$5*HSD!D14+HSD!D38+D19,SUM(HS!D7:D13)+Rules!$B$5*HS!D14+HS!D38+D19)/(9+Rules!$B$5))</f>
        <v>-0.17572200826957085</v>
      </c>
      <c r="E6" s="1">
        <f>2*(IF(Rules!$B$9=Rules!$E$9,SUM(HSD!E7:E13)+Rules!$B$5*HSD!E14+HSD!E38+E19,SUM(HS!E7:E13)+Rules!$B$5*HS!E14+HS!E38+E19)/(9+Rules!$B$5))</f>
        <v>-0.10341187431415412</v>
      </c>
      <c r="F6" s="1">
        <f>2*(IF(Rules!$B$9=Rules!$E$9,SUM(HSD!F7:F13)+Rules!$B$5*HSD!F14+HSD!F38+F19,SUM(HS!F7:F13)+Rules!$B$5*HS!F14+HS!F38+F19)/(9+Rules!$B$5))</f>
        <v>-2.2920009673662818E-2</v>
      </c>
      <c r="G6" s="1">
        <f>2*(IF(Rules!$B$9=Rules!$E$9,SUM(HSD!G7:G13)+Rules!$B$5*HSD!G14+HSD!G38+G19,SUM(HS!G7:G13)+Rules!$B$5*HS!G14+HS!G38+G19)/(9+Rules!$B$5))</f>
        <v>2.8649607751103836E-2</v>
      </c>
      <c r="H6" s="1">
        <f>2*(IF(Rules!$B$9=Rules!$E$9,SUM(HSD!H7:H13)+Rules!$B$5*HSD!H14+HSD!H38+H19,SUM(HS!H7:H13)+Rules!$B$5*HS!H14+HS!H38+H19)/(9+Rules!$B$5))</f>
        <v>-0.18101949750260365</v>
      </c>
      <c r="I6" s="1">
        <f>2*(IF(Rules!$B$9=Rules!$E$9,SUM(HSD!I7:I13)+Rules!$B$5*HSD!I14+HSD!I38+I19,SUM(HS!I7:I13)+Rules!$B$5*HS!I14+HS!I38+I19)/(9+Rules!$B$5))</f>
        <v>-0.33704232295894054</v>
      </c>
      <c r="J6" s="1">
        <f>2*(IF(Rules!$B$9=Rules!$E$9,SUM(HSD!J7:J13)+Rules!$B$5*HSD!J14+HSD!J38+J19,SUM(HS!J7:J13)+Rules!$B$5*HS!J14+HS!J38+J19)/(9+Rules!$B$5))</f>
        <v>-0.51551500734058797</v>
      </c>
      <c r="K6" s="9">
        <f>2*(IF(Rules!$B$9=Rules!$E$9,SUM(HSD!K7:K13)+Rules!$B$5*HSD!K14+HSD!K38+K19,SUM(HS!K7:K13)+Rules!$B$5*HS!K14+HS!K38+K19)/(9+Rules!$B$5))</f>
        <v>-0.72267922005191143</v>
      </c>
      <c r="N6">
        <v>5</v>
      </c>
      <c r="O6" s="31" t="str">
        <f>IF(B58=IF(Rules!$B$11=2,B46,IF(Rules!$B$11=3,B33,IF(Rules!$B$11=4,B20,B7))),"P",HSDR!O10)</f>
        <v>H</v>
      </c>
      <c r="P6" s="31" t="str">
        <f>IF(C58=IF(Rules!$B$11=2,C46,IF(Rules!$B$11=3,C33,IF(Rules!$B$11=4,C20,C7))),"P",HSDR!P10)</f>
        <v>D</v>
      </c>
      <c r="Q6" s="31" t="str">
        <f>IF(D58=IF(Rules!$B$11=2,D46,IF(Rules!$B$11=3,D33,IF(Rules!$B$11=4,D20,D7))),"P",HSDR!Q10)</f>
        <v>D</v>
      </c>
      <c r="R6" s="31" t="str">
        <f>IF(E58=IF(Rules!$B$11=2,E46,IF(Rules!$B$11=3,E33,IF(Rules!$B$11=4,E20,E7))),"P",HSDR!R10)</f>
        <v>D</v>
      </c>
      <c r="S6" s="31" t="str">
        <f>IF(F58=IF(Rules!$B$11=2,F46,IF(Rules!$B$11=3,F33,IF(Rules!$B$11=4,F20,F7))),"P",HSDR!S10)</f>
        <v>D</v>
      </c>
      <c r="T6" s="31" t="str">
        <f>IF(G58=IF(Rules!$B$11=2,G46,IF(Rules!$B$11=3,G33,IF(Rules!$B$11=4,G20,G7))),"P",HSDR!T10)</f>
        <v>D</v>
      </c>
      <c r="U6" s="31" t="str">
        <f>IF(H58=IF(Rules!$B$11=2,H46,IF(Rules!$B$11=3,H33,IF(Rules!$B$11=4,H20,H7))),"P",HSDR!U10)</f>
        <v>D</v>
      </c>
      <c r="V6" s="31" t="str">
        <f>IF(I58=IF(Rules!$B$11=2,I46,IF(Rules!$B$11=3,I33,IF(Rules!$B$11=4,I20,I7))),"P",HSDR!V10)</f>
        <v>D</v>
      </c>
      <c r="W6" s="31" t="str">
        <f>IF(J58=IF(Rules!$B$11=2,J46,IF(Rules!$B$11=3,J33,IF(Rules!$B$11=4,J20,J7))),"P",HSDR!W10)</f>
        <v>D</v>
      </c>
      <c r="X6" s="31" t="str">
        <f>IF(K58=IF(Rules!$B$11=2,K46,IF(Rules!$B$11=3,K33,IF(Rules!$B$11=4,K20,K7))),"P",HSDR!X10)</f>
        <v>H</v>
      </c>
    </row>
    <row r="7" spans="1:24" x14ac:dyDescent="0.2">
      <c r="A7" s="99">
        <v>5</v>
      </c>
      <c r="B7" s="93">
        <f>2*(IF(Rules!$B$9=Rules!$E$9,SUM(HSD!B8:B14)+Rules!$B$5*HSD!B15+HSD!B39+B20,SUM(HS!B8:B14)+Rules!$B$5*HS!B15+HS!B39+B20)/(9+Rules!$B$5))</f>
        <v>-0.88745016624280393</v>
      </c>
      <c r="C7" s="1">
        <f>2*(IF(Rules!$B$9=Rules!$E$9,SUM(HSD!C8:C14)+Rules!$B$5*HSD!C15+HSD!C39+C20,SUM(HS!C8:C14)+Rules!$B$5*HS!C15+HS!C39+C20)/(9+Rules!$B$5))</f>
        <v>-0.28310595756483203</v>
      </c>
      <c r="D7" s="1">
        <f>2*(IF(Rules!$B$9=Rules!$E$9,SUM(HSD!D8:D14)+Rules!$B$5*HSD!D15+HSD!D39+D20,SUM(HS!D8:D14)+Rules!$B$5*HS!D15+HS!D39+D20)/(9+Rules!$B$5))</f>
        <v>-0.21127904082346655</v>
      </c>
      <c r="E7" s="1">
        <f>2*(IF(Rules!$B$9=Rules!$E$9,SUM(HSD!E8:E14)+Rules!$B$5*HSD!E15+HSD!E39+E20,SUM(HS!E8:E14)+Rules!$B$5*HS!E15+HS!E39+E20)/(9+Rules!$B$5))</f>
        <v>-0.13744002966895089</v>
      </c>
      <c r="F7" s="1">
        <f>2*(IF(Rules!$B$9=Rules!$E$9,SUM(HSD!F8:F14)+Rules!$B$5*HSD!F15+HSD!F39+F20,SUM(HS!F8:F14)+Rules!$B$5*HS!F15+HS!F39+F20)/(9+Rules!$B$5))</f>
        <v>-5.5328563811734607E-2</v>
      </c>
      <c r="G7" s="1">
        <f>2*(IF(Rules!$B$9=Rules!$E$9,SUM(HSD!G8:G14)+Rules!$B$5*HSD!G15+HSD!G39+G20,SUM(HS!G8:G14)+Rules!$B$5*HS!G15+HS!G39+G20)/(9+Rules!$B$5))</f>
        <v>-8.0896038408470993E-3</v>
      </c>
      <c r="H7" s="1">
        <f>2*(IF(Rules!$B$9=Rules!$E$9,SUM(HSD!H8:H14)+Rules!$B$5*HSD!H15+HSD!H39+H20,SUM(HS!H8:H14)+Rules!$B$5*HS!H15+HS!H39+H20)/(9+Rules!$B$5))</f>
        <v>-0.26970720033942674</v>
      </c>
      <c r="I7" s="1">
        <f>2*(IF(Rules!$B$9=Rules!$E$9,SUM(HSD!I8:I14)+Rules!$B$5*HSD!I15+HSD!I39+I20,SUM(HS!I8:I14)+Rules!$B$5*HS!I15+HS!I39+I20)/(9+Rules!$B$5))</f>
        <v>-0.40618277164553479</v>
      </c>
      <c r="J7" s="1">
        <f>2*(IF(Rules!$B$9=Rules!$E$9,SUM(HSD!J8:J14)+Rules!$B$5*HSD!J15+HSD!J39+J20,SUM(HS!J8:J14)+Rules!$B$5*HS!J15+HS!J39+J20)/(9+Rules!$B$5))</f>
        <v>-0.57813230842695973</v>
      </c>
      <c r="K7" s="9">
        <f>2*(IF(Rules!$B$9=Rules!$E$9,SUM(HSD!K8:K14)+Rules!$B$5*HSD!K15+HSD!K39+K20,SUM(HS!K8:K14)+Rules!$B$5*HS!K15+HS!K39+K20)/(9+Rules!$B$5))</f>
        <v>-0.77896564178776029</v>
      </c>
      <c r="N7">
        <v>6</v>
      </c>
      <c r="O7" s="31" t="str">
        <f>IF(B59=IF(Rules!$B$11=2,B47,IF(Rules!$B$11=3,B34,IF(Rules!$B$11=4,B21,B8))),"P",HSDR!O12)</f>
        <v>H</v>
      </c>
      <c r="P7" s="31" t="str">
        <f>IF(C59=IF(Rules!$B$11=2,C47,IF(Rules!$B$11=3,C34,IF(Rules!$B$11=4,C21,C8))),"P",HSDR!P12)</f>
        <v>H</v>
      </c>
      <c r="Q7" s="31" t="str">
        <f>IF(D59=IF(Rules!$B$11=2,D47,IF(Rules!$B$11=3,D34,IF(Rules!$B$11=4,D21,D8))),"P",HSDR!Q12)</f>
        <v>P</v>
      </c>
      <c r="R7" s="31" t="str">
        <f>IF(E59=IF(Rules!$B$11=2,E47,IF(Rules!$B$11=3,E34,IF(Rules!$B$11=4,E21,E8))),"P",HSDR!R12)</f>
        <v>P</v>
      </c>
      <c r="S7" s="31" t="str">
        <f>IF(F59=IF(Rules!$B$11=2,F47,IF(Rules!$B$11=3,F34,IF(Rules!$B$11=4,F21,F8))),"P",HSDR!S12)</f>
        <v>P</v>
      </c>
      <c r="T7" s="31" t="str">
        <f>IF(G59=IF(Rules!$B$11=2,G47,IF(Rules!$B$11=3,G34,IF(Rules!$B$11=4,G21,G8))),"P",HSDR!T12)</f>
        <v>P</v>
      </c>
      <c r="U7" s="31" t="str">
        <f>IF(H59=IF(Rules!$B$11=2,H47,IF(Rules!$B$11=3,H34,IF(Rules!$B$11=4,H21,H8))),"P",HSDR!U12)</f>
        <v>H</v>
      </c>
      <c r="V7" s="31" t="str">
        <f>IF(I59=IF(Rules!$B$11=2,I47,IF(Rules!$B$11=3,I34,IF(Rules!$B$11=4,I21,I8))),"P",HSDR!V12)</f>
        <v>H</v>
      </c>
      <c r="W7" s="31" t="str">
        <f>IF(J59=IF(Rules!$B$11=2,J47,IF(Rules!$B$11=3,J34,IF(Rules!$B$11=4,J21,J8))),"P",HSDR!W12)</f>
        <v>H</v>
      </c>
      <c r="X7" s="31" t="str">
        <f>IF(K59=IF(Rules!$B$11=2,K47,IF(Rules!$B$11=3,K34,IF(Rules!$B$11=4,K21,K8))),"P",HSDR!X12)</f>
        <v>H</v>
      </c>
    </row>
    <row r="8" spans="1:24" x14ac:dyDescent="0.2">
      <c r="A8" s="99">
        <v>6</v>
      </c>
      <c r="B8" s="93">
        <f>2*(IF(Rules!$B$9=Rules!$E$9,SUM(HSD!B9:B15)+Rules!$B$5*HSD!B16+HSD!B40+B21,SUM(HS!B9:B15)+Rules!$B$5*HS!B16+HS!B40+B21)/(9+Rules!$B$5))</f>
        <v>-0.9315883367535035</v>
      </c>
      <c r="C8" s="1">
        <f>2*(IF(Rules!$B$9=Rules!$E$9,SUM(HSD!C9:C15)+Rules!$B$5*HSD!C16+HSD!C40+C21,SUM(HS!C9:C15)+Rules!$B$5*HS!C16+HS!C40+C21)/(9+Rules!$B$5))</f>
        <v>-0.32856811142011766</v>
      </c>
      <c r="D8" s="1">
        <f>2*(IF(Rules!$B$9=Rules!$E$9,SUM(HSD!D9:D15)+Rules!$B$5*HSD!D16+HSD!D40+D21,SUM(HS!D9:D15)+Rules!$B$5*HS!D16+HS!D40+D21)/(9+Rules!$B$5))</f>
        <v>-0.25490522956389527</v>
      </c>
      <c r="E8" s="1">
        <f>2*(IF(Rules!$B$9=Rules!$E$9,SUM(HSD!E9:E15)+Rules!$B$5*HSD!E16+HSD!E40+E21,SUM(HS!E9:E15)+Rules!$B$5*HS!E16+HS!E40+E21)/(9+Rules!$B$5))</f>
        <v>-0.17927910194004515</v>
      </c>
      <c r="F8" s="1">
        <f>2*(IF(Rules!$B$9=Rules!$E$9,SUM(HSD!F9:F15)+Rules!$B$5*HSD!F16+HSD!F40+F21,SUM(HS!F9:F15)+Rules!$B$5*HS!F16+HS!F40+F21)/(9+Rules!$B$5))</f>
        <v>-9.5309124581009458E-2</v>
      </c>
      <c r="G8" s="1">
        <f>2*(IF(Rules!$B$9=Rules!$E$9,SUM(HSD!G9:G15)+Rules!$B$5*HSD!G16+HSD!G40+G21,SUM(HS!G9:G15)+Rules!$B$5*HS!G16+HS!G40+G21)/(9+Rules!$B$5))</f>
        <v>-5.1549579489460401E-2</v>
      </c>
      <c r="H8" s="1">
        <f>2*(IF(Rules!$B$9=Rules!$E$9,SUM(HSD!H9:H15)+Rules!$B$5*HSD!H16+HSD!H40+H21,SUM(HS!H9:H15)+Rules!$B$5*HS!H16+HS!H40+H21)/(9+Rules!$B$5))</f>
        <v>-0.37380487547803365</v>
      </c>
      <c r="I8" s="1">
        <f>2*(IF(Rules!$B$9=Rules!$E$9,SUM(HSD!I9:I15)+Rules!$B$5*HSD!I16+HSD!I40+I21,SUM(HS!I9:I15)+Rules!$B$5*HS!I16+HS!I40+I21)/(9+Rules!$B$5))</f>
        <v>-0.50234221681507851</v>
      </c>
      <c r="J8" s="1">
        <f>2*(IF(Rules!$B$9=Rules!$E$9,SUM(HSD!J9:J15)+Rules!$B$5*HSD!J16+HSD!J40+J21,SUM(HS!J9:J15)+Rules!$B$5*HS!J16+HS!J40+J21)/(9+Rules!$B$5))</f>
        <v>-0.65323216836181486</v>
      </c>
      <c r="K8" s="9">
        <f>2*(IF(Rules!$B$9=Rules!$E$9,SUM(HSD!K9:K15)+Rules!$B$5*HSD!K16+HSD!K40+K21,SUM(HS!K9:K15)+Rules!$B$5*HS!K16+HS!K40+K21)/(9+Rules!$B$5))</f>
        <v>-0.84420908858274091</v>
      </c>
      <c r="N8">
        <v>7</v>
      </c>
      <c r="O8" s="31" t="str">
        <f>IF(B60=IF(Rules!$B$11=2,B48,IF(Rules!$B$11=3,B35,IF(Rules!$B$11=4,B22,B9))),"P",HSDR!O14)</f>
        <v>H</v>
      </c>
      <c r="P8" s="31" t="str">
        <f>IF(C60=IF(Rules!$B$11=2,C48,IF(Rules!$B$11=3,C35,IF(Rules!$B$11=4,C22,C9))),"P",HSDR!P14)</f>
        <v>P</v>
      </c>
      <c r="Q8" s="31" t="str">
        <f>IF(D60=IF(Rules!$B$11=2,D48,IF(Rules!$B$11=3,D35,IF(Rules!$B$11=4,D22,D9))),"P",HSDR!Q14)</f>
        <v>P</v>
      </c>
      <c r="R8" s="31" t="str">
        <f>IF(E60=IF(Rules!$B$11=2,E48,IF(Rules!$B$11=3,E35,IF(Rules!$B$11=4,E22,E9))),"P",HSDR!R14)</f>
        <v>P</v>
      </c>
      <c r="S8" s="31" t="str">
        <f>IF(F60=IF(Rules!$B$11=2,F48,IF(Rules!$B$11=3,F35,IF(Rules!$B$11=4,F22,F9))),"P",HSDR!S14)</f>
        <v>P</v>
      </c>
      <c r="T8" s="31" t="str">
        <f>IF(G60=IF(Rules!$B$11=2,G48,IF(Rules!$B$11=3,G35,IF(Rules!$B$11=4,G22,G9))),"P",HSDR!T14)</f>
        <v>P</v>
      </c>
      <c r="U8" s="31" t="str">
        <f>IF(H60=IF(Rules!$B$11=2,H48,IF(Rules!$B$11=3,H35,IF(Rules!$B$11=4,H22,H9))),"P",HSDR!U14)</f>
        <v>P</v>
      </c>
      <c r="V8" s="31" t="str">
        <f>IF(I60=IF(Rules!$B$11=2,I48,IF(Rules!$B$11=3,I35,IF(Rules!$B$11=4,I22,I9))),"P",HSDR!V14)</f>
        <v>H</v>
      </c>
      <c r="W8" s="31" t="str">
        <f>IF(J60=IF(Rules!$B$11=2,J48,IF(Rules!$B$11=3,J35,IF(Rules!$B$11=4,J22,J9))),"P",HSDR!W14)</f>
        <v>H</v>
      </c>
      <c r="X8" s="31" t="str">
        <f>IF(K60=IF(Rules!$B$11=2,K48,IF(Rules!$B$11=3,K35,IF(Rules!$B$11=4,K22,K9))),"P",HSDR!X14)</f>
        <v>H</v>
      </c>
    </row>
    <row r="9" spans="1:24" x14ac:dyDescent="0.2">
      <c r="A9" s="99">
        <v>7</v>
      </c>
      <c r="B9" s="93">
        <f>2*(IF(Rules!$B$9=Rules!$E$9,SUM(HSD!B10:B16)+Rules!$B$5*HSD!B17+HSD!B41+B22,SUM(HS!B10:B16)+Rules!$B$5*HS!B17+HS!B41+B22)/(9+Rules!$B$5))</f>
        <v>-0.89860302064250752</v>
      </c>
      <c r="C9" s="1">
        <f>2*(IF(Rules!$B$9=Rules!$E$9,SUM(HSD!C10:C16)+Rules!$B$5*HSD!C17+HSD!C41+C22,SUM(HS!C10:C16)+Rules!$B$5*HS!C17+HS!C41+C22)/(9+Rules!$B$5))</f>
        <v>-0.27141170395226322</v>
      </c>
      <c r="D9" s="1">
        <f>2*(IF(Rules!$B$9=Rules!$E$9,SUM(HSD!D10:D16)+Rules!$B$5*HSD!D17+HSD!D41+D22,SUM(HS!D10:D16)+Rules!$B$5*HS!D17+HS!D41+D22)/(9+Rules!$B$5))</f>
        <v>-0.19925763649350886</v>
      </c>
      <c r="E9" s="1">
        <f>2*(IF(Rules!$B$9=Rules!$E$9,SUM(HSD!E10:E16)+Rules!$B$5*HSD!E17+HSD!E41+E22,SUM(HS!E10:E16)+Rules!$B$5*HS!E17+HS!E41+E22)/(9+Rules!$B$5))</f>
        <v>-0.12499658698153827</v>
      </c>
      <c r="F9" s="1">
        <f>2*(IF(Rules!$B$9=Rules!$E$9,SUM(HSD!F10:F16)+Rules!$B$5*HSD!F17+HSD!F41+F22,SUM(HS!F10:F16)+Rules!$B$5*HS!F17+HS!F41+F22)/(9+Rules!$B$5))</f>
        <v>-4.580566312259314E-2</v>
      </c>
      <c r="G9" s="1">
        <f>2*(IF(Rules!$B$9=Rules!$E$9,SUM(HSD!G10:G16)+Rules!$B$5*HSD!G17+HSD!G41+G22,SUM(HS!G10:G16)+Rules!$B$5*HS!G17+HS!G41+G22)/(9+Rules!$B$5))</f>
        <v>3.3434878831197522E-2</v>
      </c>
      <c r="H9" s="1">
        <f>2*(IF(Rules!$B$9=Rules!$E$9,SUM(HSD!H10:H16)+Rules!$B$5*HSD!H17+HSD!H41+H22,SUM(HS!H10:H16)+Rules!$B$5*HS!H17+HS!H41+H22)/(9+Rules!$B$5))</f>
        <v>-0.19368042242937064</v>
      </c>
      <c r="I9" s="1">
        <f>2*(IF(Rules!$B$9=Rules!$E$9,SUM(HSD!I10:I16)+Rules!$B$5*HSD!I17+HSD!I41+I22,SUM(HS!I10:I16)+Rules!$B$5*HS!I17+HS!I41+I22)/(9+Rules!$B$5))</f>
        <v>-0.51533567784190304</v>
      </c>
      <c r="J9" s="1">
        <f>2*(IF(Rules!$B$9=Rules!$E$9,SUM(HSD!J10:J16)+Rules!$B$5*HSD!J17+HSD!J41+J22,SUM(HS!J10:J16)+Rules!$B$5*HS!J17+HS!J41+J22)/(9+Rules!$B$5))</f>
        <v>-0.66466990024977435</v>
      </c>
      <c r="K9" s="9">
        <f>2*(IF(Rules!$B$9=Rules!$E$9,SUM(HSD!K10:K16)+Rules!$B$5*HSD!K17+HSD!K41+K22,SUM(HS!K10:K16)+Rules!$B$5*HS!K17+HS!K41+K22)/(9+Rules!$B$5))</f>
        <v>-0.82376353398191704</v>
      </c>
      <c r="N9">
        <v>8</v>
      </c>
      <c r="O9" s="31" t="str">
        <f>IF(B61=IF(Rules!$B$11=2,B49,IF(Rules!$B$11=3,B36,IF(Rules!$B$11=4,B23,B10))),"P",HSDR!O16)</f>
        <v>S</v>
      </c>
      <c r="P9" s="31" t="str">
        <f>IF(C61=IF(Rules!$B$11=2,C49,IF(Rules!$B$11=3,C36,IF(Rules!$B$11=4,C23,C10))),"P",HSDR!P16)</f>
        <v>P</v>
      </c>
      <c r="Q9" s="31" t="str">
        <f>IF(D61=IF(Rules!$B$11=2,D49,IF(Rules!$B$11=3,D36,IF(Rules!$B$11=4,D23,D10))),"P",HSDR!Q16)</f>
        <v>P</v>
      </c>
      <c r="R9" s="31" t="str">
        <f>IF(E61=IF(Rules!$B$11=2,E49,IF(Rules!$B$11=3,E36,IF(Rules!$B$11=4,E23,E10))),"P",HSDR!R16)</f>
        <v>P</v>
      </c>
      <c r="S9" s="31" t="str">
        <f>IF(F61=IF(Rules!$B$11=2,F49,IF(Rules!$B$11=3,F36,IF(Rules!$B$11=4,F23,F10))),"P",HSDR!S16)</f>
        <v>P</v>
      </c>
      <c r="T9" s="31" t="str">
        <f>IF(G61=IF(Rules!$B$11=2,G49,IF(Rules!$B$11=3,G36,IF(Rules!$B$11=4,G23,G10))),"P",HSDR!T16)</f>
        <v>P</v>
      </c>
      <c r="U9" s="31" t="str">
        <f>IF(H61=IF(Rules!$B$11=2,H49,IF(Rules!$B$11=3,H36,IF(Rules!$B$11=4,H23,H10))),"P",HSDR!U16)</f>
        <v>P</v>
      </c>
      <c r="V9" s="31" t="str">
        <f>IF(I61=IF(Rules!$B$11=2,I49,IF(Rules!$B$11=3,I36,IF(Rules!$B$11=4,I23,I10))),"P",HSDR!V16)</f>
        <v>P</v>
      </c>
      <c r="W9" s="31" t="str">
        <f>IF(J61=IF(Rules!$B$11=2,J49,IF(Rules!$B$11=3,J36,IF(Rules!$B$11=4,J23,J10))),"P",HSDR!W16)</f>
        <v>P</v>
      </c>
      <c r="X9" s="31" t="str">
        <f>IF(K61=IF(Rules!$B$11=2,K49,IF(Rules!$B$11=3,K36,IF(Rules!$B$11=4,K23,K10))),"P",HSDR!X16)</f>
        <v>H</v>
      </c>
    </row>
    <row r="10" spans="1:24" x14ac:dyDescent="0.2">
      <c r="A10" s="99">
        <v>8</v>
      </c>
      <c r="B10" s="93">
        <f>2*(IF(Rules!$B$9=Rules!$E$9,SUM(HSD!B11:B17)+Rules!$B$5*HSD!B18+HSD!B42+B23,SUM(HS!B11:B17)+Rules!$B$5*HS!B18+HS!B42+B23)/(9+Rules!$B$5))</f>
        <v>-0.75379723043188618</v>
      </c>
      <c r="C10" s="1">
        <f>2*(IF(Rules!$B$9=Rules!$E$9,SUM(HSD!C11:C17)+Rules!$B$5*HSD!C18+HSD!C42+C23,SUM(HS!C11:C17)+Rules!$B$5*HS!C18+HS!C42+C23)/(9+Rules!$B$5))</f>
        <v>-8.4555117606418415E-2</v>
      </c>
      <c r="D10" s="1">
        <f>2*(IF(Rules!$B$9=Rules!$E$9,SUM(HSD!D11:D17)+Rules!$B$5*HSD!D18+HSD!D42+D23,SUM(HS!D11:D17)+Rules!$B$5*HS!D18+HS!D42+D23)/(9+Rules!$B$5))</f>
        <v>-1.8423168793741732E-2</v>
      </c>
      <c r="E10" s="1">
        <f>2*(IF(Rules!$B$9=Rules!$E$9,SUM(HSD!E11:E17)+Rules!$B$5*HSD!E18+HSD!E42+E23,SUM(HS!E11:E17)+Rules!$B$5*HS!E18+HS!E42+E23)/(9+Rules!$B$5))</f>
        <v>4.9869962582447566E-2</v>
      </c>
      <c r="F10" s="1">
        <f>2*(IF(Rules!$B$9=Rules!$E$9,SUM(HSD!F11:F17)+Rules!$B$5*HSD!F18+HSD!F42+F23,SUM(HS!F11:F17)+Rules!$B$5*HS!F18+HS!F42+F23)/(9+Rules!$B$5))</f>
        <v>0.12083985255361643</v>
      </c>
      <c r="G10" s="1">
        <f>2*(IF(Rules!$B$9=Rules!$E$9,SUM(HSD!G11:G17)+Rules!$B$5*HSD!G18+HSD!G42+G23,SUM(HS!G11:G17)+Rules!$B$5*HS!G18+HS!G42+G23)/(9+Rules!$B$5))</f>
        <v>0.21943592874303255</v>
      </c>
      <c r="H10" s="1">
        <f>2*(IF(Rules!$B$9=Rules!$E$9,SUM(HSD!H11:H17)+Rules!$B$5*HSD!H18+HSD!H42+H23,SUM(HS!H11:H17)+Rules!$B$5*HS!H18+HS!H42+H23)/(9+Rules!$B$5))</f>
        <v>0.14765904872647384</v>
      </c>
      <c r="I10" s="1">
        <f>2*(IF(Rules!$B$9=Rules!$E$9,SUM(HSD!I11:I17)+Rules!$B$5*HSD!I18+HSD!I42+I23,SUM(HS!I11:I17)+Rules!$B$5*HS!I18+HS!I42+I23)/(9+Rules!$B$5))</f>
        <v>-0.17735895611495334</v>
      </c>
      <c r="J10" s="1">
        <f>2*(IF(Rules!$B$9=Rules!$E$9,SUM(HSD!J11:J17)+Rules!$B$5*HSD!J18+HSD!J42+J23,SUM(HS!J11:J17)+Rules!$B$5*HS!J18+HS!J42+J23)/(9+Rules!$B$5))</f>
        <v>-0.51763579440888674</v>
      </c>
      <c r="K10" s="9">
        <f>2*(IF(Rules!$B$9=Rules!$E$9,SUM(HSD!K11:K17)+Rules!$B$5*HSD!K18+HSD!K42+K23,SUM(HS!K11:K17)+Rules!$B$5*HS!K18+HS!K42+K23)/(9+Rules!$B$5))</f>
        <v>-0.70474215313406918</v>
      </c>
      <c r="N10">
        <v>9</v>
      </c>
      <c r="O10" s="31" t="str">
        <f>IF(B62=IF(Rules!$B$11=2,B50,IF(Rules!$B$11=3,B37,IF(Rules!$B$11=4,B24,B11))),"P",HSDR!O18)</f>
        <v>S</v>
      </c>
      <c r="P10" s="31" t="str">
        <f>IF(C62=IF(Rules!$B$11=2,C50,IF(Rules!$B$11=3,C37,IF(Rules!$B$11=4,C24,C11))),"P",HSDR!P18)</f>
        <v>P</v>
      </c>
      <c r="Q10" s="31" t="str">
        <f>IF(D62=IF(Rules!$B$11=2,D50,IF(Rules!$B$11=3,D37,IF(Rules!$B$11=4,D24,D11))),"P",HSDR!Q18)</f>
        <v>P</v>
      </c>
      <c r="R10" s="31" t="str">
        <f>IF(E62=IF(Rules!$B$11=2,E50,IF(Rules!$B$11=3,E37,IF(Rules!$B$11=4,E24,E11))),"P",HSDR!R18)</f>
        <v>P</v>
      </c>
      <c r="S10" s="31" t="str">
        <f>IF(F62=IF(Rules!$B$11=2,F50,IF(Rules!$B$11=3,F37,IF(Rules!$B$11=4,F24,F11))),"P",HSDR!S18)</f>
        <v>P</v>
      </c>
      <c r="T10" s="31" t="str">
        <f>IF(G62=IF(Rules!$B$11=2,G50,IF(Rules!$B$11=3,G37,IF(Rules!$B$11=4,G24,G11))),"P",HSDR!T18)</f>
        <v>P</v>
      </c>
      <c r="U10" s="31" t="str">
        <f>IF(H62=IF(Rules!$B$11=2,H50,IF(Rules!$B$11=3,H37,IF(Rules!$B$11=4,H24,H11))),"P",HSDR!U18)</f>
        <v>S</v>
      </c>
      <c r="V10" s="31" t="str">
        <f>IF(I62=IF(Rules!$B$11=2,I50,IF(Rules!$B$11=3,I37,IF(Rules!$B$11=4,I24,I11))),"P",HSDR!V18)</f>
        <v>P</v>
      </c>
      <c r="W10" s="31" t="str">
        <f>IF(J62=IF(Rules!$B$11=2,J50,IF(Rules!$B$11=3,J37,IF(Rules!$B$11=4,J24,J11))),"P",HSDR!W18)</f>
        <v>P</v>
      </c>
      <c r="X10" s="31" t="str">
        <f>IF(K62=IF(Rules!$B$11=2,K50,IF(Rules!$B$11=3,K37,IF(Rules!$B$11=4,K24,K11))),"P",HSDR!X18)</f>
        <v>S</v>
      </c>
    </row>
    <row r="11" spans="1:24" x14ac:dyDescent="0.2">
      <c r="A11" s="99">
        <v>9</v>
      </c>
      <c r="B11" s="93">
        <f>2*(IF(Rules!$B$9=Rules!$E$9,SUM(HSD!B12:B18)+Rules!$B$5*HSD!B19+HSD!B43+B24,SUM(HS!B12:B18)+Rules!$B$5*HS!B19+HS!B43+B24)/(9+Rules!$B$5))</f>
        <v>-0.58751877672810893</v>
      </c>
      <c r="C11" s="1">
        <f>2*(IF(Rules!$B$9=Rules!$E$9,SUM(HSD!C12:C18)+Rules!$B$5*HSD!C19+HSD!C43+C24,SUM(HS!C12:C18)+Rules!$B$5*HS!C19+HS!C43+C24)/(9+Rules!$B$5))</f>
        <v>0.13268608863771988</v>
      </c>
      <c r="D11" s="1">
        <f>2*(IF(Rules!$B$9=Rules!$E$9,SUM(HSD!D12:D18)+Rules!$B$5*HSD!D19+HSD!D43+D24,SUM(HS!D12:D18)+Rules!$B$5*HS!D19+HS!D43+D24)/(9+Rules!$B$5))</f>
        <v>0.19205932892331035</v>
      </c>
      <c r="E11" s="1">
        <f>2*(IF(Rules!$B$9=Rules!$E$9,SUM(HSD!E12:E18)+Rules!$B$5*HSD!E19+HSD!E43+E24,SUM(HS!E12:E18)+Rules!$B$5*HS!E19+HS!E43+E24)/(9+Rules!$B$5))</f>
        <v>0.25342225938676494</v>
      </c>
      <c r="F11" s="1">
        <f>2*(IF(Rules!$B$9=Rules!$E$9,SUM(HSD!F12:F18)+Rules!$B$5*HSD!F19+HSD!F43+F24,SUM(HS!F12:F18)+Rules!$B$5*HS!F19+HS!F43+F24)/(9+Rules!$B$5))</f>
        <v>0.31764234385950318</v>
      </c>
      <c r="G11" s="1">
        <f>2*(IF(Rules!$B$9=Rules!$E$9,SUM(HSD!G12:G18)+Rules!$B$5*HSD!G19+HSD!G43+G24,SUM(HS!G12:G18)+Rules!$B$5*HS!G19+HS!G43+G24)/(9+Rules!$B$5))</f>
        <v>0.40260770908451093</v>
      </c>
      <c r="H11" s="1">
        <f>2*(IF(Rules!$B$9=Rules!$E$9,SUM(HSD!H12:H18)+Rules!$B$5*HSD!H19+HSD!H43+H24,SUM(HS!H12:H18)+Rules!$B$5*HS!H19+HS!H43+H24)/(9+Rules!$B$5))</f>
        <v>0.35308133391180391</v>
      </c>
      <c r="I11" s="1">
        <f>2*(IF(Rules!$B$9=Rules!$E$9,SUM(HSD!I12:I18)+Rules!$B$5*HSD!I19+HSD!I43+I24,SUM(HS!I12:I18)+Rules!$B$5*HS!I19+HS!I43+I24)/(9+Rules!$B$5))</f>
        <v>0.19073266939041358</v>
      </c>
      <c r="J11" s="1">
        <f>2*(IF(Rules!$B$9=Rules!$E$9,SUM(HSD!J12:J18)+Rules!$B$5*HSD!J19+HSD!J43+J24,SUM(HS!J12:J18)+Rules!$B$5*HS!J19+HS!J43+J24)/(9+Rules!$B$5))</f>
        <v>-0.15193010041706984</v>
      </c>
      <c r="K11" s="9">
        <f>2*(IF(Rules!$B$9=Rules!$E$9,SUM(HSD!K12:K18)+Rules!$B$5*HSD!K19+HSD!K43+K24,SUM(HS!K12:K18)+Rules!$B$5*HS!K19+HS!K43+K24)/(9+Rules!$B$5))</f>
        <v>-0.51500564837004559</v>
      </c>
      <c r="N11">
        <v>10</v>
      </c>
      <c r="O11" s="31" t="str">
        <f>IF(B63=IF(Rules!$B$11=2,B51,IF(Rules!$B$11=3,B38,IF(Rules!$B$11=4,B25,B12))),"P",HSDR!O20)</f>
        <v>S</v>
      </c>
      <c r="P11" s="31" t="str">
        <f>IF(C63=IF(Rules!$B$11=2,C51,IF(Rules!$B$11=3,C38,IF(Rules!$B$11=4,C25,C12))),"P",HSDR!P20)</f>
        <v>S</v>
      </c>
      <c r="Q11" s="31" t="str">
        <f>IF(D63=IF(Rules!$B$11=2,D51,IF(Rules!$B$11=3,D38,IF(Rules!$B$11=4,D25,D12))),"P",HSDR!Q20)</f>
        <v>S</v>
      </c>
      <c r="R11" s="31" t="str">
        <f>IF(E63=IF(Rules!$B$11=2,E51,IF(Rules!$B$11=3,E38,IF(Rules!$B$11=4,E25,E12))),"P",HSDR!R20)</f>
        <v>S</v>
      </c>
      <c r="S11" s="31" t="str">
        <f>IF(F63=IF(Rules!$B$11=2,F51,IF(Rules!$B$11=3,F38,IF(Rules!$B$11=4,F25,F12))),"P",HSDR!S20)</f>
        <v>S</v>
      </c>
      <c r="T11" s="31" t="str">
        <f>IF(G63=IF(Rules!$B$11=2,G51,IF(Rules!$B$11=3,G38,IF(Rules!$B$11=4,G25,G12))),"P",HSDR!T20)</f>
        <v>S</v>
      </c>
      <c r="U11" s="31" t="str">
        <f>IF(H63=IF(Rules!$B$11=2,H51,IF(Rules!$B$11=3,H38,IF(Rules!$B$11=4,H25,H12))),"P",HSDR!U20)</f>
        <v>S</v>
      </c>
      <c r="V11" s="31" t="str">
        <f>IF(I63=IF(Rules!$B$11=2,I51,IF(Rules!$B$11=3,I38,IF(Rules!$B$11=4,I25,I12))),"P",HSDR!V20)</f>
        <v>S</v>
      </c>
      <c r="W11" s="31" t="str">
        <f>IF(J63=IF(Rules!$B$11=2,J51,IF(Rules!$B$11=3,J38,IF(Rules!$B$11=4,J25,J12))),"P",HSDR!W20)</f>
        <v>S</v>
      </c>
      <c r="X11" s="31" t="str">
        <f>IF(K63=IF(Rules!$B$11=2,K51,IF(Rules!$B$11=3,K38,IF(Rules!$B$11=4,K25,K12))),"P",HSDR!X20)</f>
        <v>S</v>
      </c>
    </row>
    <row r="12" spans="1:24" ht="17" thickBot="1" x14ac:dyDescent="0.25">
      <c r="A12" s="100">
        <v>10</v>
      </c>
      <c r="B12" s="94">
        <f>2*(IF(Rules!$B$9=Rules!$E$9,SUM(HSD!B13:B19)+Rules!$B$5*HSD!B20+HSD!B44+B25,SUM(HS!B13:B19)+Rules!$B$5*HS!B20+HS!B44+B25)/(9+Rules!$B$5))</f>
        <v>-0.26211809303977207</v>
      </c>
      <c r="C12" s="111">
        <f>2*(IF(Rules!$B$9=Rules!$E$9,SUM(HSD!C13:C19)+Rules!$B$5*HSD!C20+HSD!C44+C25,SUM(HS!C13:C19)+Rules!$B$5*HS!C20+HS!C44+C25)/(9+Rules!$B$5))</f>
        <v>0.47702511757927396</v>
      </c>
      <c r="D12" s="111">
        <f>2*(IF(Rules!$B$9=Rules!$E$9,SUM(HSD!D13:D19)+Rules!$B$5*HSD!D20+HSD!D44+D25,SUM(HS!D13:D19)+Rules!$B$5*HS!D20+HS!D44+D25)/(9+Rules!$B$5))</f>
        <v>0.52917868575056526</v>
      </c>
      <c r="E12" s="111">
        <f>2*(IF(Rules!$B$9=Rules!$E$9,SUM(HSD!E13:E19)+Rules!$B$5*HSD!E20+HSD!E44+E25,SUM(HS!E13:E19)+Rules!$B$5*HS!E20+HS!E44+E25)/(9+Rules!$B$5))</f>
        <v>0.58267776514625602</v>
      </c>
      <c r="F12" s="111">
        <f>2*(IF(Rules!$B$9=Rules!$E$9,SUM(HSD!F13:F19)+Rules!$B$5*HSD!F20+HSD!F44+F25,SUM(HS!F13:F19)+Rules!$B$5*HS!F20+HS!F44+F25)/(9+Rules!$B$5))</f>
        <v>0.63565069498224802</v>
      </c>
      <c r="G12" s="111">
        <f>2*(IF(Rules!$B$9=Rules!$E$9,SUM(HSD!G13:G19)+Rules!$B$5*HSD!G20+HSD!G44+G25,SUM(HS!G13:G19)+Rules!$B$5*HS!G20+HS!G44+G25)/(9+Rules!$B$5))</f>
        <v>0.70770536905396042</v>
      </c>
      <c r="H12" s="111">
        <f>2*(IF(Rules!$B$9=Rules!$E$9,SUM(HSD!H13:H19)+Rules!$B$5*HSD!H20+HSD!H44+H25,SUM(HS!H13:H19)+Rules!$B$5*HS!H20+HS!H44+H25)/(9+Rules!$B$5))</f>
        <v>0.6454573388630771</v>
      </c>
      <c r="I12" s="111">
        <f>2*(IF(Rules!$B$9=Rules!$E$9,SUM(HSD!I13:I19)+Rules!$B$5*HSD!I20+HSD!I44+I25,SUM(HS!I13:I19)+Rules!$B$5*HS!I20+HS!I44+I25)/(9+Rules!$B$5))</f>
        <v>0.51682590743860801</v>
      </c>
      <c r="J12" s="111">
        <f>2*(IF(Rules!$B$9=Rules!$E$9,SUM(HSD!J13:J19)+Rules!$B$5*HSD!J20+HSD!J44+J25,SUM(HS!J13:J19)+Rules!$B$5*HS!J20+HS!J44+J25)/(9+Rules!$B$5))</f>
        <v>0.33687476710602632</v>
      </c>
      <c r="K12" s="10">
        <f>2*(IF(Rules!$B$9=Rules!$E$9,SUM(HSD!K13:K19)+Rules!$B$5*HSD!K20+HSD!K44+K25,SUM(HS!K13:K19)+Rules!$B$5*HS!K20+HS!K44+K25)/(9+Rules!$B$5))</f>
        <v>-3.0069352830969863E-2</v>
      </c>
    </row>
    <row r="13" spans="1:24" ht="17" thickBot="1" x14ac:dyDescent="0.25"/>
    <row r="14" spans="1:24" ht="17" thickBot="1" x14ac:dyDescent="0.25">
      <c r="A14" s="312" t="s">
        <v>76</v>
      </c>
      <c r="B14" s="328"/>
      <c r="C14" s="328"/>
      <c r="D14" s="328"/>
      <c r="E14" s="328"/>
      <c r="F14" s="328"/>
      <c r="G14" s="328"/>
      <c r="H14" s="328"/>
      <c r="I14" s="328"/>
      <c r="J14" s="328"/>
      <c r="K14" s="313"/>
    </row>
    <row r="15" spans="1:24" ht="17" thickBot="1" x14ac:dyDescent="0.25">
      <c r="A15" s="103" t="s">
        <v>7</v>
      </c>
      <c r="B15" s="117">
        <v>1</v>
      </c>
      <c r="C15" s="118">
        <v>2</v>
      </c>
      <c r="D15" s="118">
        <v>3</v>
      </c>
      <c r="E15" s="118">
        <v>4</v>
      </c>
      <c r="F15" s="118">
        <v>5</v>
      </c>
      <c r="G15" s="118">
        <v>6</v>
      </c>
      <c r="H15" s="118">
        <v>7</v>
      </c>
      <c r="I15" s="118">
        <v>8</v>
      </c>
      <c r="J15" s="118">
        <v>9</v>
      </c>
      <c r="K15" s="105">
        <v>10</v>
      </c>
    </row>
    <row r="16" spans="1:24" x14ac:dyDescent="0.2">
      <c r="A16" s="101">
        <v>1</v>
      </c>
      <c r="B16" s="109">
        <f>2*(IF(Rules!$B$12=Rules!$F$12,SUM(Stand!B36:B43)+Rules!$B$5*Stand!B44+B29,SUM(HSD!B36:B43)+Rules!$B$5*HSD!B44+B29)/(9+Rules!$B$5))</f>
        <v>-3.6921997939562683E-2</v>
      </c>
      <c r="C16" s="110">
        <f>2*(IF(Rules!$B$12=Rules!$F$12,SUM(Stand!C36:C43)+Rules!$B$5*Stand!C44+C29,SUM(HSD!C36:C43)+Rules!$B$5*HSD!C44+C29)/(9+Rules!$B$5))</f>
        <v>0.60616009207593269</v>
      </c>
      <c r="D16" s="110">
        <f>2*(IF(Rules!$B$12=Rules!$F$12,SUM(Stand!D36:D43)+Rules!$B$5*Stand!D44+D29,SUM(HSD!D36:D43)+Rules!$B$5*HSD!D44+D29)/(9+Rules!$B$5))</f>
        <v>0.65448971744610962</v>
      </c>
      <c r="E16" s="110">
        <f>2*(IF(Rules!$B$12=Rules!$F$12,SUM(Stand!E36:E43)+Rules!$B$5*Stand!E44+E29,SUM(HSD!E36:E43)+Rules!$B$5*HSD!E44+E29)/(9+Rules!$B$5))</f>
        <v>0.70398794558002764</v>
      </c>
      <c r="F16" s="110">
        <f>2*(IF(Rules!$B$12=Rules!$F$12,SUM(Stand!F36:F43)+Rules!$B$5*Stand!F44+F29,SUM(HSD!F36:F43)+Rules!$B$5*HSD!F44+F29)/(9+Rules!$B$5))</f>
        <v>0.75349635733112907</v>
      </c>
      <c r="G16" s="110">
        <f>2*(IF(Rules!$B$12=Rules!$F$12,SUM(Stand!G36:G43)+Rules!$B$5*Stand!G44+G29,SUM(HSD!G36:G43)+Rules!$B$5*HSD!G44+G29)/(9+Rules!$B$5))</f>
        <v>0.81313378320418017</v>
      </c>
      <c r="H16" s="110">
        <f>2*(IF(Rules!$B$12=Rules!$F$12,SUM(Stand!H36:H43)+Rules!$B$5*Stand!H44+H29,SUM(HSD!H36:H43)+Rules!$B$5*HSD!H44+H29)/(9+Rules!$B$5))</f>
        <v>0.62944471196628327</v>
      </c>
      <c r="I16" s="110">
        <f>2*(IF(Rules!$B$12=Rules!$F$12,SUM(Stand!I36:I43)+Rules!$B$5*Stand!I44+I29,SUM(HSD!I36:I43)+Rules!$B$5*HSD!I44+I29)/(9+Rules!$B$5))</f>
        <v>0.50357012454509598</v>
      </c>
      <c r="J16" s="110">
        <f>2*(IF(Rules!$B$12=Rules!$F$12,SUM(Stand!J36:J43)+Rules!$B$5*Stand!J44+J29,SUM(HSD!J36:J43)+Rules!$B$5*HSD!J44+J29)/(9+Rules!$B$5))</f>
        <v>0.36463545349864968</v>
      </c>
      <c r="K16" s="57">
        <f>2*(IF(Rules!$B$12=Rules!$F$12,SUM(Stand!K36:K43)+Rules!$B$5*Stand!K44+K29,SUM(HSD!K36:K43)+Rules!$B$5*HSD!K44+K29)/(9+Rules!$B$5))</f>
        <v>0.17210429665796539</v>
      </c>
    </row>
    <row r="17" spans="1:11" x14ac:dyDescent="0.2">
      <c r="A17" s="99">
        <v>2</v>
      </c>
      <c r="B17" s="93">
        <f>2*(IF(Rules!$B$9=Rules!$E$9,SUM(HSD!B5:B11)+Rules!$B$5*HSD!B12+HSD!B36+B30,SUM(HS!B5:B11)+Rules!$B$5*HS!B12+HS!B36+B30)/(9+Rules!$B$5))</f>
        <v>-0.74305711732414204</v>
      </c>
      <c r="C17" s="1">
        <f>2*(IF(Rules!$B$9=Rules!$E$9,SUM(HSD!C5:C11)+Rules!$B$5*HSD!C12+HSD!C36+C30,SUM(HS!C5:C11)+Rules!$B$5*HS!C12+HS!C36+C30)/(9+Rules!$B$5))</f>
        <v>-0.158311093386829</v>
      </c>
      <c r="D17" s="1">
        <f>2*(IF(Rules!$B$9=Rules!$E$9,SUM(HSD!D5:D11)+Rules!$B$5*HSD!D12+HSD!D36+D30,SUM(HS!D5:D11)+Rules!$B$5*HS!D12+HS!D36+D30)/(9+Rules!$B$5))</f>
        <v>-0.10249929951053052</v>
      </c>
      <c r="E17" s="1">
        <f>2*(IF(Rules!$B$9=Rules!$E$9,SUM(HSD!E5:E11)+Rules!$B$5*HSD!E12+HSD!E36+E30,SUM(HS!E5:E11)+Rules!$B$5*HS!E12+HS!E36+E30)/(9+Rules!$B$5))</f>
        <v>-4.3283677081979763E-2</v>
      </c>
      <c r="F17" s="1">
        <f>2*(IF(Rules!$B$9=Rules!$E$9,SUM(HSD!F5:F11)+Rules!$B$5*HSD!F12+HSD!F36+F30,SUM(HS!F5:F11)+Rules!$B$5*HS!F12+HS!F36+F30)/(9+Rules!$B$5))</f>
        <v>3.4532252336932835E-2</v>
      </c>
      <c r="G17" s="1">
        <f>2*(IF(Rules!$B$9=Rules!$E$9,SUM(HSD!G5:G11)+Rules!$B$5*HSD!G12+HSD!G36+G30,SUM(HS!G5:G11)+Rules!$B$5*HS!G12+HS!G36+G30)/(9+Rules!$B$5))</f>
        <v>8.9595771811825417E-2</v>
      </c>
      <c r="H17" s="1">
        <f>2*(IF(Rules!$B$9=Rules!$E$9,SUM(HSD!H5:H11)+Rules!$B$5*HSD!H12+HSD!H36+H30,SUM(HS!H5:H11)+Rules!$B$5*HS!H12+HS!H36+H30)/(9+Rules!$B$5))</f>
        <v>-4.852022766768796E-2</v>
      </c>
      <c r="I17" s="1">
        <f>2*(IF(Rules!$B$9=Rules!$E$9,SUM(HSD!I5:I11)+Rules!$B$5*HSD!I12+HSD!I36+I30,SUM(HS!I5:I11)+Rules!$B$5*HS!I12+HS!I36+I30)/(9+Rules!$B$5))</f>
        <v>-0.2146647519212691</v>
      </c>
      <c r="J17" s="1">
        <f>2*(IF(Rules!$B$9=Rules!$E$9,SUM(HSD!J5:J11)+Rules!$B$5*HSD!J12+HSD!J36+J30,SUM(HS!J5:J11)+Rules!$B$5*HS!J12+HS!J36+J30)/(9+Rules!$B$5))</f>
        <v>-0.40484483763725082</v>
      </c>
      <c r="K17" s="9">
        <f>2*(IF(Rules!$B$9=Rules!$E$9,SUM(HSD!K5:K11)+Rules!$B$5*HSD!K12+HSD!K36+K30,SUM(HS!K5:K11)+Rules!$B$5*HS!K12+HS!K36+K30)/(9+Rules!$B$5))</f>
        <v>-0.62574300419837159</v>
      </c>
    </row>
    <row r="18" spans="1:11" x14ac:dyDescent="0.2">
      <c r="A18" s="99">
        <v>3</v>
      </c>
      <c r="B18" s="93">
        <f>2*(IF(Rules!$B$9=Rules!$E$9,SUM(HSD!B6:B12)+Rules!$B$5*HSD!B13+HSD!B37+B31,SUM(HS!B6:B12)+Rules!$B$5*HS!B13+HS!B37+B31)/(9+Rules!$B$5))</f>
        <v>-0.7868562014944972</v>
      </c>
      <c r="C18" s="1">
        <f>2*(IF(Rules!$B$9=Rules!$E$9,SUM(HSD!C6:C12)+Rules!$B$5*HSD!C13+HSD!C37+C31,SUM(HS!C6:C12)+Rules!$B$5*HS!C13+HS!C37+C31)/(9+Rules!$B$5))</f>
        <v>-0.2139733120617329</v>
      </c>
      <c r="D18" s="1">
        <f>2*(IF(Rules!$B$9=Rules!$E$9,SUM(HSD!D6:D12)+Rules!$B$5*HSD!D13+HSD!D37+D31,SUM(HS!D6:D12)+Rules!$B$5*HS!D13+HS!D37+D31)/(9+Rules!$B$5))</f>
        <v>-0.14528570874057109</v>
      </c>
      <c r="E18" s="1">
        <f>2*(IF(Rules!$B$9=Rules!$E$9,SUM(HSD!E6:E12)+Rules!$B$5*HSD!E13+HSD!E37+E31,SUM(HS!E6:E12)+Rules!$B$5*HS!E13+HS!E37+E31)/(9+Rules!$B$5))</f>
        <v>-7.4482898083748542E-2</v>
      </c>
      <c r="F18" s="1">
        <f>2*(IF(Rules!$B$9=Rules!$E$9,SUM(HSD!F6:F12)+Rules!$B$5*HSD!F13+HSD!F37+F31,SUM(HS!F6:F12)+Rules!$B$5*HS!F13+HS!F37+F31)/(9+Rules!$B$5))</f>
        <v>4.6568760122588466E-3</v>
      </c>
      <c r="G18" s="1">
        <f>2*(IF(Rules!$B$9=Rules!$E$9,SUM(HSD!G6:G12)+Rules!$B$5*HSD!G13+HSD!G37+G31,SUM(HS!G6:G12)+Rules!$B$5*HS!G13+HS!G37+G31)/(9+Rules!$B$5))</f>
        <v>5.784123557020019E-2</v>
      </c>
      <c r="H18" s="1">
        <f>2*(IF(Rules!$B$9=Rules!$E$9,SUM(HSD!H6:H12)+Rules!$B$5*HSD!H13+HSD!H37+H31,SUM(HS!H6:H12)+Rules!$B$5*HS!H13+HS!H37+H31)/(9+Rules!$B$5))</f>
        <v>-0.1140635324410503</v>
      </c>
      <c r="I18" s="1">
        <f>2*(IF(Rules!$B$9=Rules!$E$9,SUM(HSD!I6:I12)+Rules!$B$5*HSD!I13+HSD!I37+I31,SUM(HS!I6:I12)+Rules!$B$5*HS!I13+HS!I37+I31)/(9+Rules!$B$5))</f>
        <v>-0.27498265906322161</v>
      </c>
      <c r="J18" s="1">
        <f>2*(IF(Rules!$B$9=Rules!$E$9,SUM(HSD!J6:J12)+Rules!$B$5*HSD!J13+HSD!J37+J31,SUM(HS!J6:J12)+Rules!$B$5*HS!J13+HS!J37+J31)/(9+Rules!$B$5))</f>
        <v>-0.45918369395907516</v>
      </c>
      <c r="K18" s="9">
        <f>2*(IF(Rules!$B$9=Rules!$E$9,SUM(HSD!K6:K12)+Rules!$B$5*HSD!K13+HSD!K37+K31,SUM(HS!K6:K12)+Rules!$B$5*HS!K13+HS!K37+K31)/(9+Rules!$B$5))</f>
        <v>-0.67310093096477552</v>
      </c>
    </row>
    <row r="19" spans="1:11" x14ac:dyDescent="0.2">
      <c r="A19" s="99">
        <v>4</v>
      </c>
      <c r="B19" s="93">
        <f>2*(IF(Rules!$B$9=Rules!$E$9,SUM(HSD!B7:B13)+Rules!$B$5*HSD!B14+HSD!B38+B32,SUM(HS!B7:B13)+Rules!$B$5*HS!B14+HS!B38+B32)/(9+Rules!$B$5))</f>
        <v>-0.83309316526261779</v>
      </c>
      <c r="C19" s="1">
        <f>2*(IF(Rules!$B$9=Rules!$E$9,SUM(HSD!C7:C13)+Rules!$B$5*HSD!C14+HSD!C38+C32,SUM(HS!C7:C13)+Rules!$B$5*HS!C14+HS!C38+C32)/(9+Rules!$B$5))</f>
        <v>-0.24563746076053314</v>
      </c>
      <c r="D19" s="1">
        <f>2*(IF(Rules!$B$9=Rules!$E$9,SUM(HSD!D7:D13)+Rules!$B$5*HSD!D14+HSD!D38+D32,SUM(HS!D7:D13)+Rules!$B$5*HS!D14+HS!D38+D32)/(9+Rules!$B$5))</f>
        <v>-0.17551104586414204</v>
      </c>
      <c r="E19" s="1">
        <f>2*(IF(Rules!$B$9=Rules!$E$9,SUM(HSD!E7:E13)+Rules!$B$5*HSD!E14+HSD!E38+E32,SUM(HS!E7:E13)+Rules!$B$5*HS!E14+HS!E38+E32)/(9+Rules!$B$5))</f>
        <v>-0.1033178635784693</v>
      </c>
      <c r="F19" s="1">
        <f>2*(IF(Rules!$B$9=Rules!$E$9,SUM(HSD!F7:F13)+Rules!$B$5*HSD!F14+HSD!F38+F32,SUM(HS!F7:F13)+Rules!$B$5*HS!F14+HS!F38+F32)/(9+Rules!$B$5))</f>
        <v>-2.2956991449867643E-2</v>
      </c>
      <c r="G19" s="1">
        <f>2*(IF(Rules!$B$9=Rules!$E$9,SUM(HSD!G7:G13)+Rules!$B$5*HSD!G14+HSD!G38+G32,SUM(HS!G7:G13)+Rules!$B$5*HS!G14+HS!G38+G32)/(9+Rules!$B$5))</f>
        <v>2.8521190199563246E-2</v>
      </c>
      <c r="H19" s="1">
        <f>2*(IF(Rules!$B$9=Rules!$E$9,SUM(HSD!H7:H13)+Rules!$B$5*HSD!H14+HSD!H38+H32,SUM(HS!H7:H13)+Rules!$B$5*HS!H14+HS!H38+H32)/(9+Rules!$B$5))</f>
        <v>-0.1809298272435951</v>
      </c>
      <c r="I19" s="1">
        <f>2*(IF(Rules!$B$9=Rules!$E$9,SUM(HSD!I7:I13)+Rules!$B$5*HSD!I14+HSD!I38+I32,SUM(HS!I7:I13)+Rules!$B$5*HS!I14+HS!I38+I32)/(9+Rules!$B$5))</f>
        <v>-0.3366729959712314</v>
      </c>
      <c r="J19" s="1">
        <f>2*(IF(Rules!$B$9=Rules!$E$9,SUM(HSD!J7:J13)+Rules!$B$5*HSD!J14+HSD!J38+J32,SUM(HS!J7:J13)+Rules!$B$5*HS!J14+HS!J38+J32)/(9+Rules!$B$5))</f>
        <v>-0.51482791891779689</v>
      </c>
      <c r="K19" s="9">
        <f>2*(IF(Rules!$B$9=Rules!$E$9,SUM(HSD!K7:K13)+Rules!$B$5*HSD!K14+HSD!K38+K32,SUM(HS!K7:K13)+Rules!$B$5*HS!K14+HS!K38+K32)/(9+Rules!$B$5))</f>
        <v>-0.72162435590467744</v>
      </c>
    </row>
    <row r="20" spans="1:11" x14ac:dyDescent="0.2">
      <c r="A20" s="99">
        <v>5</v>
      </c>
      <c r="B20" s="93">
        <f>2*(IF(Rules!$B$9=Rules!$E$9,SUM(HSD!B8:B14)+Rules!$B$5*HSD!B15+HSD!B39+B33,SUM(HS!B8:B14)+Rules!$B$5*HS!B15+HS!B39+B33)/(9+Rules!$B$5))</f>
        <v>-0.88594653685546787</v>
      </c>
      <c r="C20" s="1">
        <f>2*(IF(Rules!$B$9=Rules!$E$9,SUM(HSD!C8:C14)+Rules!$B$5*HSD!C15+HSD!C39+C33,SUM(HS!C8:C14)+Rules!$B$5*HS!C15+HS!C39+C33)/(9+Rules!$B$5))</f>
        <v>-0.28256978020930767</v>
      </c>
      <c r="D20" s="1">
        <f>2*(IF(Rules!$B$9=Rules!$E$9,SUM(HSD!D8:D14)+Rules!$B$5*HSD!D15+HSD!D39+D33,SUM(HS!D8:D14)+Rules!$B$5*HS!D15+HS!D39+D33)/(9+Rules!$B$5))</f>
        <v>-0.21086379285762763</v>
      </c>
      <c r="E20" s="1">
        <f>2*(IF(Rules!$B$9=Rules!$E$9,SUM(HSD!E8:E14)+Rules!$B$5*HSD!E15+HSD!E39+E33,SUM(HS!E8:E14)+Rules!$B$5*HS!E15+HS!E39+E33)/(9+Rules!$B$5))</f>
        <v>-0.13714895225649737</v>
      </c>
      <c r="F20" s="1">
        <f>2*(IF(Rules!$B$9=Rules!$E$9,SUM(HSD!F8:F14)+Rules!$B$5*HSD!F15+HSD!F39+F33,SUM(HS!F8:F14)+Rules!$B$5*HS!F15+HS!F39+F33)/(9+Rules!$B$5))</f>
        <v>-5.5180410585040834E-2</v>
      </c>
      <c r="G20" s="1">
        <f>2*(IF(Rules!$B$9=Rules!$E$9,SUM(HSD!G8:G14)+Rules!$B$5*HSD!G15+HSD!G39+G33,SUM(HS!G8:G14)+Rules!$B$5*HS!G15+HS!G39+G33)/(9+Rules!$B$5))</f>
        <v>-7.9746907119231433E-3</v>
      </c>
      <c r="H20" s="1">
        <f>2*(IF(Rules!$B$9=Rules!$E$9,SUM(HSD!H8:H14)+Rules!$B$5*HSD!H15+HSD!H39+H33,SUM(HS!H8:H14)+Rules!$B$5*HS!H15+HS!H39+H33)/(9+Rules!$B$5))</f>
        <v>-0.2690878572927709</v>
      </c>
      <c r="I20" s="1">
        <f>2*(IF(Rules!$B$9=Rules!$E$9,SUM(HSD!I8:I14)+Rules!$B$5*HSD!I15+HSD!I39+I33,SUM(HS!I8:I14)+Rules!$B$5*HS!I15+HS!I39+I33)/(9+Rules!$B$5))</f>
        <v>-0.40557983367891848</v>
      </c>
      <c r="J20" s="1">
        <f>2*(IF(Rules!$B$9=Rules!$E$9,SUM(HSD!J8:J14)+Rules!$B$5*HSD!J15+HSD!J39+J33,SUM(HS!J8:J14)+Rules!$B$5*HS!J15+HS!J39+J33)/(9+Rules!$B$5))</f>
        <v>-0.5772297516086472</v>
      </c>
      <c r="K20" s="9">
        <f>2*(IF(Rules!$B$9=Rules!$E$9,SUM(HSD!K8:K14)+Rules!$B$5*HSD!K15+HSD!K39+K33,SUM(HS!K8:K14)+Rules!$B$5*HS!K15+HS!K39+K33)/(9+Rules!$B$5))</f>
        <v>-0.77768968728271581</v>
      </c>
    </row>
    <row r="21" spans="1:11" x14ac:dyDescent="0.2">
      <c r="A21" s="99">
        <v>6</v>
      </c>
      <c r="B21" s="93">
        <f>2*(IF(Rules!$B$9=Rules!$E$9,SUM(HSD!B9:B15)+Rules!$B$5*HSD!B16+HSD!B40+B34,SUM(HS!B9:B15)+Rules!$B$5*HS!B16+HS!B40+B34)/(9+Rules!$B$5))</f>
        <v>-0.92973477836533303</v>
      </c>
      <c r="C21" s="1">
        <f>2*(IF(Rules!$B$9=Rules!$E$9,SUM(HSD!C9:C15)+Rules!$B$5*HSD!C16+HSD!C40+C34,SUM(HS!C9:C15)+Rules!$B$5*HS!C16+HS!C40+C34)/(9+Rules!$B$5))</f>
        <v>-0.32762238525931209</v>
      </c>
      <c r="D21" s="1">
        <f>2*(IF(Rules!$B$9=Rules!$E$9,SUM(HSD!D9:D15)+Rules!$B$5*HSD!D16+HSD!D40+D34,SUM(HS!D9:D15)+Rules!$B$5*HS!D16+HS!D40+D34)/(9+Rules!$B$5))</f>
        <v>-0.25409471552275603</v>
      </c>
      <c r="E21" s="1">
        <f>2*(IF(Rules!$B$9=Rules!$E$9,SUM(HSD!E9:E15)+Rules!$B$5*HSD!E16+HSD!E40+E34,SUM(HS!E9:E15)+Rules!$B$5*HS!E16+HS!E40+E34)/(9+Rules!$B$5))</f>
        <v>-0.17860684429004975</v>
      </c>
      <c r="F21" s="1">
        <f>2*(IF(Rules!$B$9=Rules!$E$9,SUM(HSD!F9:F15)+Rules!$B$5*HSD!F16+HSD!F40+F34,SUM(HS!F9:F15)+Rules!$B$5*HS!F16+HS!F40+F34)/(9+Rules!$B$5))</f>
        <v>-9.4797020502199306E-2</v>
      </c>
      <c r="G21" s="1">
        <f>2*(IF(Rules!$B$9=Rules!$E$9,SUM(HSD!G9:G15)+Rules!$B$5*HSD!G16+HSD!G40+G34,SUM(HS!G9:G15)+Rules!$B$5*HS!G16+HS!G40+G34)/(9+Rules!$B$5))</f>
        <v>-5.1036254696903378E-2</v>
      </c>
      <c r="H21" s="1">
        <f>2*(IF(Rules!$B$9=Rules!$E$9,SUM(HSD!H9:H15)+Rules!$B$5*HSD!H16+HSD!H40+H34,SUM(HS!H9:H15)+Rules!$B$5*HS!H16+HS!H40+H34)/(9+Rules!$B$5))</f>
        <v>-0.37239905716638266</v>
      </c>
      <c r="I21" s="1">
        <f>2*(IF(Rules!$B$9=Rules!$E$9,SUM(HSD!I9:I15)+Rules!$B$5*HSD!I16+HSD!I40+I34,SUM(HS!I9:I15)+Rules!$B$5*HS!I16+HS!I40+I34)/(9+Rules!$B$5))</f>
        <v>-0.50097822778646528</v>
      </c>
      <c r="J21" s="1">
        <f>2*(IF(Rules!$B$9=Rules!$E$9,SUM(HSD!J9:J15)+Rules!$B$5*HSD!J16+HSD!J40+J34,SUM(HS!J9:J15)+Rules!$B$5*HS!J16+HS!J40+J34)/(9+Rules!$B$5))</f>
        <v>-0.65186632377957643</v>
      </c>
      <c r="K21" s="9">
        <f>2*(IF(Rules!$B$9=Rules!$E$9,SUM(HSD!K9:K15)+Rules!$B$5*HSD!K16+HSD!K40+K34,SUM(HS!K9:K15)+Rules!$B$5*HS!K16+HS!K40+K34)/(9+Rules!$B$5))</f>
        <v>-0.84253685212049068</v>
      </c>
    </row>
    <row r="22" spans="1:11" x14ac:dyDescent="0.2">
      <c r="A22" s="99">
        <v>7</v>
      </c>
      <c r="B22" s="93">
        <f>2*(IF(Rules!$B$9=Rules!$E$9,SUM(HSD!B10:B16)+Rules!$B$5*HSD!B17+HSD!B41+B35,SUM(HS!B10:B16)+Rules!$B$5*HS!B17+HS!B41+B35)/(9+Rules!$B$5))</f>
        <v>-0.89660940751303764</v>
      </c>
      <c r="C22" s="1">
        <f>2*(IF(Rules!$B$9=Rules!$E$9,SUM(HSD!C10:C16)+Rules!$B$5*HSD!C17+HSD!C41+C35,SUM(HS!C10:C16)+Rules!$B$5*HS!C17+HS!C41+C35)/(9+Rules!$B$5))</f>
        <v>-0.27034547584735807</v>
      </c>
      <c r="D22" s="1">
        <f>2*(IF(Rules!$B$9=Rules!$E$9,SUM(HSD!D10:D16)+Rules!$B$5*HSD!D17+HSD!D41+D35,SUM(HS!D10:D16)+Rules!$B$5*HS!D17+HS!D41+D35)/(9+Rules!$B$5))</f>
        <v>-0.19833117071090423</v>
      </c>
      <c r="E22" s="1">
        <f>2*(IF(Rules!$B$9=Rules!$E$9,SUM(HSD!E10:E16)+Rules!$B$5*HSD!E17+HSD!E41+E35,SUM(HS!E10:E16)+Rules!$B$5*HS!E17+HS!E41+E35)/(9+Rules!$B$5))</f>
        <v>-0.12421361212781255</v>
      </c>
      <c r="F22" s="1">
        <f>2*(IF(Rules!$B$9=Rules!$E$9,SUM(HSD!F10:F16)+Rules!$B$5*HSD!F17+HSD!F41+F35,SUM(HS!F10:F16)+Rules!$B$5*HS!F17+HS!F41+F35)/(9+Rules!$B$5))</f>
        <v>-4.5177262292106474E-2</v>
      </c>
      <c r="G22" s="1">
        <f>2*(IF(Rules!$B$9=Rules!$E$9,SUM(HSD!G10:G16)+Rules!$B$5*HSD!G17+HSD!G41+G35,SUM(HS!G10:G16)+Rules!$B$5*HS!G17+HS!G41+G35)/(9+Rules!$B$5))</f>
        <v>3.3936101059871375E-2</v>
      </c>
      <c r="H22" s="1">
        <f>2*(IF(Rules!$B$9=Rules!$E$9,SUM(HSD!H10:H16)+Rules!$B$5*HSD!H17+HSD!H41+H35,SUM(HS!H10:H16)+Rules!$B$5*HS!H17+HS!H41+H35)/(9+Rules!$B$5))</f>
        <v>-0.19255349130839547</v>
      </c>
      <c r="I22" s="1">
        <f>2*(IF(Rules!$B$9=Rules!$E$9,SUM(HSD!I10:I16)+Rules!$B$5*HSD!I17+HSD!I41+I35,SUM(HS!I10:I16)+Rules!$B$5*HS!I17+HS!I41+I35)/(9+Rules!$B$5))</f>
        <v>-0.51344369512043164</v>
      </c>
      <c r="J22" s="1">
        <f>2*(IF(Rules!$B$9=Rules!$E$9,SUM(HSD!J10:J16)+Rules!$B$5*HSD!J17+HSD!J41+J35,SUM(HS!J10:J16)+Rules!$B$5*HS!J17+HS!J41+J35)/(9+Rules!$B$5))</f>
        <v>-0.66278167875678895</v>
      </c>
      <c r="K22" s="9">
        <f>2*(IF(Rules!$B$9=Rules!$E$9,SUM(HSD!K10:K16)+Rules!$B$5*HSD!K17+HSD!K41+K35,SUM(HS!K10:K16)+Rules!$B$5*HS!K17+HS!K41+K35)/(9+Rules!$B$5))</f>
        <v>-0.82188197145821806</v>
      </c>
    </row>
    <row r="23" spans="1:11" x14ac:dyDescent="0.2">
      <c r="A23" s="99">
        <v>8</v>
      </c>
      <c r="B23" s="93">
        <f>2*(IF(Rules!$B$9=Rules!$E$9,SUM(HSD!B11:B17)+Rules!$B$5*HSD!B18+HSD!B42+B36,SUM(HS!B11:B17)+Rules!$B$5*HS!B18+HS!B42+B36)/(9+Rules!$B$5))</f>
        <v>-0.75192554075850948</v>
      </c>
      <c r="C23" s="1">
        <f>2*(IF(Rules!$B$9=Rules!$E$9,SUM(HSD!C11:C17)+Rules!$B$5*HSD!C18+HSD!C42+C36,SUM(HS!C11:C17)+Rules!$B$5*HS!C18+HS!C42+C36)/(9+Rules!$B$5))</f>
        <v>-8.3731826318201197E-2</v>
      </c>
      <c r="D23" s="1">
        <f>2*(IF(Rules!$B$9=Rules!$E$9,SUM(HSD!D11:D17)+Rules!$B$5*HSD!D18+HSD!D42+D36,SUM(HS!D11:D17)+Rules!$B$5*HS!D18+HS!D42+D36)/(9+Rules!$B$5))</f>
        <v>-1.7731034243891459E-2</v>
      </c>
      <c r="E23" s="1">
        <f>2*(IF(Rules!$B$9=Rules!$E$9,SUM(HSD!E11:E17)+Rules!$B$5*HSD!E18+HSD!E42+E36,SUM(HS!E11:E17)+Rules!$B$5*HS!E18+HS!E42+E36)/(9+Rules!$B$5))</f>
        <v>5.0426726079371584E-2</v>
      </c>
      <c r="F23" s="1">
        <f>2*(IF(Rules!$B$9=Rules!$E$9,SUM(HSD!F11:F17)+Rules!$B$5*HSD!F18+HSD!F42+F36,SUM(HS!F11:F17)+Rules!$B$5*HS!F18+HS!F42+F36)/(9+Rules!$B$5))</f>
        <v>0.12125732832070087</v>
      </c>
      <c r="G23" s="1">
        <f>2*(IF(Rules!$B$9=Rules!$E$9,SUM(HSD!G11:G17)+Rules!$B$5*HSD!G18+HSD!G42+G36,SUM(HS!G11:G17)+Rules!$B$5*HS!G18+HS!G42+G36)/(9+Rules!$B$5))</f>
        <v>0.21964666987769416</v>
      </c>
      <c r="H23" s="1">
        <f>2*(IF(Rules!$B$9=Rules!$E$9,SUM(HSD!H11:H17)+Rules!$B$5*HSD!H18+HSD!H42+H36,SUM(HS!H11:H17)+Rules!$B$5*HS!H18+HS!H42+H36)/(9+Rules!$B$5))</f>
        <v>0.14799584932950927</v>
      </c>
      <c r="I23" s="1">
        <f>2*(IF(Rules!$B$9=Rules!$E$9,SUM(HSD!I11:I17)+Rules!$B$5*HSD!I18+HSD!I42+I36,SUM(HS!I11:I17)+Rules!$B$5*HS!I18+HS!I42+I36)/(9+Rules!$B$5))</f>
        <v>-0.17620192285268921</v>
      </c>
      <c r="J23" s="1">
        <f>2*(IF(Rules!$B$9=Rules!$E$9,SUM(HSD!J11:J17)+Rules!$B$5*HSD!J18+HSD!J42+J36,SUM(HS!J11:J17)+Rules!$B$5*HS!J18+HS!J42+J36)/(9+Rules!$B$5))</f>
        <v>-0.51568075661165147</v>
      </c>
      <c r="K23" s="9">
        <f>2*(IF(Rules!$B$9=Rules!$E$9,SUM(HSD!K11:K17)+Rules!$B$5*HSD!K18+HSD!K42+K36,SUM(HS!K11:K17)+Rules!$B$5*HS!K18+HS!K42+K36)/(9+Rules!$B$5))</f>
        <v>-0.70270823593098497</v>
      </c>
    </row>
    <row r="24" spans="1:11" x14ac:dyDescent="0.2">
      <c r="A24" s="99">
        <v>9</v>
      </c>
      <c r="B24" s="93">
        <f>2*(IF(Rules!$B$9=Rules!$E$9,SUM(HSD!B12:B18)+Rules!$B$5*HSD!B19+HSD!B43+B37,SUM(HS!B12:B18)+Rules!$B$5*HS!B19+HS!B43+B37)/(9+Rules!$B$5))</f>
        <v>-0.58583698269420603</v>
      </c>
      <c r="C24" s="1">
        <f>2*(IF(Rules!$B$9=Rules!$E$9,SUM(HSD!C12:C18)+Rules!$B$5*HSD!C19+HSD!C43+C37,SUM(HS!C12:C18)+Rules!$B$5*HS!C19+HS!C43+C37)/(9+Rules!$B$5))</f>
        <v>0.13301183711038242</v>
      </c>
      <c r="D24" s="1">
        <f>2*(IF(Rules!$B$9=Rules!$E$9,SUM(HSD!D12:D18)+Rules!$B$5*HSD!D19+HSD!D43+D37,SUM(HS!D12:D18)+Rules!$B$5*HS!D19+HS!D43+D37)/(9+Rules!$B$5))</f>
        <v>0.19226978268319866</v>
      </c>
      <c r="E24" s="1">
        <f>2*(IF(Rules!$B$9=Rules!$E$9,SUM(HSD!E12:E18)+Rules!$B$5*HSD!E19+HSD!E43+E37,SUM(HS!E12:E18)+Rules!$B$5*HS!E19+HS!E43+E37)/(9+Rules!$B$5))</f>
        <v>0.25351350567831704</v>
      </c>
      <c r="F24" s="1">
        <f>2*(IF(Rules!$B$9=Rules!$E$9,SUM(HSD!F12:F18)+Rules!$B$5*HSD!F19+HSD!F43+F37,SUM(HS!F12:F18)+Rules!$B$5*HS!F19+HS!F43+F37)/(9+Rules!$B$5))</f>
        <v>0.31761061257655909</v>
      </c>
      <c r="G24" s="1">
        <f>2*(IF(Rules!$B$9=Rules!$E$9,SUM(HSD!G12:G18)+Rules!$B$5*HSD!G19+HSD!G43+G37,SUM(HS!G12:G18)+Rules!$B$5*HS!G19+HS!G43+G37)/(9+Rules!$B$5))</f>
        <v>0.40239524615848171</v>
      </c>
      <c r="H24" s="1">
        <f>2*(IF(Rules!$B$9=Rules!$E$9,SUM(HSD!H12:H18)+Rules!$B$5*HSD!H19+HSD!H43+H37,SUM(HS!H12:H18)+Rules!$B$5*HS!H19+HS!H43+H37)/(9+Rules!$B$5))</f>
        <v>0.35289348237335366</v>
      </c>
      <c r="I24" s="1">
        <f>2*(IF(Rules!$B$9=Rules!$E$9,SUM(HSD!I12:I18)+Rules!$B$5*HSD!I19+HSD!I43+I37,SUM(HS!I12:I18)+Rules!$B$5*HS!I19+HS!I43+I37)/(9+Rules!$B$5))</f>
        <v>0.19085366970157686</v>
      </c>
      <c r="J24" s="1">
        <f>2*(IF(Rules!$B$9=Rules!$E$9,SUM(HSD!J12:J18)+Rules!$B$5*HSD!J19+HSD!J43+J37,SUM(HS!J12:J18)+Rules!$B$5*HS!J19+HS!J43+J37)/(9+Rules!$B$5))</f>
        <v>-0.15097383924135593</v>
      </c>
      <c r="K24" s="9">
        <f>2*(IF(Rules!$B$9=Rules!$E$9,SUM(HSD!K12:K18)+Rules!$B$5*HSD!K19+HSD!K43+K37,SUM(HS!K12:K18)+Rules!$B$5*HS!K19+HS!K43+K37)/(9+Rules!$B$5))</f>
        <v>-0.51323394449756488</v>
      </c>
    </row>
    <row r="25" spans="1:11" ht="17" thickBot="1" x14ac:dyDescent="0.25">
      <c r="A25" s="100">
        <v>10</v>
      </c>
      <c r="B25" s="94">
        <f>2*(IF(Rules!$B$9=Rules!$E$9,SUM(HSD!B13:B19)+Rules!$B$5*HSD!B20+HSD!B44+B38,SUM(HS!B13:B19)+Rules!$B$5*HS!B20+HS!B44+B38)/(9+Rules!$B$5))</f>
        <v>-0.26274558434069556</v>
      </c>
      <c r="C25" s="111">
        <f>2*(IF(Rules!$B$9=Rules!$E$9,SUM(HSD!C13:C19)+Rules!$B$5*HSD!C20+HSD!C44+C38,SUM(HS!C13:C19)+Rules!$B$5*HS!C20+HS!C44+C38)/(9+Rules!$B$5))</f>
        <v>0.47477335618105915</v>
      </c>
      <c r="D25" s="111">
        <f>2*(IF(Rules!$B$9=Rules!$E$9,SUM(HSD!D13:D19)+Rules!$B$5*HSD!D20+HSD!D44+D38,SUM(HS!D13:D19)+Rules!$B$5*HS!D20+HS!D44+D38)/(9+Rules!$B$5))</f>
        <v>0.52682687199935552</v>
      </c>
      <c r="E25" s="111">
        <f>2*(IF(Rules!$B$9=Rules!$E$9,SUM(HSD!E13:E19)+Rules!$B$5*HSD!E20+HSD!E44+E38,SUM(HS!E13:E19)+Rules!$B$5*HS!E20+HS!E44+E38)/(9+Rules!$B$5))</f>
        <v>0.58023077979244886</v>
      </c>
      <c r="F25" s="111">
        <f>2*(IF(Rules!$B$9=Rules!$E$9,SUM(HSD!F13:F19)+Rules!$B$5*HSD!F20+HSD!F44+F38,SUM(HS!F13:F19)+Rules!$B$5*HS!F20+HS!F44+F38)/(9+Rules!$B$5))</f>
        <v>0.63317564802789661</v>
      </c>
      <c r="G25" s="111">
        <f>2*(IF(Rules!$B$9=Rules!$E$9,SUM(HSD!G13:G19)+Rules!$B$5*HSD!G20+HSD!G44+G38,SUM(HS!G13:G19)+Rules!$B$5*HS!G20+HS!G44+G38)/(9+Rules!$B$5))</f>
        <v>0.70504978713524302</v>
      </c>
      <c r="H25" s="111">
        <f>2*(IF(Rules!$B$9=Rules!$E$9,SUM(HSD!H13:H19)+Rules!$B$5*HSD!H20+HSD!H44+H38,SUM(HS!H13:H19)+Rules!$B$5*HS!H20+HS!H44+H38)/(9+Rules!$B$5))</f>
        <v>0.64281131172356143</v>
      </c>
      <c r="I25" s="111">
        <f>2*(IF(Rules!$B$9=Rules!$E$9,SUM(HSD!I13:I19)+Rules!$B$5*HSD!I20+HSD!I44+I38,SUM(HS!I13:I19)+Rules!$B$5*HS!I20+HS!I44+I38)/(9+Rules!$B$5))</f>
        <v>0.5143953850109767</v>
      </c>
      <c r="J25" s="111">
        <f>2*(IF(Rules!$B$9=Rules!$E$9,SUM(HSD!J13:J19)+Rules!$B$5*HSD!J20+HSD!J44+J38,SUM(HS!J13:J19)+Rules!$B$5*HS!J20+HS!J44+J38)/(9+Rules!$B$5))</f>
        <v>0.33478802167954469</v>
      </c>
      <c r="K25" s="10">
        <f>2*(IF(Rules!$B$9=Rules!$E$9,SUM(HSD!K13:K19)+Rules!$B$5*HSD!K20+HSD!K44+K38,SUM(HS!K13:K19)+Rules!$B$5*HS!K20+HS!K44+K38)/(9+Rules!$B$5))</f>
        <v>-3.1273597412603153E-2</v>
      </c>
    </row>
    <row r="26" spans="1:11" ht="17" thickBot="1" x14ac:dyDescent="0.25"/>
    <row r="27" spans="1:11" ht="17" thickBot="1" x14ac:dyDescent="0.25">
      <c r="A27" s="312" t="s">
        <v>77</v>
      </c>
      <c r="B27" s="328"/>
      <c r="C27" s="328"/>
      <c r="D27" s="328"/>
      <c r="E27" s="328"/>
      <c r="F27" s="328"/>
      <c r="G27" s="328"/>
      <c r="H27" s="328"/>
      <c r="I27" s="328"/>
      <c r="J27" s="328"/>
      <c r="K27" s="313"/>
    </row>
    <row r="28" spans="1:11" ht="17" thickBot="1" x14ac:dyDescent="0.25">
      <c r="A28" s="106" t="s">
        <v>7</v>
      </c>
      <c r="B28" s="117">
        <v>1</v>
      </c>
      <c r="C28" s="118">
        <v>2</v>
      </c>
      <c r="D28" s="118">
        <v>3</v>
      </c>
      <c r="E28" s="118">
        <v>4</v>
      </c>
      <c r="F28" s="118">
        <v>5</v>
      </c>
      <c r="G28" s="118">
        <v>6</v>
      </c>
      <c r="H28" s="118">
        <v>7</v>
      </c>
      <c r="I28" s="118">
        <v>8</v>
      </c>
      <c r="J28" s="118">
        <v>9</v>
      </c>
      <c r="K28" s="105">
        <v>10</v>
      </c>
    </row>
    <row r="29" spans="1:11" x14ac:dyDescent="0.2">
      <c r="A29" s="101">
        <v>1</v>
      </c>
      <c r="B29" s="109">
        <f>2*(IF(Rules!$B$12=Rules!$F$12,SUM(Stand!B36:B43)+Rules!$B$5*Stand!B44+B42,SUM(HSD!B36:B43)+Rules!$B$5*HSD!B44+B42)/(9+Rules!$B$5))</f>
        <v>-4.7753351684789599E-2</v>
      </c>
      <c r="C29" s="110">
        <f>2*(IF(Rules!$B$12=Rules!$F$12,SUM(Stand!C36:C43)+Rules!$B$5*Stand!C44+C42,SUM(HSD!C36:C43)+Rules!$B$5*HSD!C44+C42)/(9+Rules!$B$5))</f>
        <v>0.58809086957773749</v>
      </c>
      <c r="D29" s="110">
        <f>2*(IF(Rules!$B$12=Rules!$F$12,SUM(Stand!D36:D43)+Rules!$B$5*Stand!D44+D42,SUM(HSD!D36:D43)+Rules!$B$5*HSD!D44+D42)/(9+Rules!$B$5))</f>
        <v>0.63626378886959067</v>
      </c>
      <c r="E29" s="110">
        <f>2*(IF(Rules!$B$12=Rules!$F$12,SUM(Stand!E36:E43)+Rules!$B$5*Stand!E44+E42,SUM(HSD!E36:E43)+Rules!$B$5*HSD!E44+E42)/(9+Rules!$B$5))</f>
        <v>0.68559495955842076</v>
      </c>
      <c r="F29" s="110">
        <f>2*(IF(Rules!$B$12=Rules!$F$12,SUM(Stand!F36:F43)+Rules!$B$5*Stand!F44+F42,SUM(HSD!F36:F43)+Rules!$B$5*HSD!F44+F42)/(9+Rules!$B$5))</f>
        <v>0.73499004540818236</v>
      </c>
      <c r="G29" s="110">
        <f>2*(IF(Rules!$B$12=Rules!$F$12,SUM(Stand!G36:G43)+Rules!$B$5*Stand!G44+G42,SUM(HSD!G36:G43)+Rules!$B$5*HSD!G44+G42)/(9+Rules!$B$5))</f>
        <v>0.79369995809796545</v>
      </c>
      <c r="H29" s="110">
        <f>2*(IF(Rules!$B$12=Rules!$F$12,SUM(Stand!H36:H43)+Rules!$B$5*Stand!H44+H42,SUM(HSD!H36:H43)+Rules!$B$5*HSD!H44+H42)/(9+Rules!$B$5))</f>
        <v>0.60723727688601759</v>
      </c>
      <c r="I29" s="110">
        <f>2*(IF(Rules!$B$12=Rules!$F$12,SUM(Stand!I36:I43)+Rules!$B$5*Stand!I44+I42,SUM(HSD!I36:I43)+Rules!$B$5*HSD!I44+I42)/(9+Rules!$B$5))</f>
        <v>0.48318645338845856</v>
      </c>
      <c r="J29" s="110">
        <f>2*(IF(Rules!$B$12=Rules!$F$12,SUM(Stand!J36:J43)+Rules!$B$5*Stand!J44+J42,SUM(HSD!J36:J43)+Rules!$B$5*HSD!J44+J42)/(9+Rules!$B$5))</f>
        <v>0.34638851611915705</v>
      </c>
      <c r="K29" s="57">
        <f>2*(IF(Rules!$B$12=Rules!$F$12,SUM(Stand!K36:K43)+Rules!$B$5*Stand!K44+K42,SUM(HSD!K36:K43)+Rules!$B$5*HSD!K44+K42)/(9+Rules!$B$5))</f>
        <v>0.15707140935298916</v>
      </c>
    </row>
    <row r="30" spans="1:11" x14ac:dyDescent="0.2">
      <c r="A30" s="99">
        <v>2</v>
      </c>
      <c r="B30" s="93">
        <f>2*(IF(Rules!$B$9=Rules!$E$9,SUM(HSD!B5:B11)+Rules!$B$5*HSD!B12+HSD!B36+B43,SUM(HS!B5:B11)+Rules!$B$5*HS!B12+HS!B36+B43)/(9+Rules!$B$5))</f>
        <v>-0.73586773419434748</v>
      </c>
      <c r="C30" s="1">
        <f>2*(IF(Rules!$B$9=Rules!$E$9,SUM(HSD!C5:C11)+Rules!$B$5*HSD!C12+HSD!C36+C43,SUM(HS!C5:C11)+Rules!$B$5*HS!C12+HS!C36+C43)/(9+Rules!$B$5))</f>
        <v>-0.15743877648697158</v>
      </c>
      <c r="D30" s="1">
        <f>2*(IF(Rules!$B$9=Rules!$E$9,SUM(HSD!D5:D11)+Rules!$B$5*HSD!D12+HSD!D36+D43,SUM(HS!D5:D11)+Rules!$B$5*HS!D12+HS!D36+D43)/(9+Rules!$B$5))</f>
        <v>-0.10209958121483634</v>
      </c>
      <c r="E30" s="1">
        <f>2*(IF(Rules!$B$9=Rules!$E$9,SUM(HSD!E5:E11)+Rules!$B$5*HSD!E12+HSD!E36+E43,SUM(HS!E5:E11)+Rules!$B$5*HS!E12+HS!E36+E43)/(9+Rules!$B$5))</f>
        <v>-4.3405963373938289E-2</v>
      </c>
      <c r="F30" s="1">
        <f>2*(IF(Rules!$B$9=Rules!$E$9,SUM(HSD!F5:F11)+Rules!$B$5*HSD!F12+HSD!F36+F43,SUM(HS!F5:F11)+Rules!$B$5*HS!F12+HS!F36+F43)/(9+Rules!$B$5))</f>
        <v>3.3589293967950747E-2</v>
      </c>
      <c r="G30" s="1">
        <f>2*(IF(Rules!$B$9=Rules!$E$9,SUM(HSD!G5:G11)+Rules!$B$5*HSD!G12+HSD!G36+G43,SUM(HS!G5:G11)+Rules!$B$5*HS!G12+HS!G36+G43)/(9+Rules!$B$5))</f>
        <v>8.8018578755929028E-2</v>
      </c>
      <c r="H30" s="1">
        <f>2*(IF(Rules!$B$9=Rules!$E$9,SUM(HSD!H5:H11)+Rules!$B$5*HSD!H12+HSD!H36+H43,SUM(HS!H5:H11)+Rules!$B$5*HS!H12+HS!H36+H43)/(9+Rules!$B$5))</f>
        <v>-4.9319403012226162E-2</v>
      </c>
      <c r="I30" s="1">
        <f>2*(IF(Rules!$B$9=Rules!$E$9,SUM(HSD!I5:I11)+Rules!$B$5*HSD!I12+HSD!I36+I43,SUM(HS!I5:I11)+Rules!$B$5*HS!I12+HS!I36+I43)/(9+Rules!$B$5))</f>
        <v>-0.2135525790718005</v>
      </c>
      <c r="J30" s="1">
        <f>2*(IF(Rules!$B$9=Rules!$E$9,SUM(HSD!J5:J11)+Rules!$B$5*HSD!J12+HSD!J36+J43,SUM(HS!J5:J11)+Rules!$B$5*HS!J12+HS!J36+J43)/(9+Rules!$B$5))</f>
        <v>-0.40154476409988626</v>
      </c>
      <c r="K30" s="9">
        <f>2*(IF(Rules!$B$9=Rules!$E$9,SUM(HSD!K5:K11)+Rules!$B$5*HSD!K12+HSD!K36+K43,SUM(HS!K5:K11)+Rules!$B$5*HS!K12+HS!K36+K43)/(9+Rules!$B$5))</f>
        <v>-0.61990093103586186</v>
      </c>
    </row>
    <row r="31" spans="1:11" x14ac:dyDescent="0.2">
      <c r="A31" s="99">
        <v>3</v>
      </c>
      <c r="B31" s="93">
        <f>2*(IF(Rules!$B$9=Rules!$E$9,SUM(HSD!B6:B12)+Rules!$B$5*HSD!B13+HSD!B37+B44,SUM(HS!B6:B12)+Rules!$B$5*HS!B13+HS!B37+B44)/(9+Rules!$B$5))</f>
        <v>-0.77920727889383246</v>
      </c>
      <c r="C31" s="1">
        <f>2*(IF(Rules!$B$9=Rules!$E$9,SUM(HSD!C6:C12)+Rules!$B$5*HSD!C13+HSD!C37+C44,SUM(HS!C6:C12)+Rules!$B$5*HS!C13+HS!C37+C44)/(9+Rules!$B$5))</f>
        <v>-0.21224953829292914</v>
      </c>
      <c r="D31" s="1">
        <f>2*(IF(Rules!$B$9=Rules!$E$9,SUM(HSD!D6:D12)+Rules!$B$5*HSD!D13+HSD!D37+D44,SUM(HS!D6:D12)+Rules!$B$5*HS!D13+HS!D37+D44)/(9+Rules!$B$5))</f>
        <v>-0.14428117644953428</v>
      </c>
      <c r="E31" s="1">
        <f>2*(IF(Rules!$B$9=Rules!$E$9,SUM(HSD!E6:E12)+Rules!$B$5*HSD!E13+HSD!E37+E44,SUM(HS!E6:E12)+Rules!$B$5*HS!E13+HS!E37+E44)/(9+Rules!$B$5))</f>
        <v>-7.4221522528290146E-2</v>
      </c>
      <c r="F31" s="1">
        <f>2*(IF(Rules!$B$9=Rules!$E$9,SUM(HSD!F6:F12)+Rules!$B$5*HSD!F13+HSD!F37+F44,SUM(HS!F6:F12)+Rules!$B$5*HS!F13+HS!F37+F44)/(9+Rules!$B$5))</f>
        <v>4.0812811096635013E-3</v>
      </c>
      <c r="G31" s="1">
        <f>2*(IF(Rules!$B$9=Rules!$E$9,SUM(HSD!G6:G12)+Rules!$B$5*HSD!G13+HSD!G37+G44,SUM(HS!G6:G12)+Rules!$B$5*HS!G13+HS!G37+G44)/(9+Rules!$B$5))</f>
        <v>5.6654751682589329E-2</v>
      </c>
      <c r="H31" s="1">
        <f>2*(IF(Rules!$B$9=Rules!$E$9,SUM(HSD!H6:H12)+Rules!$B$5*HSD!H13+HSD!H37+H44,SUM(HS!H6:H12)+Rules!$B$5*HS!H13+HS!H37+H44)/(9+Rules!$B$5))</f>
        <v>-0.1141717517263387</v>
      </c>
      <c r="I31" s="1">
        <f>2*(IF(Rules!$B$9=Rules!$E$9,SUM(HSD!I6:I12)+Rules!$B$5*HSD!I13+HSD!I37+I44,SUM(HS!I6:I12)+Rules!$B$5*HS!I13+HS!I37+I44)/(9+Rules!$B$5))</f>
        <v>-0.27323613936151231</v>
      </c>
      <c r="J31" s="1">
        <f>2*(IF(Rules!$B$9=Rules!$E$9,SUM(HSD!J6:J12)+Rules!$B$5*HSD!J13+HSD!J37+J44,SUM(HS!J6:J12)+Rules!$B$5*HS!J13+HS!J37+J44)/(9+Rules!$B$5))</f>
        <v>-0.45531296751483163</v>
      </c>
      <c r="K31" s="9">
        <f>2*(IF(Rules!$B$9=Rules!$E$9,SUM(HSD!K6:K12)+Rules!$B$5*HSD!K13+HSD!K37+K44,SUM(HS!K6:K12)+Rules!$B$5*HS!K13+HS!K37+K44)/(9+Rules!$B$5))</f>
        <v>-0.66676208717816499</v>
      </c>
    </row>
    <row r="32" spans="1:11" x14ac:dyDescent="0.2">
      <c r="A32" s="99">
        <v>4</v>
      </c>
      <c r="B32" s="93">
        <f>2*(IF(Rules!$B$9=Rules!$E$9,SUM(HSD!B7:B13)+Rules!$B$5*HSD!B14+HSD!B38+B45,SUM(HS!B7:B13)+Rules!$B$5*HS!B14+HS!B38+B45)/(9+Rules!$B$5))</f>
        <v>-0.82478349165876641</v>
      </c>
      <c r="C32" s="1">
        <f>2*(IF(Rules!$B$9=Rules!$E$9,SUM(HSD!C7:C13)+Rules!$B$5*HSD!C14+HSD!C38+C45,SUM(HS!C7:C13)+Rules!$B$5*HS!C14+HS!C38+C45)/(9+Rules!$B$5))</f>
        <v>-0.24352935335750775</v>
      </c>
      <c r="D32" s="1">
        <f>2*(IF(Rules!$B$9=Rules!$E$9,SUM(HSD!D7:D13)+Rules!$B$5*HSD!D14+HSD!D38+D45,SUM(HS!D7:D13)+Rules!$B$5*HS!D14+HS!D38+D45)/(9+Rules!$B$5))</f>
        <v>-0.17413979022885492</v>
      </c>
      <c r="E32" s="1">
        <f>2*(IF(Rules!$B$9=Rules!$E$9,SUM(HSD!E7:E13)+Rules!$B$5*HSD!E14+HSD!E38+E45,SUM(HS!E7:E13)+Rules!$B$5*HS!E14+HS!E38+E45)/(9+Rules!$B$5))</f>
        <v>-0.1027067937965179</v>
      </c>
      <c r="F32" s="1">
        <f>2*(IF(Rules!$B$9=Rules!$E$9,SUM(HSD!F7:F13)+Rules!$B$5*HSD!F14+HSD!F38+F45,SUM(HS!F7:F13)+Rules!$B$5*HS!F14+HS!F38+F45)/(9+Rules!$B$5))</f>
        <v>-2.319737299519899E-2</v>
      </c>
      <c r="G32" s="1">
        <f>2*(IF(Rules!$B$9=Rules!$E$9,SUM(HSD!G7:G13)+Rules!$B$5*HSD!G14+HSD!G38+G45,SUM(HS!G7:G13)+Rules!$B$5*HS!G14+HS!G38+G45)/(9+Rules!$B$5))</f>
        <v>2.7686476114549427E-2</v>
      </c>
      <c r="H32" s="1">
        <f>2*(IF(Rules!$B$9=Rules!$E$9,SUM(HSD!H7:H13)+Rules!$B$5*HSD!H14+HSD!H38+H45,SUM(HS!H7:H13)+Rules!$B$5*HS!H14+HS!H38+H45)/(9+Rules!$B$5))</f>
        <v>-0.1803469705600394</v>
      </c>
      <c r="I32" s="1">
        <f>2*(IF(Rules!$B$9=Rules!$E$9,SUM(HSD!I7:I13)+Rules!$B$5*HSD!I14+HSD!I38+I45,SUM(HS!I7:I13)+Rules!$B$5*HS!I14+HS!I38+I45)/(9+Rules!$B$5))</f>
        <v>-0.33427237055112191</v>
      </c>
      <c r="J32" s="1">
        <f>2*(IF(Rules!$B$9=Rules!$E$9,SUM(HSD!J7:J13)+Rules!$B$5*HSD!J14+HSD!J38+J45,SUM(HS!J7:J13)+Rules!$B$5*HS!J14+HS!J38+J45)/(9+Rules!$B$5))</f>
        <v>-0.5103618441696548</v>
      </c>
      <c r="K32" s="9">
        <f>2*(IF(Rules!$B$9=Rules!$E$9,SUM(HSD!K7:K13)+Rules!$B$5*HSD!K14+HSD!K38+K45,SUM(HS!K7:K13)+Rules!$B$5*HS!K14+HS!K38+K45)/(9+Rules!$B$5))</f>
        <v>-0.71476773894765677</v>
      </c>
    </row>
    <row r="33" spans="1:11" x14ac:dyDescent="0.2">
      <c r="A33" s="99">
        <v>5</v>
      </c>
      <c r="B33" s="93">
        <f>2*(IF(Rules!$B$9=Rules!$E$9,SUM(HSD!B8:B14)+Rules!$B$5*HSD!B15+HSD!B39+B46,SUM(HS!B8:B14)+Rules!$B$5*HS!B15+HS!B39+B46)/(9+Rules!$B$5))</f>
        <v>-0.87617294583778405</v>
      </c>
      <c r="C33" s="1">
        <f>2*(IF(Rules!$B$9=Rules!$E$9,SUM(HSD!C8:C14)+Rules!$B$5*HSD!C15+HSD!C39+C46,SUM(HS!C8:C14)+Rules!$B$5*HS!C15+HS!C39+C46)/(9+Rules!$B$5))</f>
        <v>-0.27908462739839934</v>
      </c>
      <c r="D33" s="1">
        <f>2*(IF(Rules!$B$9=Rules!$E$9,SUM(HSD!D8:D14)+Rules!$B$5*HSD!D15+HSD!D39+D46,SUM(HS!D8:D14)+Rules!$B$5*HS!D15+HS!D39+D46)/(9+Rules!$B$5))</f>
        <v>-0.20816468107967456</v>
      </c>
      <c r="E33" s="1">
        <f>2*(IF(Rules!$B$9=Rules!$E$9,SUM(HSD!E8:E14)+Rules!$B$5*HSD!E15+HSD!E39+E46,SUM(HS!E8:E14)+Rules!$B$5*HS!E15+HS!E39+E46)/(9+Rules!$B$5))</f>
        <v>-0.1352569490755495</v>
      </c>
      <c r="F33" s="1">
        <f>2*(IF(Rules!$B$9=Rules!$E$9,SUM(HSD!F8:F14)+Rules!$B$5*HSD!F15+HSD!F39+F46,SUM(HS!F8:F14)+Rules!$B$5*HS!F15+HS!F39+F46)/(9+Rules!$B$5))</f>
        <v>-5.4217414611531289E-2</v>
      </c>
      <c r="G33" s="1">
        <f>2*(IF(Rules!$B$9=Rules!$E$9,SUM(HSD!G8:G14)+Rules!$B$5*HSD!G15+HSD!G39+G46,SUM(HS!G8:G14)+Rules!$B$5*HS!G15+HS!G39+G46)/(9+Rules!$B$5))</f>
        <v>-7.227755373917435E-3</v>
      </c>
      <c r="H33" s="1">
        <f>2*(IF(Rules!$B$9=Rules!$E$9,SUM(HSD!H8:H14)+Rules!$B$5*HSD!H15+HSD!H39+H46,SUM(HS!H8:H14)+Rules!$B$5*HS!H15+HS!H39+H46)/(9+Rules!$B$5))</f>
        <v>-0.26506212748950769</v>
      </c>
      <c r="I33" s="1">
        <f>2*(IF(Rules!$B$9=Rules!$E$9,SUM(HSD!I8:I14)+Rules!$B$5*HSD!I15+HSD!I39+I46,SUM(HS!I8:I14)+Rules!$B$5*HS!I15+HS!I39+I46)/(9+Rules!$B$5))</f>
        <v>-0.40166073689591203</v>
      </c>
      <c r="J33" s="1">
        <f>2*(IF(Rules!$B$9=Rules!$E$9,SUM(HSD!J8:J14)+Rules!$B$5*HSD!J15+HSD!J39+J46,SUM(HS!J8:J14)+Rules!$B$5*HS!J15+HS!J39+J46)/(9+Rules!$B$5))</f>
        <v>-0.57136313228961666</v>
      </c>
      <c r="K33" s="9">
        <f>2*(IF(Rules!$B$9=Rules!$E$9,SUM(HSD!K8:K14)+Rules!$B$5*HSD!K15+HSD!K39+K46,SUM(HS!K8:K14)+Rules!$B$5*HS!K15+HS!K39+K46)/(9+Rules!$B$5))</f>
        <v>-0.7693959829999264</v>
      </c>
    </row>
    <row r="34" spans="1:11" x14ac:dyDescent="0.2">
      <c r="A34" s="99">
        <v>6</v>
      </c>
      <c r="B34" s="93">
        <f>2*(IF(Rules!$B$9=Rules!$E$9,SUM(HSD!B9:B15)+Rules!$B$5*HSD!B16+HSD!B40+B47,SUM(HS!B9:B15)+Rules!$B$5*HS!B16+HS!B40+B47)/(9+Rules!$B$5))</f>
        <v>-0.91768664884222484</v>
      </c>
      <c r="C34" s="1">
        <f>2*(IF(Rules!$B$9=Rules!$E$9,SUM(HSD!C9:C15)+Rules!$B$5*HSD!C16+HSD!C40+C47,SUM(HS!C9:C15)+Rules!$B$5*HS!C16+HS!C40+C47)/(9+Rules!$B$5))</f>
        <v>-0.32147516521407576</v>
      </c>
      <c r="D34" s="1">
        <f>2*(IF(Rules!$B$9=Rules!$E$9,SUM(HSD!D9:D15)+Rules!$B$5*HSD!D16+HSD!D40+D47,SUM(HS!D9:D15)+Rules!$B$5*HS!D16+HS!D40+D47)/(9+Rules!$B$5))</f>
        <v>-0.24882637425535079</v>
      </c>
      <c r="E34" s="1">
        <f>2*(IF(Rules!$B$9=Rules!$E$9,SUM(HSD!E9:E15)+Rules!$B$5*HSD!E16+HSD!E40+E47,SUM(HS!E9:E15)+Rules!$B$5*HS!E16+HS!E40+E47)/(9+Rules!$B$5))</f>
        <v>-0.17423716956507976</v>
      </c>
      <c r="F34" s="1">
        <f>2*(IF(Rules!$B$9=Rules!$E$9,SUM(HSD!F9:F15)+Rules!$B$5*HSD!F16+HSD!F40+F47,SUM(HS!F9:F15)+Rules!$B$5*HS!F16+HS!F40+F47)/(9+Rules!$B$5))</f>
        <v>-9.146834398993331E-2</v>
      </c>
      <c r="G34" s="1">
        <f>2*(IF(Rules!$B$9=Rules!$E$9,SUM(HSD!G9:G15)+Rules!$B$5*HSD!G16+HSD!G40+G47,SUM(HS!G9:G15)+Rules!$B$5*HS!G16+HS!G40+G47)/(9+Rules!$B$5))</f>
        <v>-4.7699643545282742E-2</v>
      </c>
      <c r="H34" s="1">
        <f>2*(IF(Rules!$B$9=Rules!$E$9,SUM(HSD!H9:H15)+Rules!$B$5*HSD!H16+HSD!H40+H47,SUM(HS!H9:H15)+Rules!$B$5*HS!H16+HS!H40+H47)/(9+Rules!$B$5))</f>
        <v>-0.36326123814065148</v>
      </c>
      <c r="I34" s="1">
        <f>2*(IF(Rules!$B$9=Rules!$E$9,SUM(HSD!I9:I15)+Rules!$B$5*HSD!I16+HSD!I40+I47,SUM(HS!I9:I15)+Rules!$B$5*HS!I16+HS!I40+I47)/(9+Rules!$B$5))</f>
        <v>-0.49211229910047921</v>
      </c>
      <c r="J34" s="1">
        <f>2*(IF(Rules!$B$9=Rules!$E$9,SUM(HSD!J9:J15)+Rules!$B$5*HSD!J16+HSD!J40+J47,SUM(HS!J9:J15)+Rules!$B$5*HS!J16+HS!J40+J47)/(9+Rules!$B$5))</f>
        <v>-0.64298833399502642</v>
      </c>
      <c r="K34" s="9">
        <f>2*(IF(Rules!$B$9=Rules!$E$9,SUM(HSD!K9:K15)+Rules!$B$5*HSD!K16+HSD!K40+K47,SUM(HS!K9:K15)+Rules!$B$5*HS!K16+HS!K40+K47)/(9+Rules!$B$5))</f>
        <v>-0.831667315115864</v>
      </c>
    </row>
    <row r="35" spans="1:11" x14ac:dyDescent="0.2">
      <c r="A35" s="99">
        <v>7</v>
      </c>
      <c r="B35" s="93">
        <f>2*(IF(Rules!$B$9=Rules!$E$9,SUM(HSD!B10:B16)+Rules!$B$5*HSD!B17+HSD!B41+B48,SUM(HS!B10:B16)+Rules!$B$5*HS!B17+HS!B41+B48)/(9+Rules!$B$5))</f>
        <v>-0.88365092217148355</v>
      </c>
      <c r="C35" s="1">
        <f>2*(IF(Rules!$B$9=Rules!$E$9,SUM(HSD!C10:C16)+Rules!$B$5*HSD!C17+HSD!C41+C48,SUM(HS!C10:C16)+Rules!$B$5*HS!C17+HS!C41+C48)/(9+Rules!$B$5))</f>
        <v>-0.26341499316547468</v>
      </c>
      <c r="D35" s="1">
        <f>2*(IF(Rules!$B$9=Rules!$E$9,SUM(HSD!D10:D16)+Rules!$B$5*HSD!D17+HSD!D41+D48,SUM(HS!D10:D16)+Rules!$B$5*HS!D17+HS!D41+D48)/(9+Rules!$B$5))</f>
        <v>-0.19230914312397396</v>
      </c>
      <c r="E35" s="1">
        <f>2*(IF(Rules!$B$9=Rules!$E$9,SUM(HSD!E10:E16)+Rules!$B$5*HSD!E17+HSD!E41+E48,SUM(HS!E10:E16)+Rules!$B$5*HS!E17+HS!E41+E48)/(9+Rules!$B$5))</f>
        <v>-0.11912427557859537</v>
      </c>
      <c r="F35" s="1">
        <f>2*(IF(Rules!$B$9=Rules!$E$9,SUM(HSD!F10:F16)+Rules!$B$5*HSD!F17+HSD!F41+F48,SUM(HS!F10:F16)+Rules!$B$5*HS!F17+HS!F41+F48)/(9+Rules!$B$5))</f>
        <v>-4.1092656893943182E-2</v>
      </c>
      <c r="G35" s="1">
        <f>2*(IF(Rules!$B$9=Rules!$E$9,SUM(HSD!G10:G16)+Rules!$B$5*HSD!G17+HSD!G41+G48,SUM(HS!G10:G16)+Rules!$B$5*HS!G17+HS!G41+G48)/(9+Rules!$B$5))</f>
        <v>3.7194045546251421E-2</v>
      </c>
      <c r="H35" s="1">
        <f>2*(IF(Rules!$B$9=Rules!$E$9,SUM(HSD!H10:H16)+Rules!$B$5*HSD!H17+HSD!H41+H48,SUM(HS!H10:H16)+Rules!$B$5*HS!H17+HS!H41+H48)/(9+Rules!$B$5))</f>
        <v>-0.18522843902205677</v>
      </c>
      <c r="I35" s="1">
        <f>2*(IF(Rules!$B$9=Rules!$E$9,SUM(HSD!I10:I16)+Rules!$B$5*HSD!I17+HSD!I41+I48,SUM(HS!I10:I16)+Rules!$B$5*HS!I17+HS!I41+I48)/(9+Rules!$B$5))</f>
        <v>-0.50114580743086734</v>
      </c>
      <c r="J35" s="1">
        <f>2*(IF(Rules!$B$9=Rules!$E$9,SUM(HSD!J10:J16)+Rules!$B$5*HSD!J17+HSD!J41+J48,SUM(HS!J10:J16)+Rules!$B$5*HS!J17+HS!J41+J48)/(9+Rules!$B$5))</f>
        <v>-0.6505082390523842</v>
      </c>
      <c r="K35" s="9">
        <f>2*(IF(Rules!$B$9=Rules!$E$9,SUM(HSD!K10:K16)+Rules!$B$5*HSD!K17+HSD!K41+K48,SUM(HS!K10:K16)+Rules!$B$5*HS!K17+HS!K41+K48)/(9+Rules!$B$5))</f>
        <v>-0.80965181505417472</v>
      </c>
    </row>
    <row r="36" spans="1:11" x14ac:dyDescent="0.2">
      <c r="A36" s="99">
        <v>8</v>
      </c>
      <c r="B36" s="93">
        <f>2*(IF(Rules!$B$9=Rules!$E$9,SUM(HSD!B11:B17)+Rules!$B$5*HSD!B18+HSD!B42+B49,SUM(HS!B11:B17)+Rules!$B$5*HS!B18+HS!B42+B49)/(9+Rules!$B$5))</f>
        <v>-0.73975955788156178</v>
      </c>
      <c r="C36" s="1">
        <f>2*(IF(Rules!$B$9=Rules!$E$9,SUM(HSD!C11:C17)+Rules!$B$5*HSD!C18+HSD!C42+C49,SUM(HS!C11:C17)+Rules!$B$5*HS!C18+HS!C42+C49)/(9+Rules!$B$5))</f>
        <v>-7.8380432944789219E-2</v>
      </c>
      <c r="D36" s="1">
        <f>2*(IF(Rules!$B$9=Rules!$E$9,SUM(HSD!D11:D17)+Rules!$B$5*HSD!D18+HSD!D42+D49,SUM(HS!D11:D17)+Rules!$B$5*HS!D18+HS!D42+D49)/(9+Rules!$B$5))</f>
        <v>-1.3232159669864678E-2</v>
      </c>
      <c r="E36" s="1">
        <f>2*(IF(Rules!$B$9=Rules!$E$9,SUM(HSD!E11:E17)+Rules!$B$5*HSD!E18+HSD!E42+E49,SUM(HS!E11:E17)+Rules!$B$5*HS!E18+HS!E42+E49)/(9+Rules!$B$5))</f>
        <v>5.4045688809377719E-2</v>
      </c>
      <c r="F36" s="1">
        <f>2*(IF(Rules!$B$9=Rules!$E$9,SUM(HSD!F11:F17)+Rules!$B$5*HSD!F18+HSD!F42+F49,SUM(HS!F11:F17)+Rules!$B$5*HS!F18+HS!F42+F49)/(9+Rules!$B$5))</f>
        <v>0.12397092080674978</v>
      </c>
      <c r="G36" s="1">
        <f>2*(IF(Rules!$B$9=Rules!$E$9,SUM(HSD!G11:G17)+Rules!$B$5*HSD!G18+HSD!G42+G49,SUM(HS!G11:G17)+Rules!$B$5*HS!G18+HS!G42+G49)/(9+Rules!$B$5))</f>
        <v>0.22101648725299444</v>
      </c>
      <c r="H36" s="1">
        <f>2*(IF(Rules!$B$9=Rules!$E$9,SUM(HSD!H11:H17)+Rules!$B$5*HSD!H18+HSD!H42+H49,SUM(HS!H11:H17)+Rules!$B$5*HS!H18+HS!H42+H49)/(9+Rules!$B$5))</f>
        <v>0.15018505324923945</v>
      </c>
      <c r="I36" s="1">
        <f>2*(IF(Rules!$B$9=Rules!$E$9,SUM(HSD!I11:I17)+Rules!$B$5*HSD!I18+HSD!I42+I49,SUM(HS!I11:I17)+Rules!$B$5*HS!I18+HS!I42+I49)/(9+Rules!$B$5))</f>
        <v>-0.16868120664797234</v>
      </c>
      <c r="J36" s="1">
        <f>2*(IF(Rules!$B$9=Rules!$E$9,SUM(HSD!J11:J17)+Rules!$B$5*HSD!J18+HSD!J42+J49,SUM(HS!J11:J17)+Rules!$B$5*HS!J18+HS!J42+J49)/(9+Rules!$B$5))</f>
        <v>-0.50297301092962265</v>
      </c>
      <c r="K36" s="9">
        <f>2*(IF(Rules!$B$9=Rules!$E$9,SUM(HSD!K11:K17)+Rules!$B$5*HSD!K18+HSD!K42+K49,SUM(HS!K11:K17)+Rules!$B$5*HS!K18+HS!K42+K49)/(9+Rules!$B$5))</f>
        <v>-0.68948777411093731</v>
      </c>
    </row>
    <row r="37" spans="1:11" x14ac:dyDescent="0.2">
      <c r="A37" s="99">
        <v>9</v>
      </c>
      <c r="B37" s="93">
        <f>2*(IF(Rules!$B$9=Rules!$E$9,SUM(HSD!B12:B18)+Rules!$B$5*HSD!B19+HSD!B43+B50,SUM(HS!B12:B18)+Rules!$B$5*HS!B19+HS!B43+B50)/(9+Rules!$B$5))</f>
        <v>-0.57490532147383744</v>
      </c>
      <c r="C37" s="1">
        <f>2*(IF(Rules!$B$9=Rules!$E$9,SUM(HSD!C12:C18)+Rules!$B$5*HSD!C19+HSD!C43+C50,SUM(HS!C12:C18)+Rules!$B$5*HS!C19+HS!C43+C50)/(9+Rules!$B$5))</f>
        <v>0.1351292021826889</v>
      </c>
      <c r="D37" s="1">
        <f>2*(IF(Rules!$B$9=Rules!$E$9,SUM(HSD!D12:D18)+Rules!$B$5*HSD!D19+HSD!D43+D50,SUM(HS!D12:D18)+Rules!$B$5*HS!D19+HS!D43+D50)/(9+Rules!$B$5))</f>
        <v>0.19363773212247265</v>
      </c>
      <c r="E37" s="1">
        <f>2*(IF(Rules!$B$9=Rules!$E$9,SUM(HSD!E12:E18)+Rules!$B$5*HSD!E19+HSD!E43+E50,SUM(HS!E12:E18)+Rules!$B$5*HS!E19+HS!E43+E50)/(9+Rules!$B$5))</f>
        <v>0.25410660657340595</v>
      </c>
      <c r="F37" s="1">
        <f>2*(IF(Rules!$B$9=Rules!$E$9,SUM(HSD!F12:F18)+Rules!$B$5*HSD!F19+HSD!F43+F50,SUM(HS!F12:F18)+Rules!$B$5*HS!F19+HS!F43+F50)/(9+Rules!$B$5))</f>
        <v>0.3174043592374225</v>
      </c>
      <c r="G37" s="1">
        <f>2*(IF(Rules!$B$9=Rules!$E$9,SUM(HSD!G12:G18)+Rules!$B$5*HSD!G19+HSD!G43+G50,SUM(HS!G12:G18)+Rules!$B$5*HS!G19+HS!G43+G50)/(9+Rules!$B$5))</f>
        <v>0.40101423713929185</v>
      </c>
      <c r="H37" s="1">
        <f>2*(IF(Rules!$B$9=Rules!$E$9,SUM(HSD!H12:H18)+Rules!$B$5*HSD!H19+HSD!H43+H50,SUM(HS!H12:H18)+Rules!$B$5*HS!H19+HS!H43+H50)/(9+Rules!$B$5))</f>
        <v>0.35167244737342723</v>
      </c>
      <c r="I37" s="1">
        <f>2*(IF(Rules!$B$9=Rules!$E$9,SUM(HSD!I12:I18)+Rules!$B$5*HSD!I19+HSD!I43+I50,SUM(HS!I12:I18)+Rules!$B$5*HS!I19+HS!I43+I50)/(9+Rules!$B$5))</f>
        <v>0.19164017172413794</v>
      </c>
      <c r="J37" s="1">
        <f>2*(IF(Rules!$B$9=Rules!$E$9,SUM(HSD!J12:J18)+Rules!$B$5*HSD!J19+HSD!J43+J50,SUM(HS!J12:J18)+Rules!$B$5*HS!J19+HS!J43+J50)/(9+Rules!$B$5))</f>
        <v>-0.1447581415992156</v>
      </c>
      <c r="K37" s="9">
        <f>2*(IF(Rules!$B$9=Rules!$E$9,SUM(HSD!K12:K18)+Rules!$B$5*HSD!K19+HSD!K43+K50,SUM(HS!K12:K18)+Rules!$B$5*HS!K19+HS!K43+K50)/(9+Rules!$B$5))</f>
        <v>-0.50171786932644047</v>
      </c>
    </row>
    <row r="38" spans="1:11" ht="17" thickBot="1" x14ac:dyDescent="0.25">
      <c r="A38" s="100">
        <v>10</v>
      </c>
      <c r="B38" s="94">
        <f>2*(IF(Rules!$B$9=Rules!$E$9,SUM(HSD!B13:B19)+Rules!$B$5*HSD!B20+HSD!B44+B51,SUM(HS!B13:B19)+Rules!$B$5*HS!B20+HS!B44+B51)/(9+Rules!$B$5))</f>
        <v>-0.26682427779669848</v>
      </c>
      <c r="C38" s="111">
        <f>2*(IF(Rules!$B$9=Rules!$E$9,SUM(HSD!C13:C19)+Rules!$B$5*HSD!C20+HSD!C44+C51,SUM(HS!C13:C19)+Rules!$B$5*HS!C20+HS!C44+C51)/(9+Rules!$B$5))</f>
        <v>0.46013690709266325</v>
      </c>
      <c r="D38" s="111">
        <f>2*(IF(Rules!$B$9=Rules!$E$9,SUM(HSD!D13:D19)+Rules!$B$5*HSD!D20+HSD!D44+D51,SUM(HS!D13:D19)+Rules!$B$5*HS!D20+HS!D44+D51)/(9+Rules!$B$5))</f>
        <v>0.51154008261649231</v>
      </c>
      <c r="E38" s="111">
        <f>2*(IF(Rules!$B$9=Rules!$E$9,SUM(HSD!E13:E19)+Rules!$B$5*HSD!E20+HSD!E44+E51,SUM(HS!E13:E19)+Rules!$B$5*HS!E20+HS!E44+E51)/(9+Rules!$B$5))</f>
        <v>0.56432537499270297</v>
      </c>
      <c r="F38" s="111">
        <f>2*(IF(Rules!$B$9=Rules!$E$9,SUM(HSD!F13:F19)+Rules!$B$5*HSD!F20+HSD!F44+F51,SUM(HS!F13:F19)+Rules!$B$5*HS!F20+HS!F44+F51)/(9+Rules!$B$5))</f>
        <v>0.61708784282461282</v>
      </c>
      <c r="G38" s="111">
        <f>2*(IF(Rules!$B$9=Rules!$E$9,SUM(HSD!G13:G19)+Rules!$B$5*HSD!G20+HSD!G44+G51,SUM(HS!G13:G19)+Rules!$B$5*HS!G20+HS!G44+G51)/(9+Rules!$B$5))</f>
        <v>0.68778850466357977</v>
      </c>
      <c r="H38" s="111">
        <f>2*(IF(Rules!$B$9=Rules!$E$9,SUM(HSD!H13:H19)+Rules!$B$5*HSD!H20+HSD!H44+H51,SUM(HS!H13:H19)+Rules!$B$5*HS!H20+HS!H44+H51)/(9+Rules!$B$5))</f>
        <v>0.62561213531670967</v>
      </c>
      <c r="I38" s="111">
        <f>2*(IF(Rules!$B$9=Rules!$E$9,SUM(HSD!I13:I19)+Rules!$B$5*HSD!I20+HSD!I44+I51,SUM(HS!I13:I19)+Rules!$B$5*HS!I20+HS!I44+I51)/(9+Rules!$B$5))</f>
        <v>0.49859698923137341</v>
      </c>
      <c r="J38" s="111">
        <f>2*(IF(Rules!$B$9=Rules!$E$9,SUM(HSD!J13:J19)+Rules!$B$5*HSD!J20+HSD!J44+J51,SUM(HS!J13:J19)+Rules!$B$5*HS!J20+HS!J44+J51)/(9+Rules!$B$5))</f>
        <v>0.32122417640741446</v>
      </c>
      <c r="K38" s="10">
        <f>2*(IF(Rules!$B$9=Rules!$E$9,SUM(HSD!K13:K19)+Rules!$B$5*HSD!K20+HSD!K44+K51,SUM(HS!K13:K19)+Rules!$B$5*HS!K20+HS!K44+K51)/(9+Rules!$B$5))</f>
        <v>-3.9101187193219533E-2</v>
      </c>
    </row>
    <row r="39" spans="1:11" ht="17" thickBot="1" x14ac:dyDescent="0.25"/>
    <row r="40" spans="1:11" ht="17" thickBot="1" x14ac:dyDescent="0.25">
      <c r="A40" s="329" t="s">
        <v>78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1"/>
    </row>
    <row r="41" spans="1:11" ht="17" thickBot="1" x14ac:dyDescent="0.25">
      <c r="A41" s="106" t="s">
        <v>7</v>
      </c>
      <c r="B41" s="119">
        <v>1</v>
      </c>
      <c r="C41" s="120">
        <v>2</v>
      </c>
      <c r="D41" s="120">
        <v>3</v>
      </c>
      <c r="E41" s="120">
        <v>4</v>
      </c>
      <c r="F41" s="120">
        <v>5</v>
      </c>
      <c r="G41" s="120">
        <v>6</v>
      </c>
      <c r="H41" s="120">
        <v>7</v>
      </c>
      <c r="I41" s="120">
        <v>8</v>
      </c>
      <c r="J41" s="120">
        <v>9</v>
      </c>
      <c r="K41" s="102">
        <v>10</v>
      </c>
    </row>
    <row r="42" spans="1:11" x14ac:dyDescent="0.2">
      <c r="A42" s="101">
        <v>1</v>
      </c>
      <c r="B42" s="109">
        <f>2*(IF(Rules!$B$12=Rules!$F$12,SUM(Stand!B35:B43)+Rules!$B$5*Stand!B44,SUM(HSD!B35:B43)+Rules!$B$5*HSD!B44)/(9+Rules!$B$5))</f>
        <v>-0.11815715102876453</v>
      </c>
      <c r="C42" s="110">
        <f>2*(IF(Rules!$B$12=Rules!$F$12,SUM(Stand!C35:C43)+Rules!$B$5*Stand!C44,SUM(HSD!C35:C43)+Rules!$B$5*HSD!C44)/(9+Rules!$B$5))</f>
        <v>0.47064092333946894</v>
      </c>
      <c r="D42" s="110">
        <f>2*(IF(Rules!$B$12=Rules!$F$12,SUM(Stand!D35:D43)+Rules!$B$5*Stand!D44,SUM(HSD!D35:D43)+Rules!$B$5*HSD!D44)/(9+Rules!$B$5))</f>
        <v>0.51779525312221664</v>
      </c>
      <c r="E42" s="110">
        <f>2*(IF(Rules!$B$12=Rules!$F$12,SUM(Stand!E35:E43)+Rules!$B$5*Stand!E44,SUM(HSD!E35:E43)+Rules!$B$5*HSD!E44)/(9+Rules!$B$5))</f>
        <v>0.56604055041797596</v>
      </c>
      <c r="F42" s="110">
        <f>2*(IF(Rules!$B$12=Rules!$F$12,SUM(Stand!F35:F43)+Rules!$B$5*Stand!F44,SUM(HSD!F35:F43)+Rules!$B$5*HSD!F44)/(9+Rules!$B$5))</f>
        <v>0.61469901790902803</v>
      </c>
      <c r="G42" s="110">
        <f>2*(IF(Rules!$B$12=Rules!$F$12,SUM(Stand!G35:G43)+Rules!$B$5*Stand!G44,SUM(HSD!G35:G43)+Rules!$B$5*HSD!G44)/(9+Rules!$B$5))</f>
        <v>0.66738009490756944</v>
      </c>
      <c r="H42" s="110">
        <f>2*(IF(Rules!$B$12=Rules!$F$12,SUM(Stand!H35:H43)+Rules!$B$5*Stand!H44,SUM(HSD!H35:H43)+Rules!$B$5*HSD!H44)/(9+Rules!$B$5))</f>
        <v>0.46288894886429088</v>
      </c>
      <c r="I42" s="110">
        <f>2*(IF(Rules!$B$12=Rules!$F$12,SUM(Stand!I35:I43)+Rules!$B$5*Stand!I44,SUM(HSD!I35:I43)+Rules!$B$5*HSD!I44)/(9+Rules!$B$5))</f>
        <v>0.35069259087031512</v>
      </c>
      <c r="J42" s="110">
        <f>2*(IF(Rules!$B$12=Rules!$F$12,SUM(Stand!J35:J43)+Rules!$B$5*Stand!J44,SUM(HSD!J35:J43)+Rules!$B$5*HSD!J44)/(9+Rules!$B$5))</f>
        <v>0.22778342315245487</v>
      </c>
      <c r="K42" s="57">
        <f>2*(IF(Rules!$B$12=Rules!$F$12,SUM(Stand!K35:K43)+Rules!$B$5*Stand!K44,SUM(HSD!K35:K43)+Rules!$B$5*HSD!K44)/(9+Rules!$B$5))</f>
        <v>5.9357641870643733E-2</v>
      </c>
    </row>
    <row r="43" spans="1:11" x14ac:dyDescent="0.2">
      <c r="A43" s="99">
        <v>2</v>
      </c>
      <c r="B43" s="93">
        <f>2*(IF(Rules!$B$9=Rules!$E$9,SUM(HSD!B4:B11)+Rules!$B$5*HSD!B12+HSD!B36,SUM(HS!B4:B11)+Rules!$B$5*HS!B12+HS!B36)/(9+Rules!$B$5))</f>
        <v>-0.68913674385068324</v>
      </c>
      <c r="C43" s="1">
        <f>2*(IF(Rules!$B$9=Rules!$E$9,SUM(HSD!C4:C11)+Rules!$B$5*HSD!C12+HSD!C36,SUM(HS!C4:C11)+Rules!$B$5*HS!C12+HS!C36)/(9+Rules!$B$5))</f>
        <v>-0.1517687166378982</v>
      </c>
      <c r="D43" s="1">
        <f>2*(IF(Rules!$B$9=Rules!$E$9,SUM(HSD!D4:D11)+Rules!$B$5*HSD!D12+HSD!D36,SUM(HS!D4:D11)+Rules!$B$5*HS!D12+HS!D36)/(9+Rules!$B$5))</f>
        <v>-9.9501412292824082E-2</v>
      </c>
      <c r="E43" s="1">
        <f>2*(IF(Rules!$B$9=Rules!$E$9,SUM(HSD!E4:E11)+Rules!$B$5*HSD!E12+HSD!E36,SUM(HS!E4:E11)+Rules!$B$5*HS!E12+HS!E36)/(9+Rules!$B$5))</f>
        <v>-4.4200824271668777E-2</v>
      </c>
      <c r="F43" s="1">
        <f>2*(IF(Rules!$B$9=Rules!$E$9,SUM(HSD!F4:F11)+Rules!$B$5*HSD!F12+HSD!F36,SUM(HS!F4:F11)+Rules!$B$5*HS!F12+HS!F36)/(9+Rules!$B$5))</f>
        <v>2.7460064569567143E-2</v>
      </c>
      <c r="G43" s="1">
        <f>2*(IF(Rules!$B$9=Rules!$E$9,SUM(HSD!G4:G11)+Rules!$B$5*HSD!G12+HSD!G36,SUM(HS!G4:G11)+Rules!$B$5*HS!G12+HS!G36)/(9+Rules!$B$5))</f>
        <v>7.7766823892602463E-2</v>
      </c>
      <c r="H43" s="1">
        <f>2*(IF(Rules!$B$9=Rules!$E$9,SUM(HSD!H4:H11)+Rules!$B$5*HSD!H12+HSD!H36,SUM(HS!H4:H11)+Rules!$B$5*HS!H12+HS!H36)/(9+Rules!$B$5))</f>
        <v>-5.4514042751724494E-2</v>
      </c>
      <c r="I43" s="1">
        <f>2*(IF(Rules!$B$9=Rules!$E$9,SUM(HSD!I4:I11)+Rules!$B$5*HSD!I12+HSD!I36,SUM(HS!I4:I11)+Rules!$B$5*HS!I12+HS!I36)/(9+Rules!$B$5))</f>
        <v>-0.20632345555025447</v>
      </c>
      <c r="J43" s="1">
        <f>2*(IF(Rules!$B$9=Rules!$E$9,SUM(HSD!J4:J11)+Rules!$B$5*HSD!J12+HSD!J36,SUM(HS!J4:J11)+Rules!$B$5*HS!J12+HS!J36)/(9+Rules!$B$5))</f>
        <v>-0.38009428610701684</v>
      </c>
      <c r="K43" s="9">
        <f>2*(IF(Rules!$B$9=Rules!$E$9,SUM(HSD!K4:K11)+Rules!$B$5*HSD!K12+HSD!K36,SUM(HS!K4:K11)+Rules!$B$5*HS!K12+HS!K36)/(9+Rules!$B$5))</f>
        <v>-0.58192745547954849</v>
      </c>
    </row>
    <row r="44" spans="1:11" x14ac:dyDescent="0.2">
      <c r="A44" s="99">
        <v>3</v>
      </c>
      <c r="B44" s="93">
        <f>2*(IF(Rules!$B$9=Rules!$E$9,SUM(HSD!B5:B12)+Rules!$B$5*HSD!B13+HSD!B37,SUM(HS!B5:B12)+Rules!$B$5*HS!B13+HS!B37)/(9+Rules!$B$5))</f>
        <v>-0.72948928198951057</v>
      </c>
      <c r="C44" s="1">
        <f>2*(IF(Rules!$B$9=Rules!$E$9,SUM(HSD!C5:C12)+Rules!$B$5*HSD!C13+HSD!C37,SUM(HS!C5:C12)+Rules!$B$5*HS!C13+HS!C37)/(9+Rules!$B$5))</f>
        <v>-0.20104500879570492</v>
      </c>
      <c r="D44" s="1">
        <f>2*(IF(Rules!$B$9=Rules!$E$9,SUM(HSD!D5:D12)+Rules!$B$5*HSD!D13+HSD!D37,SUM(HS!D5:D12)+Rules!$B$5*HS!D13+HS!D37)/(9+Rules!$B$5))</f>
        <v>-0.13775171655779503</v>
      </c>
      <c r="E44" s="1">
        <f>2*(IF(Rules!$B$9=Rules!$E$9,SUM(HSD!E5:E12)+Rules!$B$5*HSD!E13+HSD!E37,SUM(HS!E5:E12)+Rules!$B$5*HS!E13+HS!E37)/(9+Rules!$B$5))</f>
        <v>-7.2522581417810678E-2</v>
      </c>
      <c r="F44" s="1">
        <f>2*(IF(Rules!$B$9=Rules!$E$9,SUM(HSD!F5:F12)+Rules!$B$5*HSD!F13+HSD!F37,SUM(HS!F5:F12)+Rules!$B$5*HS!F13+HS!F37)/(9+Rules!$B$5))</f>
        <v>3.3991424279375615E-4</v>
      </c>
      <c r="G44" s="1">
        <f>2*(IF(Rules!$B$9=Rules!$E$9,SUM(HSD!G5:G12)+Rules!$B$5*HSD!G13+HSD!G37,SUM(HS!G5:G12)+Rules!$B$5*HS!G13+HS!G37)/(9+Rules!$B$5))</f>
        <v>4.8942606413118719E-2</v>
      </c>
      <c r="H44" s="1">
        <f>2*(IF(Rules!$B$9=Rules!$E$9,SUM(HSD!H5:H12)+Rules!$B$5*HSD!H13+HSD!H37,SUM(HS!H5:H12)+Rules!$B$5*HS!H13+HS!H37)/(9+Rules!$B$5))</f>
        <v>-0.11487517708071333</v>
      </c>
      <c r="I44" s="1">
        <f>2*(IF(Rules!$B$9=Rules!$E$9,SUM(HSD!I5:I12)+Rules!$B$5*HSD!I13+HSD!I37,SUM(HS!I5:I12)+Rules!$B$5*HS!I13+HS!I37)/(9+Rules!$B$5))</f>
        <v>-0.26188376130040197</v>
      </c>
      <c r="J44" s="1">
        <f>2*(IF(Rules!$B$9=Rules!$E$9,SUM(HSD!J5:J12)+Rules!$B$5*HSD!J13+HSD!J37,SUM(HS!J5:J12)+Rules!$B$5*HS!J13+HS!J37)/(9+Rules!$B$5))</f>
        <v>-0.43015324562724866</v>
      </c>
      <c r="K44" s="9">
        <f>2*(IF(Rules!$B$9=Rules!$E$9,SUM(HSD!K5:K12)+Rules!$B$5*HSD!K13+HSD!K37,SUM(HS!K5:K12)+Rules!$B$5*HS!K13+HS!K37)/(9+Rules!$B$5))</f>
        <v>-0.62555960256519616</v>
      </c>
    </row>
    <row r="45" spans="1:11" x14ac:dyDescent="0.2">
      <c r="A45" s="99">
        <v>4</v>
      </c>
      <c r="B45" s="93">
        <f>2*(IF(Rules!$B$9=Rules!$E$9,SUM(HSD!B6:B13)+Rules!$B$5*HSD!B14+HSD!B38,SUM(HS!B6:B13)+Rules!$B$5*HS!B14+HS!B38)/(9+Rules!$B$5))</f>
        <v>-0.7707706132337323</v>
      </c>
      <c r="C45" s="1">
        <f>2*(IF(Rules!$B$9=Rules!$E$9,SUM(HSD!C6:C13)+Rules!$B$5*HSD!C14+HSD!C38,SUM(HS!C6:C13)+Rules!$B$5*HS!C14+HS!C38)/(9+Rules!$B$5))</f>
        <v>-0.22982665523784268</v>
      </c>
      <c r="D45" s="1">
        <f>2*(IF(Rules!$B$9=Rules!$E$9,SUM(HSD!D6:D13)+Rules!$B$5*HSD!D14+HSD!D38,SUM(HS!D6:D13)+Rules!$B$5*HS!D14+HS!D38)/(9+Rules!$B$5))</f>
        <v>-0.1652266285994887</v>
      </c>
      <c r="E45" s="1">
        <f>2*(IF(Rules!$B$9=Rules!$E$9,SUM(HSD!E6:E13)+Rules!$B$5*HSD!E14+HSD!E38,SUM(HS!E6:E13)+Rules!$B$5*HS!E14+HS!E38)/(9+Rules!$B$5))</f>
        <v>-9.8734840213833844E-2</v>
      </c>
      <c r="F45" s="1">
        <f>2*(IF(Rules!$B$9=Rules!$E$9,SUM(HSD!F6:F13)+Rules!$B$5*HSD!F14+HSD!F38,SUM(HS!F6:F13)+Rules!$B$5*HS!F14+HS!F38)/(9+Rules!$B$5))</f>
        <v>-2.4759853039852769E-2</v>
      </c>
      <c r="G45" s="1">
        <f>2*(IF(Rules!$B$9=Rules!$E$9,SUM(HSD!G6:G13)+Rules!$B$5*HSD!G14+HSD!G38,SUM(HS!G6:G13)+Rules!$B$5*HS!G14+HS!G38)/(9+Rules!$B$5))</f>
        <v>2.2260834561959594E-2</v>
      </c>
      <c r="H45" s="1">
        <f>2*(IF(Rules!$B$9=Rules!$E$9,SUM(HSD!H6:H13)+Rules!$B$5*HSD!H14+HSD!H38,SUM(HS!H6:H13)+Rules!$B$5*HS!H14+HS!H38)/(9+Rules!$B$5))</f>
        <v>-0.17655840211692744</v>
      </c>
      <c r="I45" s="1">
        <f>2*(IF(Rules!$B$9=Rules!$E$9,SUM(HSD!I6:I13)+Rules!$B$5*HSD!I14+HSD!I38,SUM(HS!I6:I13)+Rules!$B$5*HS!I14+HS!I38)/(9+Rules!$B$5))</f>
        <v>-0.31866830532041024</v>
      </c>
      <c r="J45" s="1">
        <f>2*(IF(Rules!$B$9=Rules!$E$9,SUM(HSD!J6:J13)+Rules!$B$5*HSD!J14+HSD!J38,SUM(HS!J6:J13)+Rules!$B$5*HS!J14+HS!J38)/(9+Rules!$B$5))</f>
        <v>-0.48133235830673093</v>
      </c>
      <c r="K45" s="9">
        <f>2*(IF(Rules!$B$9=Rules!$E$9,SUM(HSD!K6:K13)+Rules!$B$5*HSD!K14+HSD!K38,SUM(HS!K6:K13)+Rules!$B$5*HS!K14+HS!K38)/(9+Rules!$B$5))</f>
        <v>-0.67019972872702194</v>
      </c>
    </row>
    <row r="46" spans="1:11" x14ac:dyDescent="0.2">
      <c r="A46" s="99">
        <v>5</v>
      </c>
      <c r="B46" s="93">
        <f>2*(IF(Rules!$B$9=Rules!$E$9,SUM(HSD!B7:B14)+Rules!$B$5*HSD!B15+HSD!B39,SUM(HS!B7:B14)+Rules!$B$5*HS!B15+HS!B39)/(9+Rules!$B$5))</f>
        <v>-0.81264460422283824</v>
      </c>
      <c r="C46" s="1">
        <f>2*(IF(Rules!$B$9=Rules!$E$9,SUM(HSD!C7:C14)+Rules!$B$5*HSD!C15+HSD!C39,SUM(HS!C7:C14)+Rules!$B$5*HS!C15+HS!C39)/(9+Rules!$B$5))</f>
        <v>-0.25643113412749491</v>
      </c>
      <c r="D46" s="1">
        <f>2*(IF(Rules!$B$9=Rules!$E$9,SUM(HSD!D7:D14)+Rules!$B$5*HSD!D15+HSD!D39,SUM(HS!D7:D14)+Rules!$B$5*HS!D15+HS!D39)/(9+Rules!$B$5))</f>
        <v>-0.19062045452297977</v>
      </c>
      <c r="E46" s="1">
        <f>2*(IF(Rules!$B$9=Rules!$E$9,SUM(HSD!E7:E14)+Rules!$B$5*HSD!E15+HSD!E39,SUM(HS!E7:E14)+Rules!$B$5*HS!E15+HS!E39)/(9+Rules!$B$5))</f>
        <v>-0.12295892839938848</v>
      </c>
      <c r="F46" s="1">
        <f>2*(IF(Rules!$B$9=Rules!$E$9,SUM(HSD!F7:F14)+Rules!$B$5*HSD!F15+HSD!F39,SUM(HS!F7:F14)+Rules!$B$5*HS!F15+HS!F39)/(9+Rules!$B$5))</f>
        <v>-4.795794078371924E-2</v>
      </c>
      <c r="G46" s="1">
        <f>2*(IF(Rules!$B$9=Rules!$E$9,SUM(HSD!G7:G14)+Rules!$B$5*HSD!G15+HSD!G39,SUM(HS!G7:G14)+Rules!$B$5*HS!G15+HS!G39)/(9+Rules!$B$5))</f>
        <v>-2.3726756768803247E-3</v>
      </c>
      <c r="H46" s="1">
        <f>2*(IF(Rules!$B$9=Rules!$E$9,SUM(HSD!H7:H14)+Rules!$B$5*HSD!H15+HSD!H39,SUM(HS!H7:H14)+Rules!$B$5*HS!H15+HS!H39)/(9+Rules!$B$5))</f>
        <v>-0.23889488376829704</v>
      </c>
      <c r="I46" s="1">
        <f>2*(IF(Rules!$B$9=Rules!$E$9,SUM(HSD!I7:I14)+Rules!$B$5*HSD!I15+HSD!I39,SUM(HS!I7:I14)+Rules!$B$5*HS!I15+HS!I39)/(9+Rules!$B$5))</f>
        <v>-0.37618660780637037</v>
      </c>
      <c r="J46" s="1">
        <f>2*(IF(Rules!$B$9=Rules!$E$9,SUM(HSD!J7:J14)+Rules!$B$5*HSD!J15+HSD!J39,SUM(HS!J7:J14)+Rules!$B$5*HS!J15+HS!J39)/(9+Rules!$B$5))</f>
        <v>-0.53323010671591797</v>
      </c>
      <c r="K46" s="9">
        <f>2*(IF(Rules!$B$9=Rules!$E$9,SUM(HSD!K7:K14)+Rules!$B$5*HSD!K15+HSD!K39,SUM(HS!K7:K14)+Rules!$B$5*HS!K15+HS!K39)/(9+Rules!$B$5))</f>
        <v>-0.71548690516179581</v>
      </c>
    </row>
    <row r="47" spans="1:11" x14ac:dyDescent="0.2">
      <c r="A47" s="99">
        <v>6</v>
      </c>
      <c r="B47" s="93">
        <f>2*(IF(Rules!$B$9=Rules!$E$9,SUM(HSD!B8:B15)+Rules!$B$5*HSD!B16+HSD!B40,SUM(HS!B8:B15)+Rules!$B$5*HS!B16+HS!B40)/(9+Rules!$B$5))</f>
        <v>-0.83937380694202157</v>
      </c>
      <c r="C47" s="1">
        <f>2*(IF(Rules!$B$9=Rules!$E$9,SUM(HSD!C8:C15)+Rules!$B$5*HSD!C16+HSD!C40,SUM(HS!C8:C15)+Rules!$B$5*HS!C16+HS!C40)/(9+Rules!$B$5))</f>
        <v>-0.28151823492003974</v>
      </c>
      <c r="D47" s="1">
        <f>2*(IF(Rules!$B$9=Rules!$E$9,SUM(HSD!D8:D15)+Rules!$B$5*HSD!D16+HSD!D40,SUM(HS!D8:D15)+Rules!$B$5*HS!D16+HS!D40)/(9+Rules!$B$5))</f>
        <v>-0.2145821560172167</v>
      </c>
      <c r="E47" s="1">
        <f>2*(IF(Rules!$B$9=Rules!$E$9,SUM(HSD!E8:E15)+Rules!$B$5*HSD!E16+HSD!E40,SUM(HS!E8:E15)+Rules!$B$5*HS!E16+HS!E40)/(9+Rules!$B$5))</f>
        <v>-0.14583428385277461</v>
      </c>
      <c r="F47" s="1">
        <f>2*(IF(Rules!$B$9=Rules!$E$9,SUM(HSD!F8:F15)+Rules!$B$5*HSD!F16+HSD!F40,SUM(HS!F8:F15)+Rules!$B$5*HS!F16+HS!F40)/(9+Rules!$B$5))</f>
        <v>-6.9831946660204355E-2</v>
      </c>
      <c r="G47" s="1">
        <f>2*(IF(Rules!$B$9=Rules!$E$9,SUM(HSD!G8:G15)+Rules!$B$5*HSD!G16+HSD!G40,SUM(HS!G8:G15)+Rules!$B$5*HS!G16+HS!G40)/(9+Rules!$B$5))</f>
        <v>-2.6011671059748588E-2</v>
      </c>
      <c r="H47" s="1">
        <f>2*(IF(Rules!$B$9=Rules!$E$9,SUM(HSD!H8:H15)+Rules!$B$5*HSD!H16+HSD!H40,SUM(HS!H8:H15)+Rules!$B$5*HS!H16+HS!H40)/(9+Rules!$B$5))</f>
        <v>-0.30386541447339888</v>
      </c>
      <c r="I47" s="1">
        <f>2*(IF(Rules!$B$9=Rules!$E$9,SUM(HSD!I8:I15)+Rules!$B$5*HSD!I16+HSD!I40,SUM(HS!I8:I15)+Rules!$B$5*HS!I16+HS!I40)/(9+Rules!$B$5))</f>
        <v>-0.43448376264156952</v>
      </c>
      <c r="J47" s="1">
        <f>2*(IF(Rules!$B$9=Rules!$E$9,SUM(HSD!J8:J15)+Rules!$B$5*HSD!J16+HSD!J40,SUM(HS!J8:J15)+Rules!$B$5*HS!J16+HS!J40)/(9+Rules!$B$5))</f>
        <v>-0.58528140039545196</v>
      </c>
      <c r="K47" s="9">
        <f>2*(IF(Rules!$B$9=Rules!$E$9,SUM(HSD!K8:K15)+Rules!$B$5*HSD!K16+HSD!K40,SUM(HS!K8:K15)+Rules!$B$5*HS!K16+HS!K40)/(9+Rules!$B$5))</f>
        <v>-0.76101532458579058</v>
      </c>
    </row>
    <row r="48" spans="1:11" x14ac:dyDescent="0.2">
      <c r="A48" s="99">
        <v>7</v>
      </c>
      <c r="B48" s="93">
        <f>2*(IF(Rules!$B$9=Rules!$E$9,SUM(HSD!B9:B16)+Rules!$B$5*HSD!B17+HSD!B41,SUM(HS!B9:B16)+Rules!$B$5*HS!B17+HS!B41)/(9+Rules!$B$5))</f>
        <v>-0.79942076745138191</v>
      </c>
      <c r="C48" s="1">
        <f>2*(IF(Rules!$B$9=Rules!$E$9,SUM(HSD!C9:C16)+Rules!$B$5*HSD!C17+HSD!C41,SUM(HS!C9:C16)+Rules!$B$5*HS!C17+HS!C41)/(9+Rules!$B$5))</f>
        <v>-0.21836685573323267</v>
      </c>
      <c r="D48" s="1">
        <f>2*(IF(Rules!$B$9=Rules!$E$9,SUM(HSD!D9:D16)+Rules!$B$5*HSD!D17+HSD!D41,SUM(HS!D9:D16)+Rules!$B$5*HS!D17+HS!D41)/(9+Rules!$B$5))</f>
        <v>-0.15316596380892716</v>
      </c>
      <c r="E48" s="1">
        <f>2*(IF(Rules!$B$9=Rules!$E$9,SUM(HSD!E9:E16)+Rules!$B$5*HSD!E17+HSD!E41,SUM(HS!E9:E16)+Rules!$B$5*HS!E17+HS!E41)/(9+Rules!$B$5))</f>
        <v>-8.6043588008683752E-2</v>
      </c>
      <c r="F48" s="1">
        <f>2*(IF(Rules!$B$9=Rules!$E$9,SUM(HSD!F9:F16)+Rules!$B$5*HSD!F17+HSD!F41,SUM(HS!F9:F16)+Rules!$B$5*HS!F17+HS!F41)/(9+Rules!$B$5))</f>
        <v>-1.4542721805881769E-2</v>
      </c>
      <c r="G48" s="1">
        <f>2*(IF(Rules!$B$9=Rules!$E$9,SUM(HSD!G9:G16)+Rules!$B$5*HSD!G17+HSD!G41,SUM(HS!G9:G16)+Rules!$B$5*HS!G17+HS!G41)/(9+Rules!$B$5))</f>
        <v>5.8370684707721728E-2</v>
      </c>
      <c r="H48" s="1">
        <f>2*(IF(Rules!$B$9=Rules!$E$9,SUM(HSD!H9:H16)+Rules!$B$5*HSD!H17+HSD!H41,SUM(HS!H9:H16)+Rules!$B$5*HS!H17+HS!H41)/(9+Rules!$B$5))</f>
        <v>-0.13761559916085553</v>
      </c>
      <c r="I48" s="1">
        <f>2*(IF(Rules!$B$9=Rules!$E$9,SUM(HSD!I9:I16)+Rules!$B$5*HSD!I17+HSD!I41,SUM(HS!I9:I16)+Rules!$B$5*HS!I17+HS!I41)/(9+Rules!$B$5))</f>
        <v>-0.42120953744869932</v>
      </c>
      <c r="J48" s="1">
        <f>2*(IF(Rules!$B$9=Rules!$E$9,SUM(HSD!J9:J16)+Rules!$B$5*HSD!J17+HSD!J41,SUM(HS!J9:J16)+Rules!$B$5*HS!J17+HS!J41)/(9+Rules!$B$5))</f>
        <v>-0.57073088097375324</v>
      </c>
      <c r="K48" s="9">
        <f>2*(IF(Rules!$B$9=Rules!$E$9,SUM(HSD!K9:K16)+Rules!$B$5*HSD!K17+HSD!K41,SUM(HS!K9:K16)+Rules!$B$5*HS!K17+HS!K41)/(9+Rules!$B$5))</f>
        <v>-0.73015579842789358</v>
      </c>
    </row>
    <row r="49" spans="1:11" x14ac:dyDescent="0.2">
      <c r="A49" s="99">
        <v>8</v>
      </c>
      <c r="B49" s="93">
        <f>2*(IF(Rules!$B$9=Rules!$E$9,SUM(HSD!B10:B17)+Rules!$B$5*HSD!B18+HSD!B42,SUM(HS!B10:B17)+Rules!$B$5*HS!B18+HS!B42)/(9+Rules!$B$5))</f>
        <v>-0.66068066918140123</v>
      </c>
      <c r="C49" s="1">
        <f>2*(IF(Rules!$B$9=Rules!$E$9,SUM(HSD!C10:C17)+Rules!$B$5*HSD!C18+HSD!C42,SUM(HS!C10:C17)+Rules!$B$5*HS!C18+HS!C42)/(9+Rules!$B$5))</f>
        <v>-4.3596376017611342E-2</v>
      </c>
      <c r="D49" s="1">
        <f>2*(IF(Rules!$B$9=Rules!$E$9,SUM(HSD!D10:D17)+Rules!$B$5*HSD!D18+HSD!D42,SUM(HS!D10:D17)+Rules!$B$5*HS!D18+HS!D42)/(9+Rules!$B$5))</f>
        <v>1.6010525061309382E-2</v>
      </c>
      <c r="E49" s="1">
        <f>2*(IF(Rules!$B$9=Rules!$E$9,SUM(HSD!E10:E17)+Rules!$B$5*HSD!E18+HSD!E42,SUM(HS!E10:E17)+Rules!$B$5*HS!E18+HS!E42)/(9+Rules!$B$5))</f>
        <v>7.7568946554417609E-2</v>
      </c>
      <c r="F49" s="1">
        <f>2*(IF(Rules!$B$9=Rules!$E$9,SUM(HSD!F10:F17)+Rules!$B$5*HSD!F18+HSD!F42,SUM(HS!F10:F17)+Rules!$B$5*HS!F18+HS!F42)/(9+Rules!$B$5))</f>
        <v>0.14160927196606765</v>
      </c>
      <c r="G49" s="1">
        <f>2*(IF(Rules!$B$9=Rules!$E$9,SUM(HSD!G10:G17)+Rules!$B$5*HSD!G18+HSD!G42,SUM(HS!G10:G17)+Rules!$B$5*HS!G18+HS!G42)/(9+Rules!$B$5))</f>
        <v>0.22992030019244641</v>
      </c>
      <c r="H49" s="1">
        <f>2*(IF(Rules!$B$9=Rules!$E$9,SUM(HSD!H10:H17)+Rules!$B$5*HSD!H18+HSD!H42,SUM(HS!H10:H17)+Rules!$B$5*HS!H18+HS!H42)/(9+Rules!$B$5))</f>
        <v>0.16441487872748572</v>
      </c>
      <c r="I49" s="1">
        <f>2*(IF(Rules!$B$9=Rules!$E$9,SUM(HSD!I10:I17)+Rules!$B$5*HSD!I18+HSD!I42,SUM(HS!I10:I17)+Rules!$B$5*HS!I18+HS!I42)/(9+Rules!$B$5))</f>
        <v>-0.11979655131731258</v>
      </c>
      <c r="J49" s="1">
        <f>2*(IF(Rules!$B$9=Rules!$E$9,SUM(HSD!J10:J17)+Rules!$B$5*HSD!J18+HSD!J42,SUM(HS!J10:J17)+Rules!$B$5*HS!J18+HS!J42)/(9+Rules!$B$5))</f>
        <v>-0.42037266399643519</v>
      </c>
      <c r="K49" s="9">
        <f>2*(IF(Rules!$B$9=Rules!$E$9,SUM(HSD!K10:K17)+Rules!$B$5*HSD!K18+HSD!K42,SUM(HS!K10:K17)+Rules!$B$5*HS!K18+HS!K42)/(9+Rules!$B$5))</f>
        <v>-0.60355477228062737</v>
      </c>
    </row>
    <row r="50" spans="1:11" x14ac:dyDescent="0.2">
      <c r="A50" s="99">
        <v>9</v>
      </c>
      <c r="B50" s="93">
        <f>2*(IF(Rules!$B$9=Rules!$E$9,SUM(HSD!B11:B18)+Rules!$B$5*HSD!B19+HSD!B43,SUM(HS!B11:B18)+Rules!$B$5*HS!B19+HS!B43)/(9+Rules!$B$5))</f>
        <v>-0.50384952354144152</v>
      </c>
      <c r="C50" s="1">
        <f>2*(IF(Rules!$B$9=Rules!$E$9,SUM(HSD!C11:C18)+Rules!$B$5*HSD!C19+HSD!C43,SUM(HS!C11:C18)+Rules!$B$5*HS!C19+HS!C43)/(9+Rules!$B$5))</f>
        <v>0.14889207515268102</v>
      </c>
      <c r="D50" s="1">
        <f>2*(IF(Rules!$B$9=Rules!$E$9,SUM(HSD!D11:D18)+Rules!$B$5*HSD!D19+HSD!D43,SUM(HS!D11:D18)+Rules!$B$5*HS!D19+HS!D43)/(9+Rules!$B$5))</f>
        <v>0.20252940347775356</v>
      </c>
      <c r="E50" s="1">
        <f>2*(IF(Rules!$B$9=Rules!$E$9,SUM(HSD!E11:E18)+Rules!$B$5*HSD!E19+HSD!E43,SUM(HS!E11:E18)+Rules!$B$5*HS!E19+HS!E43)/(9+Rules!$B$5))</f>
        <v>0.25796176239148355</v>
      </c>
      <c r="F50" s="1">
        <f>2*(IF(Rules!$B$9=Rules!$E$9,SUM(HSD!F11:F18)+Rules!$B$5*HSD!F19+HSD!F43,SUM(HS!F11:F18)+Rules!$B$5*HS!F19+HS!F43)/(9+Rules!$B$5))</f>
        <v>0.31606371253303472</v>
      </c>
      <c r="G50" s="1">
        <f>2*(IF(Rules!$B$9=Rules!$E$9,SUM(HSD!G11:G18)+Rules!$B$5*HSD!G19+HSD!G43,SUM(HS!G11:G18)+Rules!$B$5*HS!G19+HS!G43)/(9+Rules!$B$5))</f>
        <v>0.39203767851455751</v>
      </c>
      <c r="H50" s="1">
        <f>2*(IF(Rules!$B$9=Rules!$E$9,SUM(HSD!H11:H18)+Rules!$B$5*HSD!H19+HSD!H43,SUM(HS!H11:H18)+Rules!$B$5*HS!H19+HS!H43)/(9+Rules!$B$5))</f>
        <v>0.34373571987390533</v>
      </c>
      <c r="I50" s="1">
        <f>2*(IF(Rules!$B$9=Rules!$E$9,SUM(HSD!I11:I18)+Rules!$B$5*HSD!I19+HSD!I43,SUM(HS!I11:I18)+Rules!$B$5*HS!I19+HS!I43)/(9+Rules!$B$5))</f>
        <v>0.19675243487078517</v>
      </c>
      <c r="J50" s="1">
        <f>2*(IF(Rules!$B$9=Rules!$E$9,SUM(HSD!J11:J18)+Rules!$B$5*HSD!J19+HSD!J43,SUM(HS!J11:J18)+Rules!$B$5*HS!J19+HS!J43)/(9+Rules!$B$5))</f>
        <v>-0.10435610692530338</v>
      </c>
      <c r="K50" s="9">
        <f>2*(IF(Rules!$B$9=Rules!$E$9,SUM(HSD!K11:K18)+Rules!$B$5*HSD!K19+HSD!K43,SUM(HS!K11:K18)+Rules!$B$5*HS!K19+HS!K43)/(9+Rules!$B$5))</f>
        <v>-0.42686338071413132</v>
      </c>
    </row>
    <row r="51" spans="1:11" ht="17" thickBot="1" x14ac:dyDescent="0.25">
      <c r="A51" s="100">
        <v>10</v>
      </c>
      <c r="B51" s="94">
        <f>2*(IF(Rules!$B$9=Rules!$E$9,SUM(HSD!B12:B19)+Rules!$B$5*HSD!B20+HSD!B44,SUM(HS!B12:B19)+Rules!$B$5*HS!B20+HS!B44)/(9+Rules!$B$5))</f>
        <v>-0.29333578526071735</v>
      </c>
      <c r="C51" s="111">
        <f>2*(IF(Rules!$B$9=Rules!$E$9,SUM(HSD!C12:C19)+Rules!$B$5*HSD!C20+HSD!C44,SUM(HS!C12:C19)+Rules!$B$5*HS!C20+HS!C44)/(9+Rules!$B$5))</f>
        <v>0.36499998801808975</v>
      </c>
      <c r="D51" s="111">
        <f>2*(IF(Rules!$B$9=Rules!$E$9,SUM(HSD!D12:D19)+Rules!$B$5*HSD!D20+HSD!D44,SUM(HS!D12:D19)+Rules!$B$5*HS!D20+HS!D44)/(9+Rules!$B$5))</f>
        <v>0.41217595162788179</v>
      </c>
      <c r="E51" s="111">
        <f>2*(IF(Rules!$B$9=Rules!$E$9,SUM(HSD!E12:E19)+Rules!$B$5*HSD!E20+HSD!E44,SUM(HS!E12:E19)+Rules!$B$5*HS!E20+HS!E44)/(9+Rules!$B$5))</f>
        <v>0.460940243794354</v>
      </c>
      <c r="F51" s="111">
        <f>2*(IF(Rules!$B$9=Rules!$E$9,SUM(HSD!F12:F19)+Rules!$B$5*HSD!F20+HSD!F44,SUM(HS!F12:F19)+Rules!$B$5*HS!F20+HS!F44)/(9+Rules!$B$5))</f>
        <v>0.51251710900326775</v>
      </c>
      <c r="G51" s="111">
        <f>2*(IF(Rules!$B$9=Rules!$E$9,SUM(HSD!G12:G19)+Rules!$B$5*HSD!G20+HSD!G44,SUM(HS!G12:G19)+Rules!$B$5*HS!G20+HS!G44)/(9+Rules!$B$5))</f>
        <v>0.57559016859776857</v>
      </c>
      <c r="H51" s="111">
        <f>2*(IF(Rules!$B$9=Rules!$E$9,SUM(HSD!H12:H19)+Rules!$B$5*HSD!H20+HSD!H44,SUM(HS!H12:H19)+Rules!$B$5*HS!H20+HS!H44)/(9+Rules!$B$5))</f>
        <v>0.51381748867217314</v>
      </c>
      <c r="I51" s="111">
        <f>2*(IF(Rules!$B$9=Rules!$E$9,SUM(HSD!I12:I19)+Rules!$B$5*HSD!I20+HSD!I44,SUM(HS!I12:I19)+Rules!$B$5*HS!I20+HS!I44)/(9+Rules!$B$5))</f>
        <v>0.39590741666395218</v>
      </c>
      <c r="J51" s="111">
        <f>2*(IF(Rules!$B$9=Rules!$E$9,SUM(HSD!J12:J19)+Rules!$B$5*HSD!J20+HSD!J44,SUM(HS!J12:J19)+Rules!$B$5*HS!J20+HS!J44)/(9+Rules!$B$5))</f>
        <v>0.2330591821385678</v>
      </c>
      <c r="K51" s="10">
        <f>2*(IF(Rules!$B$9=Rules!$E$9,SUM(HSD!K12:K19)+Rules!$B$5*HSD!K20+HSD!K44,SUM(HS!K12:K19)+Rules!$B$5*HS!K20+HS!K44)/(9+Rules!$B$5))</f>
        <v>-8.9980520767226013E-2</v>
      </c>
    </row>
    <row r="53" spans="1:11" x14ac:dyDescent="0.2">
      <c r="A53" s="1" t="s">
        <v>7</v>
      </c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>
        <v>8</v>
      </c>
      <c r="J53" s="1">
        <v>9</v>
      </c>
      <c r="K53" s="1">
        <v>10</v>
      </c>
    </row>
    <row r="54" spans="1:11" x14ac:dyDescent="0.2">
      <c r="A54" s="1">
        <v>1</v>
      </c>
      <c r="B54" s="1">
        <f>MAX(IF(Rules!$B$17=2,B42,IF(Rules!$B$17=3,B29,IF(Rules!$B$17=4,B16,B3))),HSDR!B35)</f>
        <v>-0.11815715102876453</v>
      </c>
      <c r="C54" s="1">
        <f>MAX(IF(Rules!$B$17=2,C42,IF(Rules!$B$17=3,C29,IF(Rules!$B$17=4,C16,C3))),HSDR!C35)</f>
        <v>0.47064092333946894</v>
      </c>
      <c r="D54" s="1">
        <f>MAX(IF(Rules!$B$17=2,D42,IF(Rules!$B$17=3,D29,IF(Rules!$B$17=4,D16,D3))),HSDR!D35)</f>
        <v>0.51779525312221664</v>
      </c>
      <c r="E54" s="1">
        <f>MAX(IF(Rules!$B$17=2,E42,IF(Rules!$B$17=3,E29,IF(Rules!$B$17=4,E16,E3))),HSDR!E35)</f>
        <v>0.56604055041797596</v>
      </c>
      <c r="F54" s="1">
        <f>MAX(IF(Rules!$B$17=2,F42,IF(Rules!$B$17=3,F29,IF(Rules!$B$17=4,F16,F3))),HSDR!F35)</f>
        <v>0.61469901790902803</v>
      </c>
      <c r="G54" s="1">
        <f>MAX(IF(Rules!$B$17=2,G42,IF(Rules!$B$17=3,G29,IF(Rules!$B$17=4,G16,G3))),HSDR!G35)</f>
        <v>0.66738009490756944</v>
      </c>
      <c r="H54" s="1">
        <f>MAX(IF(Rules!$B$17=2,H42,IF(Rules!$B$17=3,H29,IF(Rules!$B$17=4,H16,H3))),HSDR!H35)</f>
        <v>0.46288894886429088</v>
      </c>
      <c r="I54" s="1">
        <f>MAX(IF(Rules!$B$17=2,I42,IF(Rules!$B$17=3,I29,IF(Rules!$B$17=4,I16,I3))),HSDR!I35)</f>
        <v>0.35069259087031512</v>
      </c>
      <c r="J54" s="1">
        <f>MAX(IF(Rules!$B$17=2,J42,IF(Rules!$B$17=3,J29,IF(Rules!$B$17=4,J16,J3))),HSDR!J35)</f>
        <v>0.22778342315245487</v>
      </c>
      <c r="K54" s="1">
        <f>MAX(IF(Rules!$B$17=2,K42,IF(Rules!$B$17=3,K29,IF(Rules!$B$17=4,K16,K3))),HSDR!K35)</f>
        <v>5.9357641870643733E-2</v>
      </c>
    </row>
    <row r="55" spans="1:11" x14ac:dyDescent="0.2">
      <c r="A55" s="1">
        <v>2</v>
      </c>
      <c r="B55" s="1">
        <f>MAX(IF(Rules!$B$11=2,B43,IF(Rules!$B$11=3,B30,IF(Rules!$B$11=4,B17,B4))),HSDR!B4)</f>
        <v>-0.38538530661686615</v>
      </c>
      <c r="C55" s="1">
        <f>MAX(IF(Rules!$B$11=2,C43,IF(Rules!$B$11=3,C30,IF(Rules!$B$11=4,C17,C4))),HSDR!C4)</f>
        <v>-0.11491332761892134</v>
      </c>
      <c r="D55" s="1">
        <f>MAX(IF(Rules!$B$11=2,D43,IF(Rules!$B$11=3,D30,IF(Rules!$B$11=4,D17,D4))),HSDR!D4)</f>
        <v>-8.2613314299744348E-2</v>
      </c>
      <c r="E55" s="1">
        <f>MAX(IF(Rules!$B$11=2,E43,IF(Rules!$B$11=3,E30,IF(Rules!$B$11=4,E17,E4))),HSDR!E4)</f>
        <v>-4.4200824271668777E-2</v>
      </c>
      <c r="F55" s="1">
        <f>MAX(IF(Rules!$B$11=2,F43,IF(Rules!$B$11=3,F30,IF(Rules!$B$11=4,F17,F4))),HSDR!F4)</f>
        <v>2.7460064569567143E-2</v>
      </c>
      <c r="G55" s="1">
        <f>MAX(IF(Rules!$B$11=2,G43,IF(Rules!$B$11=3,G30,IF(Rules!$B$11=4,G17,G4))),HSDR!G4)</f>
        <v>7.7766823892602463E-2</v>
      </c>
      <c r="H55" s="1">
        <f>MAX(IF(Rules!$B$11=2,H43,IF(Rules!$B$11=3,H30,IF(Rules!$B$11=4,H17,H4))),HSDR!H4)</f>
        <v>-5.4514042751724494E-2</v>
      </c>
      <c r="I55" s="1">
        <f>MAX(IF(Rules!$B$11=2,I43,IF(Rules!$B$11=3,I30,IF(Rules!$B$11=4,I17,I4))),HSDR!I4)</f>
        <v>-0.15933415266020512</v>
      </c>
      <c r="J55" s="1">
        <f>MAX(IF(Rules!$B$11=2,J43,IF(Rules!$B$11=3,J30,IF(Rules!$B$11=4,J17,J4))),HSDR!J4)</f>
        <v>-0.24066617915336547</v>
      </c>
      <c r="K55" s="1">
        <f>MAX(IF(Rules!$B$11=2,K43,IF(Rules!$B$11=3,K30,IF(Rules!$B$11=4,K17,K4))),HSDR!K4)</f>
        <v>-0.33509986436351097</v>
      </c>
    </row>
    <row r="56" spans="1:11" x14ac:dyDescent="0.2">
      <c r="A56" s="1">
        <v>3</v>
      </c>
      <c r="B56" s="1">
        <f>MAX(IF(Rules!$B$11=2,B44,IF(Rules!$B$11=3,B31,IF(Rules!$B$11=4,B18,B5))),HSDR!B6)</f>
        <v>-0.41968690347101079</v>
      </c>
      <c r="C56" s="1">
        <f>MAX(IF(Rules!$B$11=2,C44,IF(Rules!$B$11=3,C31,IF(Rules!$B$11=4,C18,C5))),HSDR!C6)</f>
        <v>-0.14075911746001987</v>
      </c>
      <c r="D56" s="1">
        <f>MAX(IF(Rules!$B$11=2,D44,IF(Rules!$B$11=3,D31,IF(Rules!$B$11=4,D18,D5))),HSDR!D6)</f>
        <v>-0.10729107800860835</v>
      </c>
      <c r="E56" s="1">
        <f>MAX(IF(Rules!$B$11=2,E44,IF(Rules!$B$11=3,E31,IF(Rules!$B$11=4,E18,E5))),HSDR!E6)</f>
        <v>-7.2522581417810678E-2</v>
      </c>
      <c r="F56" s="1">
        <f>MAX(IF(Rules!$B$11=2,F44,IF(Rules!$B$11=3,F31,IF(Rules!$B$11=4,F18,F5))),HSDR!F6)</f>
        <v>3.3991424279375615E-4</v>
      </c>
      <c r="G56" s="1">
        <f>MAX(IF(Rules!$B$11=2,G44,IF(Rules!$B$11=3,G31,IF(Rules!$B$11=4,G18,G5))),HSDR!G6)</f>
        <v>4.8942606413118719E-2</v>
      </c>
      <c r="H56" s="1">
        <f>MAX(IF(Rules!$B$11=2,H44,IF(Rules!$B$11=3,H31,IF(Rules!$B$11=4,H18,H5))),HSDR!H6)</f>
        <v>-0.11487517708071333</v>
      </c>
      <c r="I56" s="1">
        <f>MAX(IF(Rules!$B$11=2,I44,IF(Rules!$B$11=3,I31,IF(Rules!$B$11=4,I18,I5))),HSDR!I6)</f>
        <v>-0.21724188132078476</v>
      </c>
      <c r="J56" s="1">
        <f>MAX(IF(Rules!$B$11=2,J44,IF(Rules!$B$11=3,J31,IF(Rules!$B$11=4,J18,J5))),HSDR!J6)</f>
        <v>-0.29264070019772598</v>
      </c>
      <c r="K56" s="1">
        <f>MAX(IF(Rules!$B$11=2,K44,IF(Rules!$B$11=3,K31,IF(Rules!$B$11=4,K18,K5))),HSDR!K6)</f>
        <v>-0.38050766229289529</v>
      </c>
    </row>
    <row r="57" spans="1:11" x14ac:dyDescent="0.2">
      <c r="A57" s="1">
        <v>4</v>
      </c>
      <c r="B57" s="1">
        <f>MAX(IF(Rules!$B$11=2,B45,IF(Rules!$B$11=3,B32,IF(Rules!$B$11=4,B19,B6))),HSDR!B8)</f>
        <v>-0.33034033459070061</v>
      </c>
      <c r="C57" s="1">
        <f>MAX(IF(Rules!$B$11=2,C45,IF(Rules!$B$11=3,C32,IF(Rules!$B$11=4,C19,C6))),HSDR!C8)</f>
        <v>-2.1798188008805671E-2</v>
      </c>
      <c r="D57" s="1">
        <f>MAX(IF(Rules!$B$11=2,D45,IF(Rules!$B$11=3,D32,IF(Rules!$B$11=4,D19,D6))),HSDR!D8)</f>
        <v>8.0052625306546912E-3</v>
      </c>
      <c r="E57" s="1">
        <f>MAX(IF(Rules!$B$11=2,E45,IF(Rules!$B$11=3,E32,IF(Rules!$B$11=4,E19,E6))),HSDR!E8)</f>
        <v>3.8784473277208804E-2</v>
      </c>
      <c r="F57" s="1">
        <f>MAX(IF(Rules!$B$11=2,F45,IF(Rules!$B$11=3,F32,IF(Rules!$B$11=4,F19,F6))),HSDR!F8)</f>
        <v>7.0804635983033826E-2</v>
      </c>
      <c r="G57" s="1">
        <f>MAX(IF(Rules!$B$11=2,G45,IF(Rules!$B$11=3,G32,IF(Rules!$B$11=4,G19,G6))),HSDR!G8)</f>
        <v>0.11496015009622321</v>
      </c>
      <c r="H57" s="1">
        <f>MAX(IF(Rules!$B$11=2,H45,IF(Rules!$B$11=3,H32,IF(Rules!$B$11=4,H19,H6))),HSDR!H8)</f>
        <v>8.2207439363742862E-2</v>
      </c>
      <c r="I57" s="1">
        <f>MAX(IF(Rules!$B$11=2,I45,IF(Rules!$B$11=3,I32,IF(Rules!$B$11=4,I19,I6))),HSDR!I8)</f>
        <v>-5.989827565865629E-2</v>
      </c>
      <c r="J57" s="1">
        <f>MAX(IF(Rules!$B$11=2,J45,IF(Rules!$B$11=3,J32,IF(Rules!$B$11=4,J19,J6))),HSDR!J8)</f>
        <v>-0.2101863319982176</v>
      </c>
      <c r="K57" s="1">
        <f>MAX(IF(Rules!$B$11=2,K45,IF(Rules!$B$11=3,K32,IF(Rules!$B$11=4,K19,K6))),HSDR!K8)</f>
        <v>-0.30177738614031369</v>
      </c>
    </row>
    <row r="58" spans="1:11" x14ac:dyDescent="0.2">
      <c r="A58" s="1">
        <v>5</v>
      </c>
      <c r="B58" s="1">
        <f>MAX(IF(Rules!$B$11=2,B46,IF(Rules!$B$11=3,B33,IF(Rules!$B$11=4,B20,B7))),HSDR!B10)</f>
        <v>-0.14666789263035868</v>
      </c>
      <c r="C58" s="1">
        <f>MAX(IF(Rules!$B$11=2,C46,IF(Rules!$B$11=3,C33,IF(Rules!$B$11=4,C20,C7))),HSDR!C10)</f>
        <v>0.3589394124422991</v>
      </c>
      <c r="D58" s="1">
        <f>MAX(IF(Rules!$B$11=2,D46,IF(Rules!$B$11=3,D33,IF(Rules!$B$11=4,D20,D7))),HSDR!D10)</f>
        <v>0.40932067017593915</v>
      </c>
      <c r="E58" s="1">
        <f>MAX(IF(Rules!$B$11=2,E46,IF(Rules!$B$11=3,E33,IF(Rules!$B$11=4,E20,E7))),HSDR!E10)</f>
        <v>0.460940243794354</v>
      </c>
      <c r="F58" s="1">
        <f>MAX(IF(Rules!$B$11=2,F46,IF(Rules!$B$11=3,F33,IF(Rules!$B$11=4,F20,F7))),HSDR!F10)</f>
        <v>0.51251710900326775</v>
      </c>
      <c r="G58" s="1">
        <f>MAX(IF(Rules!$B$11=2,G46,IF(Rules!$B$11=3,G33,IF(Rules!$B$11=4,G20,G7))),HSDR!G10)</f>
        <v>0.57559016859776857</v>
      </c>
      <c r="H58" s="1">
        <f>MAX(IF(Rules!$B$11=2,H46,IF(Rules!$B$11=3,H33,IF(Rules!$B$11=4,H20,H7))),HSDR!H10)</f>
        <v>0.39241245528243773</v>
      </c>
      <c r="I58" s="1">
        <f>MAX(IF(Rules!$B$11=2,I46,IF(Rules!$B$11=3,I33,IF(Rules!$B$11=4,I20,I7))),HSDR!I10)</f>
        <v>0.28663571688628381</v>
      </c>
      <c r="J58" s="1">
        <f>MAX(IF(Rules!$B$11=2,J46,IF(Rules!$B$11=3,J33,IF(Rules!$B$11=4,J20,J7))),HSDR!J10)</f>
        <v>0.1443283683807712</v>
      </c>
      <c r="K58" s="1">
        <f>MAX(IF(Rules!$B$11=2,K46,IF(Rules!$B$11=3,K33,IF(Rules!$B$11=4,K20,K7))),HSDR!K10)</f>
        <v>-4.4990260383613007E-2</v>
      </c>
    </row>
    <row r="59" spans="1:11" x14ac:dyDescent="0.2">
      <c r="A59" s="1">
        <v>6</v>
      </c>
      <c r="B59" s="1">
        <f>MAX(IF(Rules!$B$11=2,B47,IF(Rules!$B$11=3,B34,IF(Rules!$B$11=4,B21,B8))),HSDR!B12)</f>
        <v>-0.46566058377683939</v>
      </c>
      <c r="C59" s="1">
        <f>MAX(IF(Rules!$B$11=2,C47,IF(Rules!$B$11=3,C34,IF(Rules!$B$11=4,C21,C8))),HSDR!C12)</f>
        <v>-0.25338998596663809</v>
      </c>
      <c r="D59" s="1">
        <f>MAX(IF(Rules!$B$11=2,D47,IF(Rules!$B$11=3,D34,IF(Rules!$B$11=4,D21,D8))),HSDR!D12)</f>
        <v>-0.2145821560172167</v>
      </c>
      <c r="E59" s="1">
        <f>MAX(IF(Rules!$B$11=2,E47,IF(Rules!$B$11=3,E34,IF(Rules!$B$11=4,E21,E8))),HSDR!E12)</f>
        <v>-0.14583428385277461</v>
      </c>
      <c r="F59" s="1">
        <f>MAX(IF(Rules!$B$11=2,F47,IF(Rules!$B$11=3,F34,IF(Rules!$B$11=4,F21,F8))),HSDR!F12)</f>
        <v>-6.9831946660204355E-2</v>
      </c>
      <c r="G59" s="1">
        <f>MAX(IF(Rules!$B$11=2,G47,IF(Rules!$B$11=3,G34,IF(Rules!$B$11=4,G21,G8))),HSDR!G12)</f>
        <v>-2.6011671059748588E-2</v>
      </c>
      <c r="H59" s="1">
        <f>MAX(IF(Rules!$B$11=2,H47,IF(Rules!$B$11=3,H34,IF(Rules!$B$11=4,H21,H8))),HSDR!H12)</f>
        <v>-0.21284771451731424</v>
      </c>
      <c r="I59" s="1">
        <f>MAX(IF(Rules!$B$11=2,I47,IF(Rules!$B$11=3,I34,IF(Rules!$B$11=4,I21,I8))),HSDR!I12)</f>
        <v>-0.27157480502428616</v>
      </c>
      <c r="J59" s="1">
        <f>MAX(IF(Rules!$B$11=2,J47,IF(Rules!$B$11=3,J34,IF(Rules!$B$11=4,J21,J8))),HSDR!J12)</f>
        <v>-0.3400132806089356</v>
      </c>
      <c r="K59" s="1">
        <f>MAX(IF(Rules!$B$11=2,K47,IF(Rules!$B$11=3,K34,IF(Rules!$B$11=4,K21,K8))),HSDR!K12)</f>
        <v>-0.42069618899826788</v>
      </c>
    </row>
    <row r="60" spans="1:11" x14ac:dyDescent="0.2">
      <c r="A60" s="1">
        <v>7</v>
      </c>
      <c r="B60" s="1">
        <f>MAX(IF(Rules!$B$11=2,B48,IF(Rules!$B$11=3,B35,IF(Rules!$B$11=4,B22,B9))),HSDR!B14)</f>
        <v>-0.53926856458309114</v>
      </c>
      <c r="C60" s="1">
        <f>MAX(IF(Rules!$B$11=2,C48,IF(Rules!$B$11=3,C35,IF(Rules!$B$11=4,C22,C9))),HSDR!C14)</f>
        <v>-0.21836685573323267</v>
      </c>
      <c r="D60" s="1">
        <f>MAX(IF(Rules!$B$11=2,D48,IF(Rules!$B$11=3,D35,IF(Rules!$B$11=4,D22,D9))),HSDR!D14)</f>
        <v>-0.15316596380892716</v>
      </c>
      <c r="E60" s="1">
        <f>MAX(IF(Rules!$B$11=2,E48,IF(Rules!$B$11=3,E35,IF(Rules!$B$11=4,E22,E9))),HSDR!E14)</f>
        <v>-8.6043588008683752E-2</v>
      </c>
      <c r="F60" s="1">
        <f>MAX(IF(Rules!$B$11=2,F48,IF(Rules!$B$11=3,F35,IF(Rules!$B$11=4,F22,F9))),HSDR!F14)</f>
        <v>-1.4542721805881769E-2</v>
      </c>
      <c r="G60" s="1">
        <f>MAX(IF(Rules!$B$11=2,G48,IF(Rules!$B$11=3,G35,IF(Rules!$B$11=4,G22,G9))),HSDR!G14)</f>
        <v>5.8370684707721728E-2</v>
      </c>
      <c r="H60" s="1">
        <f>MAX(IF(Rules!$B$11=2,H48,IF(Rules!$B$11=3,H35,IF(Rules!$B$11=4,H22,H9))),HSDR!H14)</f>
        <v>-0.13761559916085553</v>
      </c>
      <c r="I60" s="1">
        <f>MAX(IF(Rules!$B$11=2,I48,IF(Rules!$B$11=3,I35,IF(Rules!$B$11=4,I22,I9))),HSDR!I14)</f>
        <v>-0.37191909208726714</v>
      </c>
      <c r="J60" s="1">
        <f>MAX(IF(Rules!$B$11=2,J48,IF(Rules!$B$11=3,J35,IF(Rules!$B$11=4,J22,J9))),HSDR!J14)</f>
        <v>-0.43092981848423528</v>
      </c>
      <c r="K60" s="1">
        <f>MAX(IF(Rules!$B$11=2,K48,IF(Rules!$B$11=3,K35,IF(Rules!$B$11=4,K22,K9))),HSDR!K14)</f>
        <v>-0.50049824459544523</v>
      </c>
    </row>
    <row r="61" spans="1:11" x14ac:dyDescent="0.2">
      <c r="A61" s="1">
        <v>8</v>
      </c>
      <c r="B61" s="1">
        <f>MAX(IF(Rules!$B$11=2,B49,IF(Rules!$B$11=3,B36,IF(Rules!$B$11=4,B23,B10))),HSDR!B16)</f>
        <v>-0.57578184676460165</v>
      </c>
      <c r="C61" s="1">
        <f>MAX(IF(Rules!$B$11=2,C49,IF(Rules!$B$11=3,C36,IF(Rules!$B$11=4,C23,C10))),HSDR!C16)</f>
        <v>-4.3596376017611342E-2</v>
      </c>
      <c r="D61" s="1">
        <f>MAX(IF(Rules!$B$11=2,D49,IF(Rules!$B$11=3,D36,IF(Rules!$B$11=4,D23,D10))),HSDR!D16)</f>
        <v>1.6010525061309382E-2</v>
      </c>
      <c r="E61" s="1">
        <f>MAX(IF(Rules!$B$11=2,E49,IF(Rules!$B$11=3,E36,IF(Rules!$B$11=4,E23,E10))),HSDR!E16)</f>
        <v>7.7568946554417609E-2</v>
      </c>
      <c r="F61" s="1">
        <f>MAX(IF(Rules!$B$11=2,F49,IF(Rules!$B$11=3,F36,IF(Rules!$B$11=4,F23,F10))),HSDR!F16)</f>
        <v>0.14160927196606765</v>
      </c>
      <c r="G61" s="1">
        <f>MAX(IF(Rules!$B$11=2,G49,IF(Rules!$B$11=3,G36,IF(Rules!$B$11=4,G23,G10))),HSDR!G16)</f>
        <v>0.22992030019244641</v>
      </c>
      <c r="H61" s="1">
        <f>MAX(IF(Rules!$B$11=2,H49,IF(Rules!$B$11=3,H36,IF(Rules!$B$11=4,H23,H10))),HSDR!H16)</f>
        <v>0.16441487872748572</v>
      </c>
      <c r="I61" s="1">
        <f>MAX(IF(Rules!$B$11=2,I49,IF(Rules!$B$11=3,I36,IF(Rules!$B$11=4,I23,I10))),HSDR!I16)</f>
        <v>-0.11979655131731258</v>
      </c>
      <c r="J61" s="1">
        <f>MAX(IF(Rules!$B$11=2,J49,IF(Rules!$B$11=3,J36,IF(Rules!$B$11=4,J23,J10))),HSDR!J16)</f>
        <v>-0.42037266399643519</v>
      </c>
      <c r="K61" s="1">
        <f>MAX(IF(Rules!$B$11=2,K49,IF(Rules!$B$11=3,K36,IF(Rules!$B$11=4,K23,K10))),HSDR!K16)</f>
        <v>-0.56930715988076652</v>
      </c>
    </row>
    <row r="62" spans="1:11" x14ac:dyDescent="0.2">
      <c r="A62" s="1">
        <v>9</v>
      </c>
      <c r="B62" s="1">
        <f>MAX(IF(Rules!$B$11=2,B50,IF(Rules!$B$11=3,B37,IF(Rules!$B$11=4,B24,B11))),HSDR!B18)</f>
        <v>-0.24150883119675959</v>
      </c>
      <c r="C62" s="1">
        <f>MAX(IF(Rules!$B$11=2,C50,IF(Rules!$B$11=3,C37,IF(Rules!$B$11=4,C24,C11))),HSDR!C18)</f>
        <v>0.14889207515268102</v>
      </c>
      <c r="D62" s="1">
        <f>MAX(IF(Rules!$B$11=2,D50,IF(Rules!$B$11=3,D37,IF(Rules!$B$11=4,D24,D11))),HSDR!D18)</f>
        <v>0.20252940347775356</v>
      </c>
      <c r="E62" s="1">
        <f>MAX(IF(Rules!$B$11=2,E50,IF(Rules!$B$11=3,E37,IF(Rules!$B$11=4,E24,E11))),HSDR!E18)</f>
        <v>0.25796176239148355</v>
      </c>
      <c r="F62" s="1">
        <f>MAX(IF(Rules!$B$11=2,F50,IF(Rules!$B$11=3,F37,IF(Rules!$B$11=4,F24,F11))),HSDR!F18)</f>
        <v>0.31606371253303472</v>
      </c>
      <c r="G62" s="1">
        <f>MAX(IF(Rules!$B$11=2,G50,IF(Rules!$B$11=3,G37,IF(Rules!$B$11=4,G24,G11))),HSDR!G18)</f>
        <v>0.39203767851455751</v>
      </c>
      <c r="H62" s="1">
        <f>MAX(IF(Rules!$B$11=2,H50,IF(Rules!$B$11=3,H37,IF(Rules!$B$11=4,H24,H11))),HSDR!H18)</f>
        <v>0.3995541673365518</v>
      </c>
      <c r="I62" s="1">
        <f>MAX(IF(Rules!$B$11=2,I50,IF(Rules!$B$11=3,I37,IF(Rules!$B$11=4,I24,I11))),HSDR!I18)</f>
        <v>0.19675243487078517</v>
      </c>
      <c r="J62" s="1">
        <f>MAX(IF(Rules!$B$11=2,J50,IF(Rules!$B$11=3,J37,IF(Rules!$B$11=4,J24,J11))),HSDR!J18)</f>
        <v>-0.10435610692530338</v>
      </c>
      <c r="K62" s="1">
        <f>MAX(IF(Rules!$B$11=2,K50,IF(Rules!$B$11=3,K37,IF(Rules!$B$11=4,K24,K11))),HSDR!K18)</f>
        <v>-0.24150883119675959</v>
      </c>
    </row>
    <row r="63" spans="1:11" x14ac:dyDescent="0.2">
      <c r="A63" s="1">
        <v>10</v>
      </c>
      <c r="B63" s="1">
        <f>MAX(IF(Rules!$B$11=2,B51,IF(Rules!$B$11=3,B38,IF(Rules!$B$11=4,B25,B12))),HSDR!B20)</f>
        <v>0.20418852289369649</v>
      </c>
      <c r="C63" s="1">
        <f>MAX(IF(Rules!$B$11=2,C51,IF(Rules!$B$11=3,C38,IF(Rules!$B$11=4,C25,C12))),HSDR!C20)</f>
        <v>0.63998657521683877</v>
      </c>
      <c r="D63" s="1">
        <f>MAX(IF(Rules!$B$11=2,D51,IF(Rules!$B$11=3,D38,IF(Rules!$B$11=4,D25,D12))),HSDR!D20)</f>
        <v>0.65027209425148136</v>
      </c>
      <c r="E63" s="1">
        <f>MAX(IF(Rules!$B$11=2,E51,IF(Rules!$B$11=3,E38,IF(Rules!$B$11=4,E25,E12))),HSDR!E20)</f>
        <v>0.66104996194807186</v>
      </c>
      <c r="F63" s="1">
        <f>MAX(IF(Rules!$B$11=2,F51,IF(Rules!$B$11=3,F38,IF(Rules!$B$11=4,F25,F12))),HSDR!F20)</f>
        <v>0.67035969063279999</v>
      </c>
      <c r="G63" s="1">
        <f>MAX(IF(Rules!$B$11=2,G51,IF(Rules!$B$11=3,G38,IF(Rules!$B$11=4,G25,G12))),HSDR!G20)</f>
        <v>0.70395857017134467</v>
      </c>
      <c r="H63" s="1">
        <f>MAX(IF(Rules!$B$11=2,H51,IF(Rules!$B$11=3,H38,IF(Rules!$B$11=4,H25,H12))),HSDR!H20)</f>
        <v>0.77322722653717491</v>
      </c>
      <c r="I63" s="1">
        <f>MAX(IF(Rules!$B$11=2,I51,IF(Rules!$B$11=3,I38,IF(Rules!$B$11=4,I25,I12))),HSDR!I20)</f>
        <v>0.79181515955189841</v>
      </c>
      <c r="J63" s="1">
        <f>MAX(IF(Rules!$B$11=2,J51,IF(Rules!$B$11=3,J38,IF(Rules!$B$11=4,J25,J12))),HSDR!J20)</f>
        <v>0.75835687080859626</v>
      </c>
      <c r="K63" s="1">
        <f>MAX(IF(Rules!$B$11=2,K51,IF(Rules!$B$11=3,K38,IF(Rules!$B$11=4,K25,K12))),HSDR!K20)</f>
        <v>0.43495775366292722</v>
      </c>
    </row>
  </sheetData>
  <sheetProtection sheet="1" objects="1" scenarios="1"/>
  <mergeCells count="4">
    <mergeCell ref="A1:K1"/>
    <mergeCell ref="A14:K14"/>
    <mergeCell ref="A27:K27"/>
    <mergeCell ref="A40:K40"/>
  </mergeCells>
  <phoneticPr fontId="16" type="noConversion"/>
  <conditionalFormatting sqref="O2:X11">
    <cfRule type="containsText" dxfId="997" priority="5" operator="containsText" text="S">
      <formula>NOT(ISERROR(SEARCH("S",O2)))</formula>
    </cfRule>
    <cfRule type="containsText" dxfId="996" priority="6" operator="containsText" text="H">
      <formula>NOT(ISERROR(SEARCH("H",O2)))</formula>
    </cfRule>
  </conditionalFormatting>
  <conditionalFormatting sqref="O2:X11">
    <cfRule type="containsText" dxfId="995" priority="4" operator="containsText" text="D">
      <formula>NOT(ISERROR(SEARCH("D",O2)))</formula>
    </cfRule>
  </conditionalFormatting>
  <conditionalFormatting sqref="O2:X11">
    <cfRule type="containsText" dxfId="994" priority="3" operator="containsText" text="R">
      <formula>NOT(ISERROR(SEARCH("R",O2)))</formula>
    </cfRule>
  </conditionalFormatting>
  <conditionalFormatting sqref="O2:X11">
    <cfRule type="containsText" dxfId="993" priority="2" operator="containsText" text="P">
      <formula>NOT(ISERROR(SEARCH("P",O2)))</formula>
    </cfRule>
  </conditionalFormatting>
  <conditionalFormatting sqref="O3:X11">
    <cfRule type="containsText" dxfId="992" priority="1" operator="containsText" text="P">
      <formula>NOT(ISERROR(SEARCH("P",O3)))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B1:C3"/>
  <sheetViews>
    <sheetView workbookViewId="0">
      <selection activeCell="K9" sqref="K9"/>
    </sheetView>
  </sheetViews>
  <sheetFormatPr baseColWidth="10" defaultColWidth="8.83203125" defaultRowHeight="16" x14ac:dyDescent="0.2"/>
  <cols>
    <col min="2" max="2" width="17.6640625" bestFit="1" customWidth="1"/>
  </cols>
  <sheetData>
    <row r="1" spans="2:3" x14ac:dyDescent="0.2">
      <c r="B1" s="52" t="s">
        <v>31</v>
      </c>
      <c r="C1" s="1">
        <f>Dealer!J33</f>
        <v>4.7337278106508882E-2</v>
      </c>
    </row>
    <row r="2" spans="2:3" x14ac:dyDescent="0.2">
      <c r="B2" s="52" t="s">
        <v>32</v>
      </c>
      <c r="C2" s="1">
        <f>1-Dealer!J33</f>
        <v>0.9526627218934911</v>
      </c>
    </row>
    <row r="3" spans="2:3" x14ac:dyDescent="0.2">
      <c r="B3" s="1"/>
      <c r="C3" s="1">
        <f>C1*C2</f>
        <v>4.5096460207975919E-2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M87"/>
  <sheetViews>
    <sheetView workbookViewId="0">
      <selection activeCell="H6" sqref="H6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384" width="8.83203125" style="33"/>
  </cols>
  <sheetData>
    <row r="1" spans="1:13" ht="25" thickBot="1" x14ac:dyDescent="0.35">
      <c r="A1" s="332" t="s">
        <v>132</v>
      </c>
      <c r="B1" s="333"/>
      <c r="C1" s="333"/>
      <c r="D1" s="333"/>
      <c r="E1" s="333"/>
      <c r="F1" s="333"/>
      <c r="G1" s="333"/>
      <c r="H1" s="333"/>
      <c r="I1" s="333"/>
      <c r="J1" s="333"/>
      <c r="K1" s="334"/>
    </row>
    <row r="2" spans="1:13" x14ac:dyDescent="0.2">
      <c r="A2" s="163" t="s">
        <v>9</v>
      </c>
      <c r="B2" s="163" t="s">
        <v>1</v>
      </c>
      <c r="C2" s="163">
        <v>2</v>
      </c>
      <c r="D2" s="163">
        <v>3</v>
      </c>
      <c r="E2" s="163">
        <v>4</v>
      </c>
      <c r="F2" s="163">
        <v>5</v>
      </c>
      <c r="G2" s="163">
        <v>6</v>
      </c>
      <c r="H2" s="163">
        <v>7</v>
      </c>
      <c r="I2" s="163">
        <v>8</v>
      </c>
      <c r="J2" s="163">
        <v>9</v>
      </c>
      <c r="K2" s="163">
        <v>10</v>
      </c>
    </row>
    <row r="3" spans="1:13" x14ac:dyDescent="0.2">
      <c r="A3" s="32">
        <v>5</v>
      </c>
      <c r="B3" s="34">
        <f>$C71*1/(9+Rules!$B$5)*(9/(9+Rules!$B$5))</f>
        <v>6.3023003396239633E-4</v>
      </c>
      <c r="C3" s="34">
        <f>$C71*1/(9+Rules!$B$5)</f>
        <v>9.1033227127901696E-4</v>
      </c>
      <c r="D3" s="34">
        <f>$C71*1/(9+Rules!$B$5)</f>
        <v>9.1033227127901696E-4</v>
      </c>
      <c r="E3" s="34">
        <f>$C71*1/(9+Rules!$B$5)</f>
        <v>9.1033227127901696E-4</v>
      </c>
      <c r="F3" s="34">
        <f>$C71*1/(9+Rules!$B$5)</f>
        <v>9.1033227127901696E-4</v>
      </c>
      <c r="G3" s="34">
        <f>$C71*1/(9+Rules!$B$5)</f>
        <v>9.1033227127901696E-4</v>
      </c>
      <c r="H3" s="34">
        <f>$C71*1/(9+Rules!$B$5)</f>
        <v>9.1033227127901696E-4</v>
      </c>
      <c r="I3" s="34">
        <f>$C71*1/(9+Rules!$B$5)</f>
        <v>9.1033227127901696E-4</v>
      </c>
      <c r="J3" s="34">
        <f>$C71*1/(9+Rules!$B$5)</f>
        <v>9.1033227127901696E-4</v>
      </c>
      <c r="K3" s="34">
        <f>$C71*Rules!$B$5/(9+Rules!$B$5)*((9+Rules!$B$5-1)/(9+Rules!$B$5))</f>
        <v>3.3612268477994475E-3</v>
      </c>
    </row>
    <row r="4" spans="1:13" x14ac:dyDescent="0.2">
      <c r="A4" s="32">
        <v>6</v>
      </c>
      <c r="B4" s="34">
        <f>$C72*1/(9+Rules!$B$5)*(9/(9+Rules!$B$5))</f>
        <v>6.3023003396239633E-4</v>
      </c>
      <c r="C4" s="34">
        <f>$C72*1/(9+Rules!$B$5)</f>
        <v>9.1033227127901696E-4</v>
      </c>
      <c r="D4" s="34">
        <f>$C72*1/(9+Rules!$B$5)</f>
        <v>9.1033227127901696E-4</v>
      </c>
      <c r="E4" s="34">
        <f>$C72*1/(9+Rules!$B$5)</f>
        <v>9.1033227127901696E-4</v>
      </c>
      <c r="F4" s="34">
        <f>$C72*1/(9+Rules!$B$5)</f>
        <v>9.1033227127901696E-4</v>
      </c>
      <c r="G4" s="34">
        <f>$C72*1/(9+Rules!$B$5)</f>
        <v>9.1033227127901696E-4</v>
      </c>
      <c r="H4" s="34">
        <f>$C72*1/(9+Rules!$B$5)</f>
        <v>9.1033227127901696E-4</v>
      </c>
      <c r="I4" s="34">
        <f>$C72*1/(9+Rules!$B$5)</f>
        <v>9.1033227127901696E-4</v>
      </c>
      <c r="J4" s="34">
        <f>$C72*1/(9+Rules!$B$5)</f>
        <v>9.1033227127901696E-4</v>
      </c>
      <c r="K4" s="34">
        <f>$C72*Rules!$B$5/(9+Rules!$B$5)*((9+Rules!$B$5-1)/(9+Rules!$B$5))</f>
        <v>3.3612268477994475E-3</v>
      </c>
    </row>
    <row r="5" spans="1:13" x14ac:dyDescent="0.2">
      <c r="A5" s="32">
        <v>7</v>
      </c>
      <c r="B5" s="34">
        <f>$C73*1/(9+Rules!$B$5)*(9/(9+Rules!$B$5))</f>
        <v>1.2604600679247927E-3</v>
      </c>
      <c r="C5" s="34">
        <f>$C73*1/(9+Rules!$B$5)</f>
        <v>1.8206645425580339E-3</v>
      </c>
      <c r="D5" s="34">
        <f>$C73*1/(9+Rules!$B$5)</f>
        <v>1.8206645425580339E-3</v>
      </c>
      <c r="E5" s="34">
        <f>$C73*1/(9+Rules!$B$5)</f>
        <v>1.8206645425580339E-3</v>
      </c>
      <c r="F5" s="34">
        <f>$C73*1/(9+Rules!$B$5)</f>
        <v>1.8206645425580339E-3</v>
      </c>
      <c r="G5" s="34">
        <f>$C73*1/(9+Rules!$B$5)</f>
        <v>1.8206645425580339E-3</v>
      </c>
      <c r="H5" s="34">
        <f>$C73*1/(9+Rules!$B$5)</f>
        <v>1.8206645425580339E-3</v>
      </c>
      <c r="I5" s="34">
        <f>$C73*1/(9+Rules!$B$5)</f>
        <v>1.8206645425580339E-3</v>
      </c>
      <c r="J5" s="34">
        <f>$C73*1/(9+Rules!$B$5)</f>
        <v>1.8206645425580339E-3</v>
      </c>
      <c r="K5" s="34">
        <f>$C73*Rules!$B$5/(9+Rules!$B$5)*((9+Rules!$B$5-1)/(9+Rules!$B$5))</f>
        <v>6.7224536955988951E-3</v>
      </c>
    </row>
    <row r="6" spans="1:13" x14ac:dyDescent="0.2">
      <c r="A6" s="32">
        <v>8</v>
      </c>
      <c r="B6" s="34">
        <f>$C74*1/(9+Rules!$B$5)*(9/(9+Rules!$B$5))</f>
        <v>1.2604600679247927E-3</v>
      </c>
      <c r="C6" s="34">
        <f>$C74*1/(9+Rules!$B$5)</f>
        <v>1.8206645425580339E-3</v>
      </c>
      <c r="D6" s="34">
        <f>$C74*1/(9+Rules!$B$5)</f>
        <v>1.8206645425580339E-3</v>
      </c>
      <c r="E6" s="34">
        <f>$C74*1/(9+Rules!$B$5)</f>
        <v>1.8206645425580339E-3</v>
      </c>
      <c r="F6" s="34">
        <f>$C74*1/(9+Rules!$B$5)</f>
        <v>1.8206645425580339E-3</v>
      </c>
      <c r="G6" s="34">
        <f>$C74*1/(9+Rules!$B$5)</f>
        <v>1.8206645425580339E-3</v>
      </c>
      <c r="H6" s="34">
        <f>$C74*1/(9+Rules!$B$5)</f>
        <v>1.8206645425580339E-3</v>
      </c>
      <c r="I6" s="34">
        <f>$C74*1/(9+Rules!$B$5)</f>
        <v>1.8206645425580339E-3</v>
      </c>
      <c r="J6" s="34">
        <f>$C74*1/(9+Rules!$B$5)</f>
        <v>1.8206645425580339E-3</v>
      </c>
      <c r="K6" s="34">
        <f>$C74*Rules!$B$5/(9+Rules!$B$5)*((9+Rules!$B$5-1)/(9+Rules!$B$5))</f>
        <v>6.7224536955988951E-3</v>
      </c>
    </row>
    <row r="7" spans="1:13" x14ac:dyDescent="0.2">
      <c r="A7" s="32">
        <v>9</v>
      </c>
      <c r="B7" s="34">
        <f>$C75*1/(9+Rules!$B$5)*(9/(9+Rules!$B$5))</f>
        <v>1.890690101887189E-3</v>
      </c>
      <c r="C7" s="34">
        <f>$C75*1/(9+Rules!$B$5)</f>
        <v>2.730996813837051E-3</v>
      </c>
      <c r="D7" s="34">
        <f>$C75*1/(9+Rules!$B$5)</f>
        <v>2.730996813837051E-3</v>
      </c>
      <c r="E7" s="34">
        <f>$C75*1/(9+Rules!$B$5)</f>
        <v>2.730996813837051E-3</v>
      </c>
      <c r="F7" s="34">
        <f>$C75*1/(9+Rules!$B$5)</f>
        <v>2.730996813837051E-3</v>
      </c>
      <c r="G7" s="34">
        <f>$C75*1/(9+Rules!$B$5)</f>
        <v>2.730996813837051E-3</v>
      </c>
      <c r="H7" s="34">
        <f>$C75*1/(9+Rules!$B$5)</f>
        <v>2.730996813837051E-3</v>
      </c>
      <c r="I7" s="34">
        <f>$C75*1/(9+Rules!$B$5)</f>
        <v>2.730996813837051E-3</v>
      </c>
      <c r="J7" s="34">
        <f>$C75*1/(9+Rules!$B$5)</f>
        <v>2.730996813837051E-3</v>
      </c>
      <c r="K7" s="34">
        <f>$C75*Rules!$B$5/(9+Rules!$B$5)*((9+Rules!$B$5-1)/(9+Rules!$B$5))</f>
        <v>1.0083680543398343E-2</v>
      </c>
    </row>
    <row r="8" spans="1:13" x14ac:dyDescent="0.2">
      <c r="A8" s="32">
        <v>10</v>
      </c>
      <c r="B8" s="34">
        <f>$C76*1/(9+Rules!$B$5)*(9/(9+Rules!$B$5))</f>
        <v>1.890690101887189E-3</v>
      </c>
      <c r="C8" s="34">
        <f>$C76*1/(9+Rules!$B$5)</f>
        <v>2.730996813837051E-3</v>
      </c>
      <c r="D8" s="34">
        <f>$C76*1/(9+Rules!$B$5)</f>
        <v>2.730996813837051E-3</v>
      </c>
      <c r="E8" s="34">
        <f>$C76*1/(9+Rules!$B$5)</f>
        <v>2.730996813837051E-3</v>
      </c>
      <c r="F8" s="34">
        <f>$C76*1/(9+Rules!$B$5)</f>
        <v>2.730996813837051E-3</v>
      </c>
      <c r="G8" s="34">
        <f>$C76*1/(9+Rules!$B$5)</f>
        <v>2.730996813837051E-3</v>
      </c>
      <c r="H8" s="34">
        <f>$C76*1/(9+Rules!$B$5)</f>
        <v>2.730996813837051E-3</v>
      </c>
      <c r="I8" s="34">
        <f>$C76*1/(9+Rules!$B$5)</f>
        <v>2.730996813837051E-3</v>
      </c>
      <c r="J8" s="34">
        <f>$C76*1/(9+Rules!$B$5)</f>
        <v>2.730996813837051E-3</v>
      </c>
      <c r="K8" s="34">
        <f>$C76*Rules!$B$5/(9+Rules!$B$5)*((9+Rules!$B$5-1)/(9+Rules!$B$5))</f>
        <v>1.0083680543398343E-2</v>
      </c>
    </row>
    <row r="9" spans="1:13" x14ac:dyDescent="0.2">
      <c r="A9" s="32">
        <v>11</v>
      </c>
      <c r="B9" s="34">
        <f>$C77*1/(9+Rules!$B$5)*(9/(9+Rules!$B$5))</f>
        <v>2.5209201358495858E-3</v>
      </c>
      <c r="C9" s="34">
        <f>$C77*1/(9+Rules!$B$5)</f>
        <v>3.6413290851160683E-3</v>
      </c>
      <c r="D9" s="34">
        <f>$C77*1/(9+Rules!$B$5)</f>
        <v>3.6413290851160683E-3</v>
      </c>
      <c r="E9" s="34">
        <f>$C77*1/(9+Rules!$B$5)</f>
        <v>3.6413290851160683E-3</v>
      </c>
      <c r="F9" s="34">
        <f>$C77*1/(9+Rules!$B$5)</f>
        <v>3.6413290851160683E-3</v>
      </c>
      <c r="G9" s="34">
        <f>$C77*1/(9+Rules!$B$5)</f>
        <v>3.6413290851160683E-3</v>
      </c>
      <c r="H9" s="34">
        <f>$C77*1/(9+Rules!$B$5)</f>
        <v>3.6413290851160683E-3</v>
      </c>
      <c r="I9" s="34">
        <f>$C77*1/(9+Rules!$B$5)</f>
        <v>3.6413290851160683E-3</v>
      </c>
      <c r="J9" s="34">
        <f>$C77*1/(9+Rules!$B$5)</f>
        <v>3.6413290851160683E-3</v>
      </c>
      <c r="K9" s="34">
        <f>$C77*Rules!$B$5/(9+Rules!$B$5)*((9+Rules!$B$5-1)/(9+Rules!$B$5))</f>
        <v>1.3444907391197792E-2</v>
      </c>
    </row>
    <row r="10" spans="1:13" x14ac:dyDescent="0.2">
      <c r="A10" s="32">
        <v>12</v>
      </c>
      <c r="B10" s="34">
        <f>$C78*1/(9+Rules!$B$5)*(9/(9+Rules!$B$5))</f>
        <v>4.4116102377367745E-3</v>
      </c>
      <c r="C10" s="34">
        <f>$C78*1/(9+Rules!$B$5)</f>
        <v>6.3723258989531193E-3</v>
      </c>
      <c r="D10" s="34">
        <f>$C78*1/(9+Rules!$B$5)</f>
        <v>6.3723258989531193E-3</v>
      </c>
      <c r="E10" s="34">
        <f>$C78*1/(9+Rules!$B$5)</f>
        <v>6.3723258989531193E-3</v>
      </c>
      <c r="F10" s="34">
        <f>$C78*1/(9+Rules!$B$5)</f>
        <v>6.3723258989531193E-3</v>
      </c>
      <c r="G10" s="34">
        <f>$C78*1/(9+Rules!$B$5)</f>
        <v>6.3723258989531193E-3</v>
      </c>
      <c r="H10" s="34">
        <f>$C78*1/(9+Rules!$B$5)</f>
        <v>6.3723258989531193E-3</v>
      </c>
      <c r="I10" s="34">
        <f>$C78*1/(9+Rules!$B$5)</f>
        <v>6.3723258989531193E-3</v>
      </c>
      <c r="J10" s="34">
        <f>$C78*1/(9+Rules!$B$5)</f>
        <v>6.3723258989531193E-3</v>
      </c>
      <c r="K10" s="34">
        <f>$C78*Rules!$B$5/(9+Rules!$B$5)*((9+Rules!$B$5-1)/(9+Rules!$B$5))</f>
        <v>2.3528587934596133E-2</v>
      </c>
    </row>
    <row r="11" spans="1:13" x14ac:dyDescent="0.2">
      <c r="A11" s="32">
        <v>13</v>
      </c>
      <c r="B11" s="34">
        <f>$C79*1/(9+Rules!$B$5)*(9/(9+Rules!$B$5))</f>
        <v>4.4116102377367745E-3</v>
      </c>
      <c r="C11" s="34">
        <f>$C79*1/(9+Rules!$B$5)</f>
        <v>6.3723258989531193E-3</v>
      </c>
      <c r="D11" s="34">
        <f>$C79*1/(9+Rules!$B$5)</f>
        <v>6.3723258989531193E-3</v>
      </c>
      <c r="E11" s="34">
        <f>$C79*1/(9+Rules!$B$5)</f>
        <v>6.3723258989531193E-3</v>
      </c>
      <c r="F11" s="34">
        <f>$C79*1/(9+Rules!$B$5)</f>
        <v>6.3723258989531193E-3</v>
      </c>
      <c r="G11" s="34">
        <f>$C79*1/(9+Rules!$B$5)</f>
        <v>6.3723258989531193E-3</v>
      </c>
      <c r="H11" s="34">
        <f>$C79*1/(9+Rules!$B$5)</f>
        <v>6.3723258989531193E-3</v>
      </c>
      <c r="I11" s="34">
        <f>$C79*1/(9+Rules!$B$5)</f>
        <v>6.3723258989531193E-3</v>
      </c>
      <c r="J11" s="34">
        <f>$C79*1/(9+Rules!$B$5)</f>
        <v>6.3723258989531193E-3</v>
      </c>
      <c r="K11" s="34">
        <f>$C79*Rules!$B$5/(9+Rules!$B$5)*((9+Rules!$B$5-1)/(9+Rules!$B$5))</f>
        <v>2.3528587934596133E-2</v>
      </c>
    </row>
    <row r="12" spans="1:13" x14ac:dyDescent="0.2">
      <c r="A12" s="32">
        <v>14</v>
      </c>
      <c r="B12" s="34">
        <f>$C80*1/(9+Rules!$B$5)*(9/(9+Rules!$B$5))</f>
        <v>3.781380203774378E-3</v>
      </c>
      <c r="C12" s="34">
        <f>$C80*1/(9+Rules!$B$5)</f>
        <v>5.461993627674102E-3</v>
      </c>
      <c r="D12" s="34">
        <f>$C80*1/(9+Rules!$B$5)</f>
        <v>5.461993627674102E-3</v>
      </c>
      <c r="E12" s="34">
        <f>$C80*1/(9+Rules!$B$5)</f>
        <v>5.461993627674102E-3</v>
      </c>
      <c r="F12" s="34">
        <f>$C80*1/(9+Rules!$B$5)</f>
        <v>5.461993627674102E-3</v>
      </c>
      <c r="G12" s="34">
        <f>$C80*1/(9+Rules!$B$5)</f>
        <v>5.461993627674102E-3</v>
      </c>
      <c r="H12" s="34">
        <f>$C80*1/(9+Rules!$B$5)</f>
        <v>5.461993627674102E-3</v>
      </c>
      <c r="I12" s="34">
        <f>$C80*1/(9+Rules!$B$5)</f>
        <v>5.461993627674102E-3</v>
      </c>
      <c r="J12" s="34">
        <f>$C80*1/(9+Rules!$B$5)</f>
        <v>5.461993627674102E-3</v>
      </c>
      <c r="K12" s="34">
        <f>$C80*Rules!$B$5/(9+Rules!$B$5)*((9+Rules!$B$5-1)/(9+Rules!$B$5))</f>
        <v>2.0167361086796686E-2</v>
      </c>
    </row>
    <row r="13" spans="1:13" x14ac:dyDescent="0.2">
      <c r="A13" s="32">
        <v>15</v>
      </c>
      <c r="B13" s="34">
        <f>$C81*1/(9+Rules!$B$5)*(9/(9+Rules!$B$5))</f>
        <v>3.781380203774378E-3</v>
      </c>
      <c r="C13" s="34">
        <f>$C81*1/(9+Rules!$B$5)</f>
        <v>5.461993627674102E-3</v>
      </c>
      <c r="D13" s="34">
        <f>$C81*1/(9+Rules!$B$5)</f>
        <v>5.461993627674102E-3</v>
      </c>
      <c r="E13" s="34">
        <f>$C81*1/(9+Rules!$B$5)</f>
        <v>5.461993627674102E-3</v>
      </c>
      <c r="F13" s="34">
        <f>$C81*1/(9+Rules!$B$5)</f>
        <v>5.461993627674102E-3</v>
      </c>
      <c r="G13" s="34">
        <f>$C81*1/(9+Rules!$B$5)</f>
        <v>5.461993627674102E-3</v>
      </c>
      <c r="H13" s="34">
        <f>$C81*1/(9+Rules!$B$5)</f>
        <v>5.461993627674102E-3</v>
      </c>
      <c r="I13" s="34">
        <f>$C81*1/(9+Rules!$B$5)</f>
        <v>5.461993627674102E-3</v>
      </c>
      <c r="J13" s="34">
        <f>$C81*1/(9+Rules!$B$5)</f>
        <v>5.461993627674102E-3</v>
      </c>
      <c r="K13" s="34">
        <f>$C81*Rules!$B$5/(9+Rules!$B$5)*((9+Rules!$B$5-1)/(9+Rules!$B$5))</f>
        <v>2.0167361086796686E-2</v>
      </c>
    </row>
    <row r="14" spans="1:13" x14ac:dyDescent="0.2">
      <c r="A14" s="32">
        <v>16</v>
      </c>
      <c r="B14" s="34">
        <f>$C82*1/(9+Rules!$B$5)*(9/(9+Rules!$B$5))</f>
        <v>3.1511501698119814E-3</v>
      </c>
      <c r="C14" s="34">
        <f>$C82*1/(9+Rules!$B$5)</f>
        <v>4.5516613563950847E-3</v>
      </c>
      <c r="D14" s="34">
        <f>$C82*1/(9+Rules!$B$5)</f>
        <v>4.5516613563950847E-3</v>
      </c>
      <c r="E14" s="34">
        <f>$C82*1/(9+Rules!$B$5)</f>
        <v>4.5516613563950847E-3</v>
      </c>
      <c r="F14" s="34">
        <f>$C82*1/(9+Rules!$B$5)</f>
        <v>4.5516613563950847E-3</v>
      </c>
      <c r="G14" s="34">
        <f>$C82*1/(9+Rules!$B$5)</f>
        <v>4.5516613563950847E-3</v>
      </c>
      <c r="H14" s="34">
        <f>$C82*1/(9+Rules!$B$5)</f>
        <v>4.5516613563950847E-3</v>
      </c>
      <c r="I14" s="34">
        <f>$C82*1/(9+Rules!$B$5)</f>
        <v>4.5516613563950847E-3</v>
      </c>
      <c r="J14" s="34">
        <f>$C82*1/(9+Rules!$B$5)</f>
        <v>4.5516613563950847E-3</v>
      </c>
      <c r="K14" s="34">
        <f>$C82*Rules!$B$5/(9+Rules!$B$5)*((9+Rules!$B$5-1)/(9+Rules!$B$5))</f>
        <v>1.6806134238997236E-2</v>
      </c>
      <c r="M14" s="137"/>
    </row>
    <row r="15" spans="1:13" x14ac:dyDescent="0.2">
      <c r="A15" s="32">
        <v>17</v>
      </c>
      <c r="B15" s="34">
        <f>$C83*1/(9+Rules!$B$5)*(9/(9+Rules!$B$5))</f>
        <v>3.1511501698119814E-3</v>
      </c>
      <c r="C15" s="34">
        <f>$C83*1/(9+Rules!$B$5)</f>
        <v>4.5516613563950847E-3</v>
      </c>
      <c r="D15" s="34">
        <f>$C83*1/(9+Rules!$B$5)</f>
        <v>4.5516613563950847E-3</v>
      </c>
      <c r="E15" s="34">
        <f>$C83*1/(9+Rules!$B$5)</f>
        <v>4.5516613563950847E-3</v>
      </c>
      <c r="F15" s="34">
        <f>$C83*1/(9+Rules!$B$5)</f>
        <v>4.5516613563950847E-3</v>
      </c>
      <c r="G15" s="34">
        <f>$C83*1/(9+Rules!$B$5)</f>
        <v>4.5516613563950847E-3</v>
      </c>
      <c r="H15" s="34">
        <f>$C83*1/(9+Rules!$B$5)</f>
        <v>4.5516613563950847E-3</v>
      </c>
      <c r="I15" s="34">
        <f>$C83*1/(9+Rules!$B$5)</f>
        <v>4.5516613563950847E-3</v>
      </c>
      <c r="J15" s="34">
        <f>$C83*1/(9+Rules!$B$5)</f>
        <v>4.5516613563950847E-3</v>
      </c>
      <c r="K15" s="34">
        <f>$C83*Rules!$B$5/(9+Rules!$B$5)*((9+Rules!$B$5-1)/(9+Rules!$B$5))</f>
        <v>1.6806134238997236E-2</v>
      </c>
    </row>
    <row r="16" spans="1:13" x14ac:dyDescent="0.2">
      <c r="A16" s="32">
        <v>18</v>
      </c>
      <c r="B16" s="34">
        <f>$C84*1/(9+Rules!$B$5)*(9/(9+Rules!$B$5))</f>
        <v>2.5209201358495853E-3</v>
      </c>
      <c r="C16" s="34">
        <f>$C84*1/(9+Rules!$B$5)</f>
        <v>3.6413290851160678E-3</v>
      </c>
      <c r="D16" s="34">
        <f>$C84*1/(9+Rules!$B$5)</f>
        <v>3.6413290851160678E-3</v>
      </c>
      <c r="E16" s="34">
        <f>$C84*1/(9+Rules!$B$5)</f>
        <v>3.6413290851160678E-3</v>
      </c>
      <c r="F16" s="34">
        <f>$C84*1/(9+Rules!$B$5)</f>
        <v>3.6413290851160678E-3</v>
      </c>
      <c r="G16" s="34">
        <f>$C84*1/(9+Rules!$B$5)</f>
        <v>3.6413290851160678E-3</v>
      </c>
      <c r="H16" s="34">
        <f>$C84*1/(9+Rules!$B$5)</f>
        <v>3.6413290851160678E-3</v>
      </c>
      <c r="I16" s="34">
        <f>$C84*1/(9+Rules!$B$5)</f>
        <v>3.6413290851160678E-3</v>
      </c>
      <c r="J16" s="34">
        <f>$C84*1/(9+Rules!$B$5)</f>
        <v>3.6413290851160678E-3</v>
      </c>
      <c r="K16" s="34">
        <f>$C84*Rules!$B$5/(9+Rules!$B$5)*((9+Rules!$B$5-1)/(9+Rules!$B$5))</f>
        <v>1.344490739119779E-2</v>
      </c>
    </row>
    <row r="17" spans="1:13" x14ac:dyDescent="0.2">
      <c r="A17" s="32">
        <v>19</v>
      </c>
      <c r="B17" s="34">
        <f>$C85*1/(9+Rules!$B$5)*(9/(9+Rules!$B$5))</f>
        <v>2.5209201358495853E-3</v>
      </c>
      <c r="C17" s="34">
        <f>$C85*1/(9+Rules!$B$5)</f>
        <v>3.6413290851160678E-3</v>
      </c>
      <c r="D17" s="34">
        <f>$C85*1/(9+Rules!$B$5)</f>
        <v>3.6413290851160678E-3</v>
      </c>
      <c r="E17" s="34">
        <f>$C85*1/(9+Rules!$B$5)</f>
        <v>3.6413290851160678E-3</v>
      </c>
      <c r="F17" s="34">
        <f>$C85*1/(9+Rules!$B$5)</f>
        <v>3.6413290851160678E-3</v>
      </c>
      <c r="G17" s="34">
        <f>$C85*1/(9+Rules!$B$5)</f>
        <v>3.6413290851160678E-3</v>
      </c>
      <c r="H17" s="34">
        <f>$C85*1/(9+Rules!$B$5)</f>
        <v>3.6413290851160678E-3</v>
      </c>
      <c r="I17" s="34">
        <f>$C85*1/(9+Rules!$B$5)</f>
        <v>3.6413290851160678E-3</v>
      </c>
      <c r="J17" s="34">
        <f>$C85*1/(9+Rules!$B$5)</f>
        <v>3.6413290851160678E-3</v>
      </c>
      <c r="K17" s="34">
        <f>$C85*Rules!$B$5/(9+Rules!$B$5)*((9+Rules!$B$5-1)/(9+Rules!$B$5))</f>
        <v>1.344490739119779E-2</v>
      </c>
      <c r="M17" s="33">
        <f>SUM(B3:K17)</f>
        <v>0.67644690311963807</v>
      </c>
    </row>
    <row r="18" spans="1:13" x14ac:dyDescent="0.2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3" x14ac:dyDescent="0.2">
      <c r="A19" s="32">
        <v>13</v>
      </c>
      <c r="B19" s="34">
        <f>2*(1/(9+Rules!$B$5))^3*(9/(9+Rules!$B$5))</f>
        <v>6.3023003396239633E-4</v>
      </c>
      <c r="C19" s="34">
        <f>2*(1/(9+Rules!$B$5))^3</f>
        <v>9.1033227127901696E-4</v>
      </c>
      <c r="D19" s="34">
        <f>2*(1/(9+Rules!$B$5))^3</f>
        <v>9.1033227127901696E-4</v>
      </c>
      <c r="E19" s="34">
        <f>2*(1/(9+Rules!$B$5))^3</f>
        <v>9.1033227127901696E-4</v>
      </c>
      <c r="F19" s="34">
        <f>2*(1/(9+Rules!$B$5))^3</f>
        <v>9.1033227127901696E-4</v>
      </c>
      <c r="G19" s="34">
        <f>2*(1/(9+Rules!$B$5))^3</f>
        <v>9.1033227127901696E-4</v>
      </c>
      <c r="H19" s="34">
        <f>2*(1/(9+Rules!$B$5))^3</f>
        <v>9.1033227127901696E-4</v>
      </c>
      <c r="I19" s="34">
        <f>2*(1/(9+Rules!$B$5))^3</f>
        <v>9.1033227127901696E-4</v>
      </c>
      <c r="J19" s="34">
        <f>2*(1/(9+Rules!$B$5))^3</f>
        <v>9.1033227127901696E-4</v>
      </c>
      <c r="K19" s="34">
        <f>2*(1/(9+Rules!$B$5))^2*(Rules!$B$5/(9+Rules!$B$5))*((9+Rules!$B$5-1)/(9+Rules!$B$5))</f>
        <v>3.3612268477994475E-3</v>
      </c>
    </row>
    <row r="20" spans="1:13" x14ac:dyDescent="0.2">
      <c r="A20" s="32">
        <v>14</v>
      </c>
      <c r="B20" s="34">
        <f>2*(1/(9+Rules!$B$5))^3*(9/(9+Rules!$B$5))</f>
        <v>6.3023003396239633E-4</v>
      </c>
      <c r="C20" s="34">
        <f>2*(1/(9+Rules!$B$5))^3</f>
        <v>9.1033227127901696E-4</v>
      </c>
      <c r="D20" s="34">
        <f>2*(1/(9+Rules!$B$5))^3</f>
        <v>9.1033227127901696E-4</v>
      </c>
      <c r="E20" s="34">
        <f>2*(1/(9+Rules!$B$5))^3</f>
        <v>9.1033227127901696E-4</v>
      </c>
      <c r="F20" s="34">
        <f>2*(1/(9+Rules!$B$5))^3</f>
        <v>9.1033227127901696E-4</v>
      </c>
      <c r="G20" s="34">
        <f>2*(1/(9+Rules!$B$5))^3</f>
        <v>9.1033227127901696E-4</v>
      </c>
      <c r="H20" s="34">
        <f>2*(1/(9+Rules!$B$5))^3</f>
        <v>9.1033227127901696E-4</v>
      </c>
      <c r="I20" s="34">
        <f>2*(1/(9+Rules!$B$5))^3</f>
        <v>9.1033227127901696E-4</v>
      </c>
      <c r="J20" s="34">
        <f>2*(1/(9+Rules!$B$5))^3</f>
        <v>9.1033227127901696E-4</v>
      </c>
      <c r="K20" s="34">
        <f>2*(1/(9+Rules!$B$5))^2*(Rules!$B$5/(9+Rules!$B$5))*((9+Rules!$B$5-1)/(9+Rules!$B$5))</f>
        <v>3.3612268477994475E-3</v>
      </c>
    </row>
    <row r="21" spans="1:13" x14ac:dyDescent="0.2">
      <c r="A21" s="32">
        <v>15</v>
      </c>
      <c r="B21" s="34">
        <f>2*(1/(9+Rules!$B$5))^3*(9/(9+Rules!$B$5))</f>
        <v>6.3023003396239633E-4</v>
      </c>
      <c r="C21" s="34">
        <f>2*(1/(9+Rules!$B$5))^3</f>
        <v>9.1033227127901696E-4</v>
      </c>
      <c r="D21" s="34">
        <f>2*(1/(9+Rules!$B$5))^3</f>
        <v>9.1033227127901696E-4</v>
      </c>
      <c r="E21" s="34">
        <f>2*(1/(9+Rules!$B$5))^3</f>
        <v>9.1033227127901696E-4</v>
      </c>
      <c r="F21" s="34">
        <f>2*(1/(9+Rules!$B$5))^3</f>
        <v>9.1033227127901696E-4</v>
      </c>
      <c r="G21" s="34">
        <f>2*(1/(9+Rules!$B$5))^3</f>
        <v>9.1033227127901696E-4</v>
      </c>
      <c r="H21" s="34">
        <f>2*(1/(9+Rules!$B$5))^3</f>
        <v>9.1033227127901696E-4</v>
      </c>
      <c r="I21" s="34">
        <f>2*(1/(9+Rules!$B$5))^3</f>
        <v>9.1033227127901696E-4</v>
      </c>
      <c r="J21" s="34">
        <f>2*(1/(9+Rules!$B$5))^3</f>
        <v>9.1033227127901696E-4</v>
      </c>
      <c r="K21" s="34">
        <f>2*(1/(9+Rules!$B$5))^2*(Rules!$B$5/(9+Rules!$B$5))*((9+Rules!$B$5-1)/(9+Rules!$B$5))</f>
        <v>3.3612268477994475E-3</v>
      </c>
    </row>
    <row r="22" spans="1:13" x14ac:dyDescent="0.2">
      <c r="A22" s="32">
        <v>16</v>
      </c>
      <c r="B22" s="34">
        <f>2*(1/(9+Rules!$B$5))^3*(9/(9+Rules!$B$5))</f>
        <v>6.3023003396239633E-4</v>
      </c>
      <c r="C22" s="34">
        <f>2*(1/(9+Rules!$B$5))^3</f>
        <v>9.1033227127901696E-4</v>
      </c>
      <c r="D22" s="34">
        <f>2*(1/(9+Rules!$B$5))^3</f>
        <v>9.1033227127901696E-4</v>
      </c>
      <c r="E22" s="34">
        <f>2*(1/(9+Rules!$B$5))^3</f>
        <v>9.1033227127901696E-4</v>
      </c>
      <c r="F22" s="34">
        <f>2*(1/(9+Rules!$B$5))^3</f>
        <v>9.1033227127901696E-4</v>
      </c>
      <c r="G22" s="34">
        <f>2*(1/(9+Rules!$B$5))^3</f>
        <v>9.1033227127901696E-4</v>
      </c>
      <c r="H22" s="34">
        <f>2*(1/(9+Rules!$B$5))^3</f>
        <v>9.1033227127901696E-4</v>
      </c>
      <c r="I22" s="34">
        <f>2*(1/(9+Rules!$B$5))^3</f>
        <v>9.1033227127901696E-4</v>
      </c>
      <c r="J22" s="34">
        <f>2*(1/(9+Rules!$B$5))^3</f>
        <v>9.1033227127901696E-4</v>
      </c>
      <c r="K22" s="34">
        <f>2*(1/(9+Rules!$B$5))^2*(Rules!$B$5/(9+Rules!$B$5))*((9+Rules!$B$5-1)/(9+Rules!$B$5))</f>
        <v>3.3612268477994475E-3</v>
      </c>
    </row>
    <row r="23" spans="1:13" x14ac:dyDescent="0.2">
      <c r="A23" s="32">
        <v>17</v>
      </c>
      <c r="B23" s="34">
        <f>2*(1/(9+Rules!$B$5))^3*(9/(9+Rules!$B$5))</f>
        <v>6.3023003396239633E-4</v>
      </c>
      <c r="C23" s="34">
        <f>2*(1/(9+Rules!$B$5))^3</f>
        <v>9.1033227127901696E-4</v>
      </c>
      <c r="D23" s="34">
        <f>2*(1/(9+Rules!$B$5))^3</f>
        <v>9.1033227127901696E-4</v>
      </c>
      <c r="E23" s="34">
        <f>2*(1/(9+Rules!$B$5))^3</f>
        <v>9.1033227127901696E-4</v>
      </c>
      <c r="F23" s="34">
        <f>2*(1/(9+Rules!$B$5))^3</f>
        <v>9.1033227127901696E-4</v>
      </c>
      <c r="G23" s="34">
        <f>2*(1/(9+Rules!$B$5))^3</f>
        <v>9.1033227127901696E-4</v>
      </c>
      <c r="H23" s="34">
        <f>2*(1/(9+Rules!$B$5))^3</f>
        <v>9.1033227127901696E-4</v>
      </c>
      <c r="I23" s="34">
        <f>2*(1/(9+Rules!$B$5))^3</f>
        <v>9.1033227127901696E-4</v>
      </c>
      <c r="J23" s="34">
        <f>2*(1/(9+Rules!$B$5))^3</f>
        <v>9.1033227127901696E-4</v>
      </c>
      <c r="K23" s="34">
        <f>2*(1/(9+Rules!$B$5))^2*(Rules!$B$5/(9+Rules!$B$5))*((9+Rules!$B$5-1)/(9+Rules!$B$5))</f>
        <v>3.3612268477994475E-3</v>
      </c>
    </row>
    <row r="24" spans="1:13" x14ac:dyDescent="0.2">
      <c r="A24" s="32">
        <v>18</v>
      </c>
      <c r="B24" s="34">
        <f>2*(1/(9+Rules!$B$5))^3*(9/(9+Rules!$B$5))</f>
        <v>6.3023003396239633E-4</v>
      </c>
      <c r="C24" s="34">
        <f>2*(1/(9+Rules!$B$5))^3</f>
        <v>9.1033227127901696E-4</v>
      </c>
      <c r="D24" s="34">
        <f>2*(1/(9+Rules!$B$5))^3</f>
        <v>9.1033227127901696E-4</v>
      </c>
      <c r="E24" s="34">
        <f>2*(1/(9+Rules!$B$5))^3</f>
        <v>9.1033227127901696E-4</v>
      </c>
      <c r="F24" s="34">
        <f>2*(1/(9+Rules!$B$5))^3</f>
        <v>9.1033227127901696E-4</v>
      </c>
      <c r="G24" s="34">
        <f>2*(1/(9+Rules!$B$5))^3</f>
        <v>9.1033227127901696E-4</v>
      </c>
      <c r="H24" s="34">
        <f>2*(1/(9+Rules!$B$5))^3</f>
        <v>9.1033227127901696E-4</v>
      </c>
      <c r="I24" s="34">
        <f>2*(1/(9+Rules!$B$5))^3</f>
        <v>9.1033227127901696E-4</v>
      </c>
      <c r="J24" s="34">
        <f>2*(1/(9+Rules!$B$5))^3</f>
        <v>9.1033227127901696E-4</v>
      </c>
      <c r="K24" s="34">
        <f>2*(1/(9+Rules!$B$5))^2*(Rules!$B$5/(9+Rules!$B$5))*((9+Rules!$B$5-1)/(9+Rules!$B$5))</f>
        <v>3.3612268477994475E-3</v>
      </c>
    </row>
    <row r="25" spans="1:13" x14ac:dyDescent="0.2">
      <c r="A25" s="32">
        <v>19</v>
      </c>
      <c r="B25" s="34">
        <f>2*(1/(9+Rules!$B$5))^3*(9/(9+Rules!$B$5))</f>
        <v>6.3023003396239633E-4</v>
      </c>
      <c r="C25" s="34">
        <f>2*(1/(9+Rules!$B$5))^3</f>
        <v>9.1033227127901696E-4</v>
      </c>
      <c r="D25" s="34">
        <f>2*(1/(9+Rules!$B$5))^3</f>
        <v>9.1033227127901696E-4</v>
      </c>
      <c r="E25" s="34">
        <f>2*(1/(9+Rules!$B$5))^3</f>
        <v>9.1033227127901696E-4</v>
      </c>
      <c r="F25" s="34">
        <f>2*(1/(9+Rules!$B$5))^3</f>
        <v>9.1033227127901696E-4</v>
      </c>
      <c r="G25" s="34">
        <f>2*(1/(9+Rules!$B$5))^3</f>
        <v>9.1033227127901696E-4</v>
      </c>
      <c r="H25" s="34">
        <f>2*(1/(9+Rules!$B$5))^3</f>
        <v>9.1033227127901696E-4</v>
      </c>
      <c r="I25" s="34">
        <f>2*(1/(9+Rules!$B$5))^3</f>
        <v>9.1033227127901696E-4</v>
      </c>
      <c r="J25" s="34">
        <f>2*(1/(9+Rules!$B$5))^3</f>
        <v>9.1033227127901696E-4</v>
      </c>
      <c r="K25" s="34">
        <f>2*(1/(9+Rules!$B$5))^2*(Rules!$B$5/(9+Rules!$B$5))*((9+Rules!$B$5-1)/(9+Rules!$B$5))</f>
        <v>3.3612268477994475E-3</v>
      </c>
    </row>
    <row r="26" spans="1:13" x14ac:dyDescent="0.2">
      <c r="A26" s="32">
        <v>20</v>
      </c>
      <c r="B26" s="34">
        <f>2*(1/(9+Rules!$B$5))^3*(9/(9+Rules!$B$5))</f>
        <v>6.3023003396239633E-4</v>
      </c>
      <c r="C26" s="34">
        <f>2*(1/(9+Rules!$B$5))^3</f>
        <v>9.1033227127901696E-4</v>
      </c>
      <c r="D26" s="34">
        <f>2*(1/(9+Rules!$B$5))^3</f>
        <v>9.1033227127901696E-4</v>
      </c>
      <c r="E26" s="34">
        <f>2*(1/(9+Rules!$B$5))^3</f>
        <v>9.1033227127901696E-4</v>
      </c>
      <c r="F26" s="34">
        <f>2*(1/(9+Rules!$B$5))^3</f>
        <v>9.1033227127901696E-4</v>
      </c>
      <c r="G26" s="34">
        <f>2*(1/(9+Rules!$B$5))^3</f>
        <v>9.1033227127901696E-4</v>
      </c>
      <c r="H26" s="34">
        <f>2*(1/(9+Rules!$B$5))^3</f>
        <v>9.1033227127901696E-4</v>
      </c>
      <c r="I26" s="34">
        <f>2*(1/(9+Rules!$B$5))^3</f>
        <v>9.1033227127901696E-4</v>
      </c>
      <c r="J26" s="34">
        <f>2*(1/(9+Rules!$B$5))^3</f>
        <v>9.1033227127901696E-4</v>
      </c>
      <c r="K26" s="34">
        <f>2*(1/(9+Rules!$B$5))^2*(Rules!$B$5/(9+Rules!$B$5))*((9+Rules!$B$5-1)/(9+Rules!$B$5))</f>
        <v>3.3612268477994475E-3</v>
      </c>
    </row>
    <row r="27" spans="1:13" x14ac:dyDescent="0.2">
      <c r="A27" s="32">
        <v>21</v>
      </c>
      <c r="B27" s="34">
        <f>2*(1/(9+Rules!$B$5))^2*(Rules!$B$5/(9+Rules!$B$5))*(9/(9+Rules!$B$5))</f>
        <v>2.5209201358495853E-3</v>
      </c>
      <c r="C27" s="34">
        <f>2*(1/(9+Rules!$B$5))^2*(Rules!$B$5/(9+Rules!$B$5))</f>
        <v>3.6413290851160678E-3</v>
      </c>
      <c r="D27" s="34">
        <f>2*(1/(9+Rules!$B$5))^2*(Rules!$B$5/(9+Rules!$B$5))</f>
        <v>3.6413290851160678E-3</v>
      </c>
      <c r="E27" s="34">
        <f>2*(1/(9+Rules!$B$5))^2*(Rules!$B$5/(9+Rules!$B$5))</f>
        <v>3.6413290851160678E-3</v>
      </c>
      <c r="F27" s="34">
        <f>2*(1/(9+Rules!$B$5))^2*(Rules!$B$5/(9+Rules!$B$5))</f>
        <v>3.6413290851160678E-3</v>
      </c>
      <c r="G27" s="34">
        <f>2*(1/(9+Rules!$B$5))^2*(Rules!$B$5/(9+Rules!$B$5))</f>
        <v>3.6413290851160678E-3</v>
      </c>
      <c r="H27" s="34">
        <f>2*(1/(9+Rules!$B$5))^2*(Rules!$B$5/(9+Rules!$B$5))</f>
        <v>3.6413290851160678E-3</v>
      </c>
      <c r="I27" s="34">
        <f>2*(1/(9+Rules!$B$5))^2*(Rules!$B$5/(9+Rules!$B$5))</f>
        <v>3.6413290851160678E-3</v>
      </c>
      <c r="J27" s="34">
        <f>2*(1/(9+Rules!$B$5))^2*(Rules!$B$5/(9+Rules!$B$5))</f>
        <v>3.6413290851160678E-3</v>
      </c>
      <c r="K27" s="34">
        <f>2*(Rules!$B$5/(9+Rules!$B$5))^2*(1/(9+Rules!$B$5))*((9+Rules!$B$5-1)/(9+Rules!$B$5))</f>
        <v>1.344490739119779E-2</v>
      </c>
      <c r="M27" s="33">
        <f>SUM(B19:K27)</f>
        <v>0.13528938062392776</v>
      </c>
    </row>
    <row r="28" spans="1:13" x14ac:dyDescent="0.2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3" x14ac:dyDescent="0.2">
      <c r="A29" s="32" t="s">
        <v>1</v>
      </c>
      <c r="B29" s="34">
        <f>(1/(9+Rules!$B$5))^3*(9/(9+Rules!$B$5))</f>
        <v>3.1511501698119817E-4</v>
      </c>
      <c r="C29" s="34">
        <f>(1/(9+Rules!$B$5))^3</f>
        <v>4.5516613563950848E-4</v>
      </c>
      <c r="D29" s="34">
        <f>(1/(9+Rules!$B$5))^3</f>
        <v>4.5516613563950848E-4</v>
      </c>
      <c r="E29" s="34">
        <f>(1/(9+Rules!$B$5))^3</f>
        <v>4.5516613563950848E-4</v>
      </c>
      <c r="F29" s="34">
        <f>(1/(9+Rules!$B$5))^3</f>
        <v>4.5516613563950848E-4</v>
      </c>
      <c r="G29" s="34">
        <f>(1/(9+Rules!$B$5))^3</f>
        <v>4.5516613563950848E-4</v>
      </c>
      <c r="H29" s="34">
        <f>(1/(9+Rules!$B$5))^3</f>
        <v>4.5516613563950848E-4</v>
      </c>
      <c r="I29" s="34">
        <f>(1/(9+Rules!$B$5))^3</f>
        <v>4.5516613563950848E-4</v>
      </c>
      <c r="J29" s="34">
        <f>(1/(9+Rules!$B$5))^3</f>
        <v>4.5516613563950848E-4</v>
      </c>
      <c r="K29" s="34">
        <f>(1/(9+Rules!$B$5))^2*(Rules!$B$5/(9+Rules!$B$5))*((9+Rules!$B$5-1)/(9+Rules!$B$5))</f>
        <v>1.6806134238997238E-3</v>
      </c>
    </row>
    <row r="30" spans="1:13" x14ac:dyDescent="0.2">
      <c r="A30" s="32">
        <v>2</v>
      </c>
      <c r="B30" s="34">
        <f>(1/(9+Rules!$B$5))^3*(9/(9+Rules!$B$5))</f>
        <v>3.1511501698119817E-4</v>
      </c>
      <c r="C30" s="34">
        <f>(1/(9+Rules!$B$5))^3</f>
        <v>4.5516613563950848E-4</v>
      </c>
      <c r="D30" s="34">
        <f>(1/(9+Rules!$B$5))^3</f>
        <v>4.5516613563950848E-4</v>
      </c>
      <c r="E30" s="34">
        <f>(1/(9+Rules!$B$5))^3</f>
        <v>4.5516613563950848E-4</v>
      </c>
      <c r="F30" s="34">
        <f>(1/(9+Rules!$B$5))^3</f>
        <v>4.5516613563950848E-4</v>
      </c>
      <c r="G30" s="34">
        <f>(1/(9+Rules!$B$5))^3</f>
        <v>4.5516613563950848E-4</v>
      </c>
      <c r="H30" s="34">
        <f>(1/(9+Rules!$B$5))^3</f>
        <v>4.5516613563950848E-4</v>
      </c>
      <c r="I30" s="34">
        <f>(1/(9+Rules!$B$5))^3</f>
        <v>4.5516613563950848E-4</v>
      </c>
      <c r="J30" s="34">
        <f>(1/(9+Rules!$B$5))^3</f>
        <v>4.5516613563950848E-4</v>
      </c>
      <c r="K30" s="34">
        <f>(1/(9+Rules!$B$5))^2*(Rules!$B$5/(9+Rules!$B$5))*((9+Rules!$B$5-1)/(9+Rules!$B$5))</f>
        <v>1.6806134238997238E-3</v>
      </c>
    </row>
    <row r="31" spans="1:13" x14ac:dyDescent="0.2">
      <c r="A31" s="32">
        <v>3</v>
      </c>
      <c r="B31" s="34">
        <f>(1/(9+Rules!$B$5))^3*(9/(9+Rules!$B$5))</f>
        <v>3.1511501698119817E-4</v>
      </c>
      <c r="C31" s="34">
        <f>(1/(9+Rules!$B$5))^3</f>
        <v>4.5516613563950848E-4</v>
      </c>
      <c r="D31" s="34">
        <f>(1/(9+Rules!$B$5))^3</f>
        <v>4.5516613563950848E-4</v>
      </c>
      <c r="E31" s="34">
        <f>(1/(9+Rules!$B$5))^3</f>
        <v>4.5516613563950848E-4</v>
      </c>
      <c r="F31" s="34">
        <f>(1/(9+Rules!$B$5))^3</f>
        <v>4.5516613563950848E-4</v>
      </c>
      <c r="G31" s="34">
        <f>(1/(9+Rules!$B$5))^3</f>
        <v>4.5516613563950848E-4</v>
      </c>
      <c r="H31" s="34">
        <f>(1/(9+Rules!$B$5))^3</f>
        <v>4.5516613563950848E-4</v>
      </c>
      <c r="I31" s="34">
        <f>(1/(9+Rules!$B$5))^3</f>
        <v>4.5516613563950848E-4</v>
      </c>
      <c r="J31" s="34">
        <f>(1/(9+Rules!$B$5))^3</f>
        <v>4.5516613563950848E-4</v>
      </c>
      <c r="K31" s="34">
        <f>(1/(9+Rules!$B$5))^2*(Rules!$B$5/(9+Rules!$B$5))*((9+Rules!$B$5-1)/(9+Rules!$B$5))</f>
        <v>1.6806134238997238E-3</v>
      </c>
    </row>
    <row r="32" spans="1:13" x14ac:dyDescent="0.2">
      <c r="A32" s="32">
        <v>4</v>
      </c>
      <c r="B32" s="34">
        <f>(1/(9+Rules!$B$5))^3*(9/(9+Rules!$B$5))</f>
        <v>3.1511501698119817E-4</v>
      </c>
      <c r="C32" s="34">
        <f>(1/(9+Rules!$B$5))^3</f>
        <v>4.5516613563950848E-4</v>
      </c>
      <c r="D32" s="34">
        <f>(1/(9+Rules!$B$5))^3</f>
        <v>4.5516613563950848E-4</v>
      </c>
      <c r="E32" s="34">
        <f>(1/(9+Rules!$B$5))^3</f>
        <v>4.5516613563950848E-4</v>
      </c>
      <c r="F32" s="34">
        <f>(1/(9+Rules!$B$5))^3</f>
        <v>4.5516613563950848E-4</v>
      </c>
      <c r="G32" s="34">
        <f>(1/(9+Rules!$B$5))^3</f>
        <v>4.5516613563950848E-4</v>
      </c>
      <c r="H32" s="34">
        <f>(1/(9+Rules!$B$5))^3</f>
        <v>4.5516613563950848E-4</v>
      </c>
      <c r="I32" s="34">
        <f>(1/(9+Rules!$B$5))^3</f>
        <v>4.5516613563950848E-4</v>
      </c>
      <c r="J32" s="34">
        <f>(1/(9+Rules!$B$5))^3</f>
        <v>4.5516613563950848E-4</v>
      </c>
      <c r="K32" s="34">
        <f>(1/(9+Rules!$B$5))^2*(Rules!$B$5/(9+Rules!$B$5))*((9+Rules!$B$5-1)/(9+Rules!$B$5))</f>
        <v>1.6806134238997238E-3</v>
      </c>
    </row>
    <row r="33" spans="1:13" x14ac:dyDescent="0.2">
      <c r="A33" s="32">
        <v>5</v>
      </c>
      <c r="B33" s="34">
        <f>(1/(9+Rules!$B$5))^3*(9/(9+Rules!$B$5))</f>
        <v>3.1511501698119817E-4</v>
      </c>
      <c r="C33" s="34">
        <f>(1/(9+Rules!$B$5))^3</f>
        <v>4.5516613563950848E-4</v>
      </c>
      <c r="D33" s="34">
        <f>(1/(9+Rules!$B$5))^3</f>
        <v>4.5516613563950848E-4</v>
      </c>
      <c r="E33" s="34">
        <f>(1/(9+Rules!$B$5))^3</f>
        <v>4.5516613563950848E-4</v>
      </c>
      <c r="F33" s="34">
        <f>(1/(9+Rules!$B$5))^3</f>
        <v>4.5516613563950848E-4</v>
      </c>
      <c r="G33" s="34">
        <f>(1/(9+Rules!$B$5))^3</f>
        <v>4.5516613563950848E-4</v>
      </c>
      <c r="H33" s="34">
        <f>(1/(9+Rules!$B$5))^3</f>
        <v>4.5516613563950848E-4</v>
      </c>
      <c r="I33" s="34">
        <f>(1/(9+Rules!$B$5))^3</f>
        <v>4.5516613563950848E-4</v>
      </c>
      <c r="J33" s="34">
        <f>(1/(9+Rules!$B$5))^3</f>
        <v>4.5516613563950848E-4</v>
      </c>
      <c r="K33" s="34">
        <f>(1/(9+Rules!$B$5))^2*(Rules!$B$5/(9+Rules!$B$5))*((9+Rules!$B$5-1)/(9+Rules!$B$5))</f>
        <v>1.6806134238997238E-3</v>
      </c>
    </row>
    <row r="34" spans="1:13" x14ac:dyDescent="0.2">
      <c r="A34" s="32">
        <v>6</v>
      </c>
      <c r="B34" s="34">
        <f>(1/(9+Rules!$B$5))^3*(9/(9+Rules!$B$5))</f>
        <v>3.1511501698119817E-4</v>
      </c>
      <c r="C34" s="34">
        <f>(1/(9+Rules!$B$5))^3</f>
        <v>4.5516613563950848E-4</v>
      </c>
      <c r="D34" s="34">
        <f>(1/(9+Rules!$B$5))^3</f>
        <v>4.5516613563950848E-4</v>
      </c>
      <c r="E34" s="34">
        <f>(1/(9+Rules!$B$5))^3</f>
        <v>4.5516613563950848E-4</v>
      </c>
      <c r="F34" s="34">
        <f>(1/(9+Rules!$B$5))^3</f>
        <v>4.5516613563950848E-4</v>
      </c>
      <c r="G34" s="34">
        <f>(1/(9+Rules!$B$5))^3</f>
        <v>4.5516613563950848E-4</v>
      </c>
      <c r="H34" s="34">
        <f>(1/(9+Rules!$B$5))^3</f>
        <v>4.5516613563950848E-4</v>
      </c>
      <c r="I34" s="34">
        <f>(1/(9+Rules!$B$5))^3</f>
        <v>4.5516613563950848E-4</v>
      </c>
      <c r="J34" s="34">
        <f>(1/(9+Rules!$B$5))^3</f>
        <v>4.5516613563950848E-4</v>
      </c>
      <c r="K34" s="34">
        <f>(1/(9+Rules!$B$5))^2*(Rules!$B$5/(9+Rules!$B$5))*((9+Rules!$B$5-1)/(9+Rules!$B$5))</f>
        <v>1.6806134238997238E-3</v>
      </c>
    </row>
    <row r="35" spans="1:13" x14ac:dyDescent="0.2">
      <c r="A35" s="32">
        <v>7</v>
      </c>
      <c r="B35" s="34">
        <f>(1/(9+Rules!$B$5))^3*(9/(9+Rules!$B$5))</f>
        <v>3.1511501698119817E-4</v>
      </c>
      <c r="C35" s="34">
        <f>(1/(9+Rules!$B$5))^3</f>
        <v>4.5516613563950848E-4</v>
      </c>
      <c r="D35" s="34">
        <f>(1/(9+Rules!$B$5))^3</f>
        <v>4.5516613563950848E-4</v>
      </c>
      <c r="E35" s="34">
        <f>(1/(9+Rules!$B$5))^3</f>
        <v>4.5516613563950848E-4</v>
      </c>
      <c r="F35" s="34">
        <f>(1/(9+Rules!$B$5))^3</f>
        <v>4.5516613563950848E-4</v>
      </c>
      <c r="G35" s="34">
        <f>(1/(9+Rules!$B$5))^3</f>
        <v>4.5516613563950848E-4</v>
      </c>
      <c r="H35" s="34">
        <f>(1/(9+Rules!$B$5))^3</f>
        <v>4.5516613563950848E-4</v>
      </c>
      <c r="I35" s="34">
        <f>(1/(9+Rules!$B$5))^3</f>
        <v>4.5516613563950848E-4</v>
      </c>
      <c r="J35" s="34">
        <f>(1/(9+Rules!$B$5))^3</f>
        <v>4.5516613563950848E-4</v>
      </c>
      <c r="K35" s="34">
        <f>(1/(9+Rules!$B$5))^2*(Rules!$B$5/(9+Rules!$B$5))*((9+Rules!$B$5-1)/(9+Rules!$B$5))</f>
        <v>1.6806134238997238E-3</v>
      </c>
    </row>
    <row r="36" spans="1:13" x14ac:dyDescent="0.2">
      <c r="A36" s="32">
        <v>8</v>
      </c>
      <c r="B36" s="34">
        <f>(1/(9+Rules!$B$5))^3*(9/(9+Rules!$B$5))</f>
        <v>3.1511501698119817E-4</v>
      </c>
      <c r="C36" s="34">
        <f>(1/(9+Rules!$B$5))^3</f>
        <v>4.5516613563950848E-4</v>
      </c>
      <c r="D36" s="34">
        <f>(1/(9+Rules!$B$5))^3</f>
        <v>4.5516613563950848E-4</v>
      </c>
      <c r="E36" s="34">
        <f>(1/(9+Rules!$B$5))^3</f>
        <v>4.5516613563950848E-4</v>
      </c>
      <c r="F36" s="34">
        <f>(1/(9+Rules!$B$5))^3</f>
        <v>4.5516613563950848E-4</v>
      </c>
      <c r="G36" s="34">
        <f>(1/(9+Rules!$B$5))^3</f>
        <v>4.5516613563950848E-4</v>
      </c>
      <c r="H36" s="34">
        <f>(1/(9+Rules!$B$5))^3</f>
        <v>4.5516613563950848E-4</v>
      </c>
      <c r="I36" s="34">
        <f>(1/(9+Rules!$B$5))^3</f>
        <v>4.5516613563950848E-4</v>
      </c>
      <c r="J36" s="34">
        <f>(1/(9+Rules!$B$5))^3</f>
        <v>4.5516613563950848E-4</v>
      </c>
      <c r="K36" s="34">
        <f>(1/(9+Rules!$B$5))^2*(Rules!$B$5/(9+Rules!$B$5))*((9+Rules!$B$5-1)/(9+Rules!$B$5))</f>
        <v>1.6806134238997238E-3</v>
      </c>
    </row>
    <row r="37" spans="1:13" x14ac:dyDescent="0.2">
      <c r="A37" s="32">
        <v>9</v>
      </c>
      <c r="B37" s="34">
        <f>(1/(9+Rules!$B$5))^3*(9/(9+Rules!$B$5))</f>
        <v>3.1511501698119817E-4</v>
      </c>
      <c r="C37" s="34">
        <f>(1/(9+Rules!$B$5))^3</f>
        <v>4.5516613563950848E-4</v>
      </c>
      <c r="D37" s="34">
        <f>(1/(9+Rules!$B$5))^3</f>
        <v>4.5516613563950848E-4</v>
      </c>
      <c r="E37" s="34">
        <f>(1/(9+Rules!$B$5))^3</f>
        <v>4.5516613563950848E-4</v>
      </c>
      <c r="F37" s="34">
        <f>(1/(9+Rules!$B$5))^3</f>
        <v>4.5516613563950848E-4</v>
      </c>
      <c r="G37" s="34">
        <f>(1/(9+Rules!$B$5))^3</f>
        <v>4.5516613563950848E-4</v>
      </c>
      <c r="H37" s="34">
        <f>(1/(9+Rules!$B$5))^3</f>
        <v>4.5516613563950848E-4</v>
      </c>
      <c r="I37" s="34">
        <f>(1/(9+Rules!$B$5))^3</f>
        <v>4.5516613563950848E-4</v>
      </c>
      <c r="J37" s="34">
        <f>(1/(9+Rules!$B$5))^3</f>
        <v>4.5516613563950848E-4</v>
      </c>
      <c r="K37" s="34">
        <f>(1/(9+Rules!$B$5))^2*(Rules!$B$5/(9+Rules!$B$5))*((9+Rules!$B$5-1)/(9+Rules!$B$5))</f>
        <v>1.6806134238997238E-3</v>
      </c>
    </row>
    <row r="38" spans="1:13" x14ac:dyDescent="0.2">
      <c r="A38" s="32">
        <v>10</v>
      </c>
      <c r="B38" s="34">
        <f>(Rules!$B$5/(9+Rules!$B$5))^2*(1/(9+Rules!$B$5))*(9/(9+Rules!$B$5))</f>
        <v>5.0418402716991707E-3</v>
      </c>
      <c r="C38" s="34">
        <f>(Rules!$B$5/(9+Rules!$B$5))^2*(1/(9+Rules!$B$5))</f>
        <v>7.2826581702321357E-3</v>
      </c>
      <c r="D38" s="34">
        <f>(Rules!$B$5/(9+Rules!$B$5))^2*(1/(9+Rules!$B$5))</f>
        <v>7.2826581702321357E-3</v>
      </c>
      <c r="E38" s="34">
        <f>(Rules!$B$5/(9+Rules!$B$5))^2*(1/(9+Rules!$B$5))</f>
        <v>7.2826581702321357E-3</v>
      </c>
      <c r="F38" s="34">
        <f>(Rules!$B$5/(9+Rules!$B$5))^2*(1/(9+Rules!$B$5))</f>
        <v>7.2826581702321357E-3</v>
      </c>
      <c r="G38" s="34">
        <f>(Rules!$B$5/(9+Rules!$B$5))^2*(1/(9+Rules!$B$5))</f>
        <v>7.2826581702321357E-3</v>
      </c>
      <c r="H38" s="34">
        <f>(Rules!$B$5/(9+Rules!$B$5))^2*(1/(9+Rules!$B$5))</f>
        <v>7.2826581702321357E-3</v>
      </c>
      <c r="I38" s="34">
        <f>(Rules!$B$5/(9+Rules!$B$5))^2*(1/(9+Rules!$B$5))</f>
        <v>7.2826581702321357E-3</v>
      </c>
      <c r="J38" s="34">
        <f>(Rules!$B$5/(9+Rules!$B$5))^2*(1/(9+Rules!$B$5))</f>
        <v>7.2826581702321357E-3</v>
      </c>
      <c r="K38" s="34">
        <f>(Rules!$B$5/(9+Rules!$B$5))^3*((9+Rules!$B$5-1)/(9+Rules!$B$5))</f>
        <v>2.688981478239558E-2</v>
      </c>
      <c r="M38" s="33">
        <f>SUM(B29:K38)</f>
        <v>0.1409264381499247</v>
      </c>
    </row>
    <row r="39" spans="1:13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3" x14ac:dyDescent="0.2">
      <c r="A40" s="37" t="s">
        <v>11</v>
      </c>
      <c r="B40" s="38"/>
      <c r="C40" s="39">
        <f>2*(1/(9+Rules!$B$5))*(Rules!$B$5/(9+Rules!$B$5))</f>
        <v>4.7337278106508882E-2</v>
      </c>
      <c r="M40" s="33">
        <f>SUM(B3:K17,B19:K27,B29:K38)</f>
        <v>0.95266272189349366</v>
      </c>
    </row>
    <row r="41" spans="1:13" x14ac:dyDescent="0.2">
      <c r="M41" s="33">
        <f>M40+C40</f>
        <v>1.0000000000000024</v>
      </c>
    </row>
    <row r="43" spans="1:13" x14ac:dyDescent="0.2">
      <c r="C43" s="36" t="s">
        <v>12</v>
      </c>
    </row>
    <row r="44" spans="1:13" x14ac:dyDescent="0.2">
      <c r="A44" s="40" t="s">
        <v>13</v>
      </c>
      <c r="B44" s="40"/>
      <c r="C44" s="40">
        <v>2</v>
      </c>
      <c r="D44" s="40">
        <v>3</v>
      </c>
      <c r="E44" s="40">
        <v>4</v>
      </c>
      <c r="F44" s="40">
        <v>5</v>
      </c>
      <c r="G44" s="40">
        <v>6</v>
      </c>
      <c r="H44" s="40">
        <v>7</v>
      </c>
      <c r="I44" s="40">
        <v>8</v>
      </c>
      <c r="J44" s="40">
        <v>9</v>
      </c>
      <c r="K44" s="40">
        <v>10</v>
      </c>
    </row>
    <row r="45" spans="1:13" x14ac:dyDescent="0.2">
      <c r="A45" s="40">
        <v>2</v>
      </c>
      <c r="B45" s="40"/>
      <c r="D45" s="33">
        <f t="shared" ref="D45:K47" si="0">SUM(D$44,$A45)</f>
        <v>5</v>
      </c>
      <c r="E45" s="33">
        <f t="shared" si="0"/>
        <v>6</v>
      </c>
      <c r="F45" s="33">
        <f t="shared" si="0"/>
        <v>7</v>
      </c>
      <c r="G45" s="33">
        <f t="shared" si="0"/>
        <v>8</v>
      </c>
      <c r="H45" s="33">
        <f t="shared" si="0"/>
        <v>9</v>
      </c>
      <c r="I45" s="33">
        <f t="shared" si="0"/>
        <v>10</v>
      </c>
      <c r="J45" s="33">
        <f t="shared" si="0"/>
        <v>11</v>
      </c>
      <c r="K45" s="33">
        <f t="shared" si="0"/>
        <v>12</v>
      </c>
    </row>
    <row r="46" spans="1:13" x14ac:dyDescent="0.2">
      <c r="A46" s="40">
        <v>3</v>
      </c>
      <c r="B46" s="40"/>
      <c r="C46" s="33">
        <f t="shared" ref="C46:E53" si="1">SUM(C$44,$A46)</f>
        <v>5</v>
      </c>
      <c r="E46" s="33">
        <f t="shared" si="0"/>
        <v>7</v>
      </c>
      <c r="F46" s="33">
        <f t="shared" si="0"/>
        <v>8</v>
      </c>
      <c r="G46" s="33">
        <f t="shared" si="0"/>
        <v>9</v>
      </c>
      <c r="H46" s="33">
        <f t="shared" si="0"/>
        <v>10</v>
      </c>
      <c r="I46" s="33">
        <f t="shared" si="0"/>
        <v>11</v>
      </c>
      <c r="J46" s="33">
        <f t="shared" si="0"/>
        <v>12</v>
      </c>
      <c r="K46" s="33">
        <f t="shared" si="0"/>
        <v>13</v>
      </c>
    </row>
    <row r="47" spans="1:13" x14ac:dyDescent="0.2">
      <c r="A47" s="40">
        <v>4</v>
      </c>
      <c r="B47" s="40"/>
      <c r="C47" s="33">
        <f t="shared" si="1"/>
        <v>6</v>
      </c>
      <c r="D47" s="33">
        <f t="shared" si="1"/>
        <v>7</v>
      </c>
      <c r="F47" s="33">
        <f t="shared" si="0"/>
        <v>9</v>
      </c>
      <c r="G47" s="33">
        <f t="shared" si="0"/>
        <v>10</v>
      </c>
      <c r="H47" s="33">
        <f t="shared" si="0"/>
        <v>11</v>
      </c>
      <c r="I47" s="33">
        <f t="shared" si="0"/>
        <v>12</v>
      </c>
      <c r="J47" s="33">
        <f t="shared" si="0"/>
        <v>13</v>
      </c>
      <c r="K47" s="33">
        <f t="shared" si="0"/>
        <v>14</v>
      </c>
    </row>
    <row r="48" spans="1:13" x14ac:dyDescent="0.2">
      <c r="A48" s="40">
        <v>5</v>
      </c>
      <c r="B48" s="40"/>
      <c r="C48" s="33">
        <f t="shared" si="1"/>
        <v>7</v>
      </c>
      <c r="D48" s="33">
        <f t="shared" si="1"/>
        <v>8</v>
      </c>
      <c r="E48" s="33">
        <f t="shared" si="1"/>
        <v>9</v>
      </c>
      <c r="G48" s="33">
        <f>SUM(G$44,$A48)</f>
        <v>11</v>
      </c>
      <c r="H48" s="33">
        <f>SUM(H$44,$A48)</f>
        <v>12</v>
      </c>
      <c r="I48" s="33">
        <f>SUM(I$44,$A48)</f>
        <v>13</v>
      </c>
      <c r="J48" s="33">
        <f>SUM(J$44,$A48)</f>
        <v>14</v>
      </c>
      <c r="K48" s="33">
        <f>SUM(K$44,$A48)</f>
        <v>15</v>
      </c>
    </row>
    <row r="49" spans="1:11" x14ac:dyDescent="0.2">
      <c r="A49" s="40">
        <v>6</v>
      </c>
      <c r="B49" s="40"/>
      <c r="C49" s="33">
        <f t="shared" si="1"/>
        <v>8</v>
      </c>
      <c r="D49" s="33">
        <f t="shared" si="1"/>
        <v>9</v>
      </c>
      <c r="E49" s="33">
        <f t="shared" si="1"/>
        <v>10</v>
      </c>
      <c r="F49" s="33">
        <f>SUM(F$44,$A49)</f>
        <v>11</v>
      </c>
      <c r="H49" s="33">
        <f>SUM(H$44,$A49)</f>
        <v>13</v>
      </c>
      <c r="I49" s="33">
        <f>SUM(I$44,$A49)</f>
        <v>14</v>
      </c>
      <c r="J49" s="33">
        <f>SUM(J$44,$A49)</f>
        <v>15</v>
      </c>
      <c r="K49" s="33">
        <f>SUM(K$44,$A49)</f>
        <v>16</v>
      </c>
    </row>
    <row r="50" spans="1:11" x14ac:dyDescent="0.2">
      <c r="A50" s="40">
        <v>7</v>
      </c>
      <c r="B50" s="40"/>
      <c r="C50" s="33">
        <f t="shared" si="1"/>
        <v>9</v>
      </c>
      <c r="D50" s="33">
        <f t="shared" si="1"/>
        <v>10</v>
      </c>
      <c r="E50" s="33">
        <f t="shared" si="1"/>
        <v>11</v>
      </c>
      <c r="F50" s="33">
        <f>SUM(F$44,$A50)</f>
        <v>12</v>
      </c>
      <c r="G50" s="33">
        <f>SUM(G$44,$A50)</f>
        <v>13</v>
      </c>
      <c r="I50" s="33">
        <f>SUM(I$44,$A50)</f>
        <v>15</v>
      </c>
      <c r="J50" s="33">
        <f>SUM(J$44,$A50)</f>
        <v>16</v>
      </c>
      <c r="K50" s="33">
        <f>SUM(K$44,$A50)</f>
        <v>17</v>
      </c>
    </row>
    <row r="51" spans="1:11" x14ac:dyDescent="0.2">
      <c r="A51" s="40">
        <v>8</v>
      </c>
      <c r="B51" s="40"/>
      <c r="C51" s="33">
        <f t="shared" si="1"/>
        <v>10</v>
      </c>
      <c r="D51" s="33">
        <f t="shared" si="1"/>
        <v>11</v>
      </c>
      <c r="E51" s="33">
        <f t="shared" si="1"/>
        <v>12</v>
      </c>
      <c r="F51" s="33">
        <f>SUM(F$44,$A51)</f>
        <v>13</v>
      </c>
      <c r="G51" s="33">
        <f>SUM(G$44,$A51)</f>
        <v>14</v>
      </c>
      <c r="H51" s="33">
        <f>SUM(H$44,$A51)</f>
        <v>15</v>
      </c>
      <c r="J51" s="33">
        <f>SUM(J$44,$A51)</f>
        <v>17</v>
      </c>
      <c r="K51" s="33">
        <f>SUM(K$44,$A51)</f>
        <v>18</v>
      </c>
    </row>
    <row r="52" spans="1:11" x14ac:dyDescent="0.2">
      <c r="A52" s="40">
        <v>9</v>
      </c>
      <c r="B52" s="40"/>
      <c r="C52" s="33">
        <f t="shared" si="1"/>
        <v>11</v>
      </c>
      <c r="D52" s="33">
        <f t="shared" si="1"/>
        <v>12</v>
      </c>
      <c r="E52" s="33">
        <f t="shared" si="1"/>
        <v>13</v>
      </c>
      <c r="F52" s="33">
        <f>SUM(F$44,$A52)</f>
        <v>14</v>
      </c>
      <c r="G52" s="33">
        <f>SUM(G$44,$A52)</f>
        <v>15</v>
      </c>
      <c r="H52" s="33">
        <f>SUM(H$44,$A52)</f>
        <v>16</v>
      </c>
      <c r="I52" s="33">
        <f>SUM(I$44,$A52)</f>
        <v>17</v>
      </c>
      <c r="K52" s="33">
        <f>SUM(K$44,$A52)</f>
        <v>19</v>
      </c>
    </row>
    <row r="53" spans="1:11" x14ac:dyDescent="0.2">
      <c r="A53" s="40">
        <v>10</v>
      </c>
      <c r="B53" s="40"/>
      <c r="C53" s="33">
        <f t="shared" si="1"/>
        <v>12</v>
      </c>
      <c r="D53" s="33">
        <f t="shared" si="1"/>
        <v>13</v>
      </c>
      <c r="E53" s="33">
        <f t="shared" si="1"/>
        <v>14</v>
      </c>
      <c r="F53" s="33">
        <f>SUM(F$44,$A53)</f>
        <v>15</v>
      </c>
      <c r="G53" s="33">
        <f>SUM(G$44,$A53)</f>
        <v>16</v>
      </c>
      <c r="H53" s="33">
        <f>SUM(H$44,$A53)</f>
        <v>17</v>
      </c>
      <c r="I53" s="33">
        <f>SUM(I$44,$A53)</f>
        <v>18</v>
      </c>
      <c r="J53" s="33">
        <f>SUM(J$44,$A53)</f>
        <v>19</v>
      </c>
    </row>
    <row r="54" spans="1:11" x14ac:dyDescent="0.2">
      <c r="A54" s="40" t="s">
        <v>1</v>
      </c>
      <c r="B54" s="40"/>
    </row>
    <row r="56" spans="1:11" x14ac:dyDescent="0.2">
      <c r="C56" s="36" t="s">
        <v>12</v>
      </c>
    </row>
    <row r="57" spans="1:11" x14ac:dyDescent="0.2">
      <c r="A57" s="40" t="s">
        <v>13</v>
      </c>
      <c r="B57" s="40"/>
      <c r="C57" s="40">
        <v>2</v>
      </c>
      <c r="D57" s="40">
        <v>3</v>
      </c>
      <c r="E57" s="40">
        <v>4</v>
      </c>
      <c r="F57" s="40">
        <v>5</v>
      </c>
      <c r="G57" s="40">
        <v>6</v>
      </c>
      <c r="H57" s="40">
        <v>7</v>
      </c>
      <c r="I57" s="40">
        <v>8</v>
      </c>
      <c r="J57" s="40">
        <v>9</v>
      </c>
      <c r="K57" s="40">
        <v>10</v>
      </c>
    </row>
    <row r="58" spans="1:11" x14ac:dyDescent="0.2">
      <c r="A58" s="40">
        <v>2</v>
      </c>
      <c r="B58" s="40"/>
      <c r="D58" s="33">
        <f>(1/(9+Rules!$B$5))^2</f>
        <v>5.9171597633136102E-3</v>
      </c>
      <c r="E58" s="33">
        <f>(1/(9+Rules!$B$5))^2</f>
        <v>5.9171597633136102E-3</v>
      </c>
      <c r="F58" s="33">
        <f>(1/(9+Rules!$B$5))^2</f>
        <v>5.9171597633136102E-3</v>
      </c>
      <c r="G58" s="33">
        <f>(1/(9+Rules!$B$5))^2</f>
        <v>5.9171597633136102E-3</v>
      </c>
      <c r="H58" s="33">
        <f>(1/(9+Rules!$B$5))^2</f>
        <v>5.9171597633136102E-3</v>
      </c>
      <c r="I58" s="33">
        <f>(1/(9+Rules!$B$5))^2</f>
        <v>5.9171597633136102E-3</v>
      </c>
      <c r="J58" s="33">
        <f>(1/(9+Rules!$B$5))^2</f>
        <v>5.9171597633136102E-3</v>
      </c>
      <c r="K58" s="33">
        <f>(1/(9+Rules!$B$5))*(Rules!$B$5/(9+Rules!$B$5))</f>
        <v>2.3668639053254441E-2</v>
      </c>
    </row>
    <row r="59" spans="1:11" x14ac:dyDescent="0.2">
      <c r="A59" s="40">
        <v>3</v>
      </c>
      <c r="B59" s="40"/>
      <c r="C59" s="33">
        <f>(1/(9+Rules!$B$5))^2</f>
        <v>5.9171597633136102E-3</v>
      </c>
      <c r="E59" s="33">
        <f>(1/(9+Rules!$B$5))^2</f>
        <v>5.9171597633136102E-3</v>
      </c>
      <c r="F59" s="33">
        <f>(1/(9+Rules!$B$5))^2</f>
        <v>5.9171597633136102E-3</v>
      </c>
      <c r="G59" s="33">
        <f>(1/(9+Rules!$B$5))^2</f>
        <v>5.9171597633136102E-3</v>
      </c>
      <c r="H59" s="33">
        <f>(1/(9+Rules!$B$5))^2</f>
        <v>5.9171597633136102E-3</v>
      </c>
      <c r="I59" s="33">
        <f>(1/(9+Rules!$B$5))^2</f>
        <v>5.9171597633136102E-3</v>
      </c>
      <c r="J59" s="33">
        <f>(1/(9+Rules!$B$5))^2</f>
        <v>5.9171597633136102E-3</v>
      </c>
      <c r="K59" s="33">
        <f>(1/(9+Rules!$B$5))*(Rules!$B$5/(9+Rules!$B$5))</f>
        <v>2.3668639053254441E-2</v>
      </c>
    </row>
    <row r="60" spans="1:11" x14ac:dyDescent="0.2">
      <c r="A60" s="40">
        <v>4</v>
      </c>
      <c r="B60" s="40"/>
      <c r="C60" s="33">
        <f>(1/(9+Rules!$B$5))^2</f>
        <v>5.9171597633136102E-3</v>
      </c>
      <c r="D60" s="33">
        <f>(1/(9+Rules!$B$5))^2</f>
        <v>5.9171597633136102E-3</v>
      </c>
      <c r="F60" s="33">
        <f>(1/(9+Rules!$B$5))^2</f>
        <v>5.9171597633136102E-3</v>
      </c>
      <c r="G60" s="33">
        <f>(1/(9+Rules!$B$5))^2</f>
        <v>5.9171597633136102E-3</v>
      </c>
      <c r="H60" s="33">
        <f>(1/(9+Rules!$B$5))^2</f>
        <v>5.9171597633136102E-3</v>
      </c>
      <c r="I60" s="33">
        <f>(1/(9+Rules!$B$5))^2</f>
        <v>5.9171597633136102E-3</v>
      </c>
      <c r="J60" s="33">
        <f>(1/(9+Rules!$B$5))^2</f>
        <v>5.9171597633136102E-3</v>
      </c>
      <c r="K60" s="33">
        <f>(1/(9+Rules!$B$5))*(Rules!$B$5/(9+Rules!$B$5))</f>
        <v>2.3668639053254441E-2</v>
      </c>
    </row>
    <row r="61" spans="1:11" x14ac:dyDescent="0.2">
      <c r="A61" s="40">
        <v>5</v>
      </c>
      <c r="B61" s="40"/>
      <c r="C61" s="33">
        <f>(1/(9+Rules!$B$5))^2</f>
        <v>5.9171597633136102E-3</v>
      </c>
      <c r="D61" s="33">
        <f>(1/(9+Rules!$B$5))^2</f>
        <v>5.9171597633136102E-3</v>
      </c>
      <c r="E61" s="33">
        <f>(1/(9+Rules!$B$5))^2</f>
        <v>5.9171597633136102E-3</v>
      </c>
      <c r="G61" s="33">
        <f>(1/(9+Rules!$B$5))^2</f>
        <v>5.9171597633136102E-3</v>
      </c>
      <c r="H61" s="33">
        <f>(1/(9+Rules!$B$5))^2</f>
        <v>5.9171597633136102E-3</v>
      </c>
      <c r="I61" s="33">
        <f>(1/(9+Rules!$B$5))^2</f>
        <v>5.9171597633136102E-3</v>
      </c>
      <c r="J61" s="33">
        <f>(1/(9+Rules!$B$5))^2</f>
        <v>5.9171597633136102E-3</v>
      </c>
      <c r="K61" s="33">
        <f>(1/(9+Rules!$B$5))*(Rules!$B$5/(9+Rules!$B$5))</f>
        <v>2.3668639053254441E-2</v>
      </c>
    </row>
    <row r="62" spans="1:11" x14ac:dyDescent="0.2">
      <c r="A62" s="40">
        <v>6</v>
      </c>
      <c r="B62" s="40"/>
      <c r="C62" s="33">
        <f>(1/(9+Rules!$B$5))^2</f>
        <v>5.9171597633136102E-3</v>
      </c>
      <c r="D62" s="33">
        <f>(1/(9+Rules!$B$5))^2</f>
        <v>5.9171597633136102E-3</v>
      </c>
      <c r="E62" s="33">
        <f>(1/(9+Rules!$B$5))^2</f>
        <v>5.9171597633136102E-3</v>
      </c>
      <c r="F62" s="33">
        <f>(1/(9+Rules!$B$5))^2</f>
        <v>5.9171597633136102E-3</v>
      </c>
      <c r="H62" s="33">
        <f>(1/(9+Rules!$B$5))^2</f>
        <v>5.9171597633136102E-3</v>
      </c>
      <c r="I62" s="33">
        <f>(1/(9+Rules!$B$5))^2</f>
        <v>5.9171597633136102E-3</v>
      </c>
      <c r="J62" s="33">
        <f>(1/(9+Rules!$B$5))^2</f>
        <v>5.9171597633136102E-3</v>
      </c>
      <c r="K62" s="33">
        <f>(1/(9+Rules!$B$5))*(Rules!$B$5/(9+Rules!$B$5))</f>
        <v>2.3668639053254441E-2</v>
      </c>
    </row>
    <row r="63" spans="1:11" x14ac:dyDescent="0.2">
      <c r="A63" s="40">
        <v>7</v>
      </c>
      <c r="B63" s="40"/>
      <c r="C63" s="33">
        <f>(1/(9+Rules!$B$5))^2</f>
        <v>5.9171597633136102E-3</v>
      </c>
      <c r="D63" s="33">
        <f>(1/(9+Rules!$B$5))^2</f>
        <v>5.9171597633136102E-3</v>
      </c>
      <c r="E63" s="33">
        <f>(1/(9+Rules!$B$5))^2</f>
        <v>5.9171597633136102E-3</v>
      </c>
      <c r="F63" s="33">
        <f>(1/(9+Rules!$B$5))^2</f>
        <v>5.9171597633136102E-3</v>
      </c>
      <c r="G63" s="33">
        <f>(1/(9+Rules!$B$5))^2</f>
        <v>5.9171597633136102E-3</v>
      </c>
      <c r="I63" s="33">
        <f>(1/(9+Rules!$B$5))^2</f>
        <v>5.9171597633136102E-3</v>
      </c>
      <c r="J63" s="33">
        <f>(1/(9+Rules!$B$5))^2</f>
        <v>5.9171597633136102E-3</v>
      </c>
      <c r="K63" s="33">
        <f>(1/(9+Rules!$B$5))*(Rules!$B$5/(9+Rules!$B$5))</f>
        <v>2.3668639053254441E-2</v>
      </c>
    </row>
    <row r="64" spans="1:11" x14ac:dyDescent="0.2">
      <c r="A64" s="40">
        <v>8</v>
      </c>
      <c r="B64" s="40"/>
      <c r="C64" s="33">
        <f>(1/(9+Rules!$B$5))^2</f>
        <v>5.9171597633136102E-3</v>
      </c>
      <c r="D64" s="33">
        <f>(1/(9+Rules!$B$5))^2</f>
        <v>5.9171597633136102E-3</v>
      </c>
      <c r="E64" s="33">
        <f>(1/(9+Rules!$B$5))^2</f>
        <v>5.9171597633136102E-3</v>
      </c>
      <c r="F64" s="33">
        <f>(1/(9+Rules!$B$5))^2</f>
        <v>5.9171597633136102E-3</v>
      </c>
      <c r="G64" s="33">
        <f>(1/(9+Rules!$B$5))^2</f>
        <v>5.9171597633136102E-3</v>
      </c>
      <c r="H64" s="33">
        <f>(1/(9+Rules!$B$5))^2</f>
        <v>5.9171597633136102E-3</v>
      </c>
      <c r="J64" s="33">
        <f>(1/(9+Rules!$B$5))^2</f>
        <v>5.9171597633136102E-3</v>
      </c>
      <c r="K64" s="33">
        <f>(1/(9+Rules!$B$5))*(Rules!$B$5/(9+Rules!$B$5))</f>
        <v>2.3668639053254441E-2</v>
      </c>
    </row>
    <row r="65" spans="1:11" x14ac:dyDescent="0.2">
      <c r="A65" s="40">
        <v>9</v>
      </c>
      <c r="B65" s="40"/>
      <c r="C65" s="33">
        <f>(1/(9+Rules!$B$5))^2</f>
        <v>5.9171597633136102E-3</v>
      </c>
      <c r="D65" s="33">
        <f>(1/(9+Rules!$B$5))^2</f>
        <v>5.9171597633136102E-3</v>
      </c>
      <c r="E65" s="33">
        <f>(1/(9+Rules!$B$5))^2</f>
        <v>5.9171597633136102E-3</v>
      </c>
      <c r="F65" s="33">
        <f>(1/(9+Rules!$B$5))^2</f>
        <v>5.9171597633136102E-3</v>
      </c>
      <c r="G65" s="33">
        <f>(1/(9+Rules!$B$5))^2</f>
        <v>5.9171597633136102E-3</v>
      </c>
      <c r="H65" s="33">
        <f>(1/(9+Rules!$B$5))^2</f>
        <v>5.9171597633136102E-3</v>
      </c>
      <c r="I65" s="33">
        <f>(1/(9+Rules!$B$5))^2</f>
        <v>5.9171597633136102E-3</v>
      </c>
      <c r="K65" s="33">
        <f>(1/(9+Rules!$B$5))*(Rules!$B$5/(9+Rules!$B$5))</f>
        <v>2.3668639053254441E-2</v>
      </c>
    </row>
    <row r="66" spans="1:11" x14ac:dyDescent="0.2">
      <c r="A66" s="40">
        <v>10</v>
      </c>
      <c r="B66" s="40"/>
      <c r="C66" s="33">
        <f>(1/(9+Rules!$B$5))*(Rules!$B$5/(9+Rules!$B$5))</f>
        <v>2.3668639053254441E-2</v>
      </c>
      <c r="D66" s="33">
        <f>(1/(9+Rules!$B$5))*(Rules!$B$5/(9+Rules!$B$5))</f>
        <v>2.3668639053254441E-2</v>
      </c>
      <c r="E66" s="33">
        <f>(1/(9+Rules!$B$5))*(Rules!$B$5/(9+Rules!$B$5))</f>
        <v>2.3668639053254441E-2</v>
      </c>
      <c r="F66" s="33">
        <f>(1/(9+Rules!$B$5))*(Rules!$B$5/(9+Rules!$B$5))</f>
        <v>2.3668639053254441E-2</v>
      </c>
      <c r="G66" s="33">
        <f>(1/(9+Rules!$B$5))*(Rules!$B$5/(9+Rules!$B$5))</f>
        <v>2.3668639053254441E-2</v>
      </c>
      <c r="H66" s="33">
        <f>(1/(9+Rules!$B$5))*(Rules!$B$5/(9+Rules!$B$5))</f>
        <v>2.3668639053254441E-2</v>
      </c>
      <c r="I66" s="33">
        <f>(1/(9+Rules!$B$5))*(Rules!$B$5/(9+Rules!$B$5))</f>
        <v>2.3668639053254441E-2</v>
      </c>
      <c r="J66" s="33">
        <f>(1/(9+Rules!$B$5))*(Rules!$B$5/(9+Rules!$B$5))</f>
        <v>2.3668639053254441E-2</v>
      </c>
    </row>
    <row r="67" spans="1:11" x14ac:dyDescent="0.2">
      <c r="A67" s="40" t="s">
        <v>1</v>
      </c>
      <c r="B67" s="40"/>
    </row>
    <row r="69" spans="1:11" x14ac:dyDescent="0.2">
      <c r="A69" s="40"/>
      <c r="B69" s="40"/>
    </row>
    <row r="70" spans="1:11" x14ac:dyDescent="0.2">
      <c r="A70" s="33" t="s">
        <v>9</v>
      </c>
      <c r="C70" s="33" t="s">
        <v>14</v>
      </c>
      <c r="E70" s="33" t="s">
        <v>15</v>
      </c>
    </row>
    <row r="71" spans="1:11" ht="16" x14ac:dyDescent="0.2">
      <c r="A71" s="33">
        <v>5</v>
      </c>
      <c r="C71" s="33">
        <f t="shared" ref="C71:C85" si="2">SUMIF($C$45:$K$53,A71,$C$58:$K$66)</f>
        <v>1.183431952662722E-2</v>
      </c>
      <c r="E71" s="41">
        <f>C71</f>
        <v>1.183431952662722E-2</v>
      </c>
    </row>
    <row r="72" spans="1:11" ht="16" x14ac:dyDescent="0.2">
      <c r="A72" s="33">
        <v>6</v>
      </c>
      <c r="C72" s="33">
        <f t="shared" si="2"/>
        <v>1.183431952662722E-2</v>
      </c>
      <c r="E72" s="41">
        <f t="shared" ref="E72:E85" si="3">C72</f>
        <v>1.183431952662722E-2</v>
      </c>
    </row>
    <row r="73" spans="1:11" ht="16" x14ac:dyDescent="0.2">
      <c r="A73" s="33">
        <v>7</v>
      </c>
      <c r="C73" s="33">
        <f t="shared" si="2"/>
        <v>2.3668639053254441E-2</v>
      </c>
      <c r="E73" s="41">
        <f t="shared" si="3"/>
        <v>2.3668639053254441E-2</v>
      </c>
    </row>
    <row r="74" spans="1:11" ht="16" x14ac:dyDescent="0.2">
      <c r="A74" s="33">
        <v>8</v>
      </c>
      <c r="C74" s="33">
        <f t="shared" si="2"/>
        <v>2.3668639053254441E-2</v>
      </c>
      <c r="E74" s="41">
        <f t="shared" si="3"/>
        <v>2.3668639053254441E-2</v>
      </c>
    </row>
    <row r="75" spans="1:11" ht="16" x14ac:dyDescent="0.2">
      <c r="A75" s="33">
        <v>9</v>
      </c>
      <c r="C75" s="33">
        <f t="shared" si="2"/>
        <v>3.5502958579881665E-2</v>
      </c>
      <c r="E75" s="41">
        <f t="shared" si="3"/>
        <v>3.5502958579881665E-2</v>
      </c>
    </row>
    <row r="76" spans="1:11" ht="16" x14ac:dyDescent="0.2">
      <c r="A76" s="33">
        <v>10</v>
      </c>
      <c r="C76" s="33">
        <f t="shared" si="2"/>
        <v>3.5502958579881665E-2</v>
      </c>
      <c r="E76" s="41">
        <f t="shared" si="3"/>
        <v>3.5502958579881665E-2</v>
      </c>
    </row>
    <row r="77" spans="1:11" ht="16" x14ac:dyDescent="0.2">
      <c r="A77" s="33">
        <v>11</v>
      </c>
      <c r="C77" s="33">
        <f t="shared" si="2"/>
        <v>4.7337278106508889E-2</v>
      </c>
      <c r="E77" s="41">
        <f t="shared" si="3"/>
        <v>4.7337278106508889E-2</v>
      </c>
    </row>
    <row r="78" spans="1:11" ht="16" x14ac:dyDescent="0.2">
      <c r="A78" s="33">
        <v>12</v>
      </c>
      <c r="C78" s="33">
        <f t="shared" si="2"/>
        <v>8.2840236686390553E-2</v>
      </c>
      <c r="E78" s="41">
        <f t="shared" si="3"/>
        <v>8.2840236686390553E-2</v>
      </c>
    </row>
    <row r="79" spans="1:11" ht="16" x14ac:dyDescent="0.2">
      <c r="A79" s="33">
        <v>13</v>
      </c>
      <c r="C79" s="33">
        <f t="shared" si="2"/>
        <v>8.2840236686390553E-2</v>
      </c>
      <c r="E79" s="41">
        <f t="shared" si="3"/>
        <v>8.2840236686390553E-2</v>
      </c>
    </row>
    <row r="80" spans="1:11" ht="16" x14ac:dyDescent="0.2">
      <c r="A80" s="33">
        <v>14</v>
      </c>
      <c r="C80" s="33">
        <f t="shared" si="2"/>
        <v>7.1005917159763329E-2</v>
      </c>
      <c r="E80" s="41">
        <f t="shared" si="3"/>
        <v>7.1005917159763329E-2</v>
      </c>
    </row>
    <row r="81" spans="1:5" ht="16" x14ac:dyDescent="0.2">
      <c r="A81" s="33">
        <v>15</v>
      </c>
      <c r="C81" s="33">
        <f t="shared" si="2"/>
        <v>7.1005917159763329E-2</v>
      </c>
      <c r="E81" s="41">
        <f t="shared" si="3"/>
        <v>7.1005917159763329E-2</v>
      </c>
    </row>
    <row r="82" spans="1:5" ht="16" x14ac:dyDescent="0.2">
      <c r="A82" s="33">
        <v>16</v>
      </c>
      <c r="C82" s="33">
        <f t="shared" si="2"/>
        <v>5.9171597633136105E-2</v>
      </c>
      <c r="E82" s="41">
        <f t="shared" si="3"/>
        <v>5.9171597633136105E-2</v>
      </c>
    </row>
    <row r="83" spans="1:5" ht="16" x14ac:dyDescent="0.2">
      <c r="A83" s="33">
        <v>17</v>
      </c>
      <c r="C83" s="33">
        <f t="shared" si="2"/>
        <v>5.9171597633136105E-2</v>
      </c>
      <c r="E83" s="41">
        <f t="shared" si="3"/>
        <v>5.9171597633136105E-2</v>
      </c>
    </row>
    <row r="84" spans="1:5" ht="16" x14ac:dyDescent="0.2">
      <c r="A84" s="33">
        <v>18</v>
      </c>
      <c r="C84" s="33">
        <f t="shared" si="2"/>
        <v>4.7337278106508882E-2</v>
      </c>
      <c r="E84" s="41">
        <f t="shared" si="3"/>
        <v>4.7337278106508882E-2</v>
      </c>
    </row>
    <row r="85" spans="1:5" ht="16" x14ac:dyDescent="0.2">
      <c r="A85" s="33">
        <v>19</v>
      </c>
      <c r="C85" s="33">
        <f t="shared" si="2"/>
        <v>4.7337278106508882E-2</v>
      </c>
      <c r="E85" s="41">
        <f t="shared" si="3"/>
        <v>4.7337278106508882E-2</v>
      </c>
    </row>
    <row r="87" spans="1:5" x14ac:dyDescent="0.2">
      <c r="C87" s="33">
        <f>SUM(C71:C86)</f>
        <v>0.71005917159763332</v>
      </c>
    </row>
  </sheetData>
  <sheetProtection sheet="1" objects="1" scenarios="1"/>
  <mergeCells count="1">
    <mergeCell ref="A1:K1"/>
  </mergeCells>
  <phoneticPr fontId="16" type="noConversion"/>
  <conditionalFormatting sqref="B19:K27 B29:K39 B3:K17">
    <cfRule type="containsText" dxfId="991" priority="15" operator="containsText" text="R">
      <formula>NOT(ISERROR(SEARCH("R",B3)))</formula>
    </cfRule>
    <cfRule type="containsText" dxfId="990" priority="16" operator="containsText" text="D">
      <formula>NOT(ISERROR(SEARCH("D",B3)))</formula>
    </cfRule>
    <cfRule type="containsText" dxfId="989" priority="17" operator="containsText" text="S">
      <formula>NOT(ISERROR(SEARCH("S",B3)))</formula>
    </cfRule>
    <cfRule type="containsText" dxfId="988" priority="18" operator="containsText" text="H">
      <formula>NOT(ISERROR(SEARCH("H",B3)))</formula>
    </cfRule>
  </conditionalFormatting>
  <conditionalFormatting sqref="B19:K27 B29:K39 B3:K17">
    <cfRule type="containsText" dxfId="987" priority="14" operator="containsText" text="P">
      <formula>NOT(ISERROR(SEARCH("P",B3)))</formula>
    </cfRule>
  </conditionalFormatting>
  <conditionalFormatting sqref="C43">
    <cfRule type="containsText" dxfId="986" priority="10" operator="containsText" text="R">
      <formula>NOT(ISERROR(SEARCH("R",C43)))</formula>
    </cfRule>
    <cfRule type="containsText" dxfId="985" priority="11" operator="containsText" text="D">
      <formula>NOT(ISERROR(SEARCH("D",C43)))</formula>
    </cfRule>
    <cfRule type="containsText" dxfId="984" priority="12" operator="containsText" text="S">
      <formula>NOT(ISERROR(SEARCH("S",C43)))</formula>
    </cfRule>
    <cfRule type="containsText" dxfId="983" priority="13" operator="containsText" text="H">
      <formula>NOT(ISERROR(SEARCH("H",C43)))</formula>
    </cfRule>
  </conditionalFormatting>
  <conditionalFormatting sqref="C43">
    <cfRule type="containsText" dxfId="982" priority="9" operator="containsText" text="P">
      <formula>NOT(ISERROR(SEARCH("P",C43)))</formula>
    </cfRule>
  </conditionalFormatting>
  <conditionalFormatting sqref="C56">
    <cfRule type="containsText" dxfId="981" priority="5" operator="containsText" text="R">
      <formula>NOT(ISERROR(SEARCH("R",C56)))</formula>
    </cfRule>
    <cfRule type="containsText" dxfId="980" priority="6" operator="containsText" text="D">
      <formula>NOT(ISERROR(SEARCH("D",C56)))</formula>
    </cfRule>
    <cfRule type="containsText" dxfId="979" priority="7" operator="containsText" text="S">
      <formula>NOT(ISERROR(SEARCH("S",C56)))</formula>
    </cfRule>
    <cfRule type="containsText" dxfId="978" priority="8" operator="containsText" text="H">
      <formula>NOT(ISERROR(SEARCH("H",C56)))</formula>
    </cfRule>
  </conditionalFormatting>
  <conditionalFormatting sqref="C56">
    <cfRule type="containsText" dxfId="977" priority="4" operator="containsText" text="P">
      <formula>NOT(ISERROR(SEARCH("P",C56)))</formula>
    </cfRule>
  </conditionalFormatting>
  <conditionalFormatting sqref="B3:K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000000000000011" bottom="0.75000000000000011" header="0.30000000000000004" footer="0.30000000000000004"/>
  <pageSetup paperSize="9" scale="3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2:AF122"/>
  <sheetViews>
    <sheetView topLeftCell="A105" zoomScale="85" workbookViewId="0">
      <selection activeCell="C17" sqref="C17"/>
    </sheetView>
  </sheetViews>
  <sheetFormatPr baseColWidth="10" defaultColWidth="11" defaultRowHeight="16" x14ac:dyDescent="0.2"/>
  <cols>
    <col min="2" max="3" width="12" bestFit="1" customWidth="1"/>
  </cols>
  <sheetData>
    <row r="2" spans="1:18" x14ac:dyDescent="0.2">
      <c r="A2" s="33"/>
      <c r="B2" s="33"/>
      <c r="C2" s="36" t="s">
        <v>12</v>
      </c>
      <c r="D2" s="33"/>
      <c r="E2" s="33"/>
      <c r="F2" s="33"/>
      <c r="G2" s="33"/>
      <c r="H2" s="33"/>
      <c r="I2" s="33"/>
      <c r="J2" s="33"/>
      <c r="K2" s="33"/>
      <c r="N2" t="s">
        <v>91</v>
      </c>
      <c r="O2" t="s">
        <v>14</v>
      </c>
      <c r="Q2" t="s">
        <v>92</v>
      </c>
      <c r="R2" t="s">
        <v>14</v>
      </c>
    </row>
    <row r="3" spans="1:18" x14ac:dyDescent="0.2">
      <c r="A3" s="40" t="s">
        <v>13</v>
      </c>
      <c r="B3" s="40"/>
      <c r="C3" s="40">
        <v>2</v>
      </c>
      <c r="D3" s="40">
        <v>3</v>
      </c>
      <c r="E3" s="40">
        <v>4</v>
      </c>
      <c r="F3" s="40">
        <v>5</v>
      </c>
      <c r="G3" s="40">
        <v>6</v>
      </c>
      <c r="H3" s="40">
        <v>7</v>
      </c>
      <c r="I3" s="40">
        <v>8</v>
      </c>
      <c r="J3" s="40">
        <v>9</v>
      </c>
      <c r="K3" s="40">
        <v>10</v>
      </c>
      <c r="L3" s="40">
        <v>1</v>
      </c>
      <c r="N3" s="33">
        <v>4</v>
      </c>
      <c r="O3">
        <f>SUMIF($C$4:$K$12,N3,$C$17:$K$25)</f>
        <v>5.9171597633136093E-3</v>
      </c>
      <c r="Q3">
        <v>12</v>
      </c>
      <c r="R3">
        <f>SUMIF($L$4:$L$13,Q3,$L$17:$L$26)+SUMIF($C$13:$K$13,Q3,$C$26:$K$26)</f>
        <v>5.9171597633136093E-3</v>
      </c>
    </row>
    <row r="4" spans="1:18" x14ac:dyDescent="0.2">
      <c r="A4" s="40">
        <v>2</v>
      </c>
      <c r="B4" s="40"/>
      <c r="C4" s="33">
        <f>SUM(C$3,$A4)</f>
        <v>4</v>
      </c>
      <c r="D4" s="33">
        <f t="shared" ref="D4:K4" si="0">SUM(D$3,$A4)</f>
        <v>5</v>
      </c>
      <c r="E4" s="33">
        <f t="shared" si="0"/>
        <v>6</v>
      </c>
      <c r="F4" s="33">
        <f t="shared" si="0"/>
        <v>7</v>
      </c>
      <c r="G4" s="33">
        <f t="shared" si="0"/>
        <v>8</v>
      </c>
      <c r="H4" s="33">
        <f t="shared" si="0"/>
        <v>9</v>
      </c>
      <c r="I4" s="33">
        <f t="shared" si="0"/>
        <v>10</v>
      </c>
      <c r="J4" s="33">
        <f t="shared" si="0"/>
        <v>11</v>
      </c>
      <c r="K4" s="33">
        <f t="shared" si="0"/>
        <v>12</v>
      </c>
      <c r="L4" s="33">
        <f>SUM(L$3,$A4)+10</f>
        <v>13</v>
      </c>
      <c r="N4">
        <v>5</v>
      </c>
      <c r="O4">
        <f t="shared" ref="O4:O19" si="1">SUMIF($C$4:$K$12,N4,$C$17:$K$25)</f>
        <v>1.183431952662722E-2</v>
      </c>
      <c r="Q4">
        <v>13</v>
      </c>
      <c r="R4">
        <f>SUMIF($L$4:$L$13,Q4,$L$17:$L$26)+SUMIF($C$13:$K$13,Q4,$C$26:$K$26)</f>
        <v>1.183431952662722E-2</v>
      </c>
    </row>
    <row r="5" spans="1:18" x14ac:dyDescent="0.2">
      <c r="A5" s="40">
        <v>3</v>
      </c>
      <c r="B5" s="40"/>
      <c r="C5" s="33">
        <f t="shared" ref="C5:K12" si="2">SUM(C$3,$A5)</f>
        <v>5</v>
      </c>
      <c r="D5" s="33">
        <f t="shared" si="2"/>
        <v>6</v>
      </c>
      <c r="E5" s="33">
        <f t="shared" si="2"/>
        <v>7</v>
      </c>
      <c r="F5" s="33">
        <f t="shared" si="2"/>
        <v>8</v>
      </c>
      <c r="G5" s="33">
        <f t="shared" si="2"/>
        <v>9</v>
      </c>
      <c r="H5" s="33">
        <f t="shared" si="2"/>
        <v>10</v>
      </c>
      <c r="I5" s="33">
        <f t="shared" si="2"/>
        <v>11</v>
      </c>
      <c r="J5" s="33">
        <f t="shared" si="2"/>
        <v>12</v>
      </c>
      <c r="K5" s="33">
        <f t="shared" si="2"/>
        <v>13</v>
      </c>
      <c r="L5" s="33">
        <f t="shared" ref="L5:L13" si="3">SUM(L$3,$A5)+10</f>
        <v>14</v>
      </c>
      <c r="N5" s="33">
        <v>6</v>
      </c>
      <c r="O5">
        <f t="shared" si="1"/>
        <v>1.7751479289940829E-2</v>
      </c>
      <c r="Q5">
        <v>14</v>
      </c>
      <c r="R5">
        <f t="shared" ref="R5:R12" si="4">SUMIF($L$4:$L$13,Q5,$L$17:$L$26)+SUMIF($C$13:$K$13,Q5,$C$26:$K$26)</f>
        <v>1.183431952662722E-2</v>
      </c>
    </row>
    <row r="6" spans="1:18" x14ac:dyDescent="0.2">
      <c r="A6" s="40">
        <v>4</v>
      </c>
      <c r="B6" s="40"/>
      <c r="C6" s="33">
        <f t="shared" si="2"/>
        <v>6</v>
      </c>
      <c r="D6" s="33">
        <f t="shared" si="2"/>
        <v>7</v>
      </c>
      <c r="E6" s="33">
        <f t="shared" si="2"/>
        <v>8</v>
      </c>
      <c r="F6" s="33">
        <f t="shared" si="2"/>
        <v>9</v>
      </c>
      <c r="G6" s="33">
        <f t="shared" si="2"/>
        <v>10</v>
      </c>
      <c r="H6" s="33">
        <f t="shared" si="2"/>
        <v>11</v>
      </c>
      <c r="I6" s="33">
        <f t="shared" si="2"/>
        <v>12</v>
      </c>
      <c r="J6" s="33">
        <f t="shared" si="2"/>
        <v>13</v>
      </c>
      <c r="K6" s="33">
        <f t="shared" si="2"/>
        <v>14</v>
      </c>
      <c r="L6" s="33">
        <f t="shared" si="3"/>
        <v>15</v>
      </c>
      <c r="N6">
        <v>7</v>
      </c>
      <c r="O6">
        <f t="shared" si="1"/>
        <v>2.3668639053254441E-2</v>
      </c>
      <c r="Q6">
        <v>15</v>
      </c>
      <c r="R6">
        <f t="shared" si="4"/>
        <v>1.183431952662722E-2</v>
      </c>
    </row>
    <row r="7" spans="1:18" x14ac:dyDescent="0.2">
      <c r="A7" s="40">
        <v>5</v>
      </c>
      <c r="B7" s="40"/>
      <c r="C7" s="33">
        <f t="shared" si="2"/>
        <v>7</v>
      </c>
      <c r="D7" s="33">
        <f t="shared" si="2"/>
        <v>8</v>
      </c>
      <c r="E7" s="33">
        <f t="shared" si="2"/>
        <v>9</v>
      </c>
      <c r="F7" s="33">
        <f t="shared" si="2"/>
        <v>10</v>
      </c>
      <c r="G7" s="33">
        <f t="shared" si="2"/>
        <v>11</v>
      </c>
      <c r="H7" s="33">
        <f t="shared" si="2"/>
        <v>12</v>
      </c>
      <c r="I7" s="33">
        <f t="shared" si="2"/>
        <v>13</v>
      </c>
      <c r="J7" s="33">
        <f t="shared" si="2"/>
        <v>14</v>
      </c>
      <c r="K7" s="33">
        <f t="shared" si="2"/>
        <v>15</v>
      </c>
      <c r="L7" s="33">
        <f t="shared" si="3"/>
        <v>16</v>
      </c>
      <c r="N7" s="33">
        <v>8</v>
      </c>
      <c r="O7">
        <f t="shared" si="1"/>
        <v>2.9585798816568053E-2</v>
      </c>
      <c r="Q7">
        <v>16</v>
      </c>
      <c r="R7">
        <f t="shared" si="4"/>
        <v>1.183431952662722E-2</v>
      </c>
    </row>
    <row r="8" spans="1:18" x14ac:dyDescent="0.2">
      <c r="A8" s="40">
        <v>6</v>
      </c>
      <c r="B8" s="40"/>
      <c r="C8" s="33">
        <f t="shared" si="2"/>
        <v>8</v>
      </c>
      <c r="D8" s="33">
        <f t="shared" si="2"/>
        <v>9</v>
      </c>
      <c r="E8" s="33">
        <f t="shared" si="2"/>
        <v>10</v>
      </c>
      <c r="F8" s="33">
        <f t="shared" si="2"/>
        <v>11</v>
      </c>
      <c r="G8" s="33">
        <f t="shared" si="2"/>
        <v>12</v>
      </c>
      <c r="H8" s="33">
        <f t="shared" si="2"/>
        <v>13</v>
      </c>
      <c r="I8" s="33">
        <f t="shared" si="2"/>
        <v>14</v>
      </c>
      <c r="J8" s="33">
        <f t="shared" si="2"/>
        <v>15</v>
      </c>
      <c r="K8" s="33">
        <f t="shared" si="2"/>
        <v>16</v>
      </c>
      <c r="L8" s="33">
        <f t="shared" si="3"/>
        <v>17</v>
      </c>
      <c r="N8">
        <v>9</v>
      </c>
      <c r="O8">
        <f t="shared" si="1"/>
        <v>3.5502958579881665E-2</v>
      </c>
      <c r="Q8">
        <v>17</v>
      </c>
      <c r="R8">
        <f t="shared" si="4"/>
        <v>1.183431952662722E-2</v>
      </c>
    </row>
    <row r="9" spans="1:18" x14ac:dyDescent="0.2">
      <c r="A9" s="40">
        <v>7</v>
      </c>
      <c r="B9" s="40"/>
      <c r="C9" s="33">
        <f t="shared" si="2"/>
        <v>9</v>
      </c>
      <c r="D9" s="33">
        <f t="shared" si="2"/>
        <v>10</v>
      </c>
      <c r="E9" s="33">
        <f t="shared" si="2"/>
        <v>11</v>
      </c>
      <c r="F9" s="33">
        <f t="shared" si="2"/>
        <v>12</v>
      </c>
      <c r="G9" s="33">
        <f t="shared" si="2"/>
        <v>13</v>
      </c>
      <c r="H9" s="33">
        <f t="shared" si="2"/>
        <v>14</v>
      </c>
      <c r="I9" s="33">
        <f t="shared" si="2"/>
        <v>15</v>
      </c>
      <c r="J9" s="33">
        <f t="shared" si="2"/>
        <v>16</v>
      </c>
      <c r="K9" s="33">
        <f t="shared" si="2"/>
        <v>17</v>
      </c>
      <c r="L9" s="33">
        <f t="shared" si="3"/>
        <v>18</v>
      </c>
      <c r="N9" s="33">
        <v>10</v>
      </c>
      <c r="O9">
        <f t="shared" si="1"/>
        <v>4.142011834319527E-2</v>
      </c>
      <c r="Q9">
        <v>18</v>
      </c>
      <c r="R9">
        <f t="shared" si="4"/>
        <v>1.183431952662722E-2</v>
      </c>
    </row>
    <row r="10" spans="1:18" x14ac:dyDescent="0.2">
      <c r="A10" s="40">
        <v>8</v>
      </c>
      <c r="B10" s="40"/>
      <c r="C10" s="33">
        <f t="shared" si="2"/>
        <v>10</v>
      </c>
      <c r="D10" s="33">
        <f t="shared" si="2"/>
        <v>11</v>
      </c>
      <c r="E10" s="33">
        <f t="shared" si="2"/>
        <v>12</v>
      </c>
      <c r="F10" s="33">
        <f t="shared" si="2"/>
        <v>13</v>
      </c>
      <c r="G10" s="33">
        <f t="shared" si="2"/>
        <v>14</v>
      </c>
      <c r="H10" s="33">
        <f t="shared" si="2"/>
        <v>15</v>
      </c>
      <c r="I10" s="33">
        <f t="shared" si="2"/>
        <v>16</v>
      </c>
      <c r="J10" s="33">
        <f t="shared" si="2"/>
        <v>17</v>
      </c>
      <c r="K10" s="33">
        <f t="shared" si="2"/>
        <v>18</v>
      </c>
      <c r="L10" s="33">
        <f t="shared" si="3"/>
        <v>19</v>
      </c>
      <c r="N10">
        <v>11</v>
      </c>
      <c r="O10">
        <f t="shared" si="1"/>
        <v>4.7337278106508889E-2</v>
      </c>
      <c r="Q10">
        <v>19</v>
      </c>
      <c r="R10">
        <f t="shared" si="4"/>
        <v>1.183431952662722E-2</v>
      </c>
    </row>
    <row r="11" spans="1:18" x14ac:dyDescent="0.2">
      <c r="A11" s="40">
        <v>9</v>
      </c>
      <c r="B11" s="40"/>
      <c r="C11" s="33">
        <f t="shared" si="2"/>
        <v>11</v>
      </c>
      <c r="D11" s="33">
        <f t="shared" si="2"/>
        <v>12</v>
      </c>
      <c r="E11" s="33">
        <f t="shared" si="2"/>
        <v>13</v>
      </c>
      <c r="F11" s="33">
        <f t="shared" si="2"/>
        <v>14</v>
      </c>
      <c r="G11" s="33">
        <f t="shared" si="2"/>
        <v>15</v>
      </c>
      <c r="H11" s="33">
        <f t="shared" si="2"/>
        <v>16</v>
      </c>
      <c r="I11" s="33">
        <f t="shared" si="2"/>
        <v>17</v>
      </c>
      <c r="J11" s="33">
        <f t="shared" si="2"/>
        <v>18</v>
      </c>
      <c r="K11" s="33">
        <f t="shared" si="2"/>
        <v>19</v>
      </c>
      <c r="L11" s="33">
        <f t="shared" si="3"/>
        <v>20</v>
      </c>
      <c r="N11" s="33">
        <v>12</v>
      </c>
      <c r="O11">
        <f t="shared" si="1"/>
        <v>8.8757396449704151E-2</v>
      </c>
      <c r="Q11">
        <v>20</v>
      </c>
      <c r="R11">
        <f t="shared" si="4"/>
        <v>1.183431952662722E-2</v>
      </c>
    </row>
    <row r="12" spans="1:18" x14ac:dyDescent="0.2">
      <c r="A12" s="40">
        <v>10</v>
      </c>
      <c r="B12" s="40"/>
      <c r="C12" s="33">
        <f t="shared" si="2"/>
        <v>12</v>
      </c>
      <c r="D12" s="33">
        <f t="shared" si="2"/>
        <v>13</v>
      </c>
      <c r="E12" s="33">
        <f t="shared" si="2"/>
        <v>14</v>
      </c>
      <c r="F12" s="33">
        <f t="shared" si="2"/>
        <v>15</v>
      </c>
      <c r="G12" s="33">
        <f t="shared" si="2"/>
        <v>16</v>
      </c>
      <c r="H12" s="33">
        <f t="shared" si="2"/>
        <v>17</v>
      </c>
      <c r="I12" s="33">
        <f t="shared" si="2"/>
        <v>18</v>
      </c>
      <c r="J12" s="33">
        <f t="shared" si="2"/>
        <v>19</v>
      </c>
      <c r="K12" s="33">
        <f t="shared" si="2"/>
        <v>20</v>
      </c>
      <c r="L12" s="33">
        <f t="shared" si="3"/>
        <v>21</v>
      </c>
      <c r="N12">
        <v>13</v>
      </c>
      <c r="O12">
        <f t="shared" si="1"/>
        <v>8.2840236686390553E-2</v>
      </c>
      <c r="Q12">
        <v>21</v>
      </c>
      <c r="R12">
        <f t="shared" si="4"/>
        <v>4.7337278106508882E-2</v>
      </c>
    </row>
    <row r="13" spans="1:18" x14ac:dyDescent="0.2">
      <c r="A13" s="40">
        <v>1</v>
      </c>
      <c r="B13" s="40"/>
      <c r="C13" s="33">
        <f t="shared" ref="C13:K13" si="5">SUM(C$3,$A13)+10</f>
        <v>13</v>
      </c>
      <c r="D13" s="33">
        <f t="shared" si="5"/>
        <v>14</v>
      </c>
      <c r="E13" s="33">
        <f t="shared" si="5"/>
        <v>15</v>
      </c>
      <c r="F13" s="33">
        <f t="shared" si="5"/>
        <v>16</v>
      </c>
      <c r="G13" s="33">
        <f t="shared" si="5"/>
        <v>17</v>
      </c>
      <c r="H13" s="33">
        <f t="shared" si="5"/>
        <v>18</v>
      </c>
      <c r="I13" s="33">
        <f t="shared" si="5"/>
        <v>19</v>
      </c>
      <c r="J13" s="33">
        <f t="shared" si="5"/>
        <v>20</v>
      </c>
      <c r="K13" s="33">
        <f t="shared" si="5"/>
        <v>21</v>
      </c>
      <c r="L13" s="33">
        <f t="shared" si="3"/>
        <v>12</v>
      </c>
      <c r="N13" s="33">
        <v>14</v>
      </c>
      <c r="O13">
        <f t="shared" si="1"/>
        <v>7.6923076923076941E-2</v>
      </c>
    </row>
    <row r="14" spans="1:18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N14">
        <v>15</v>
      </c>
      <c r="O14">
        <f t="shared" si="1"/>
        <v>7.1005917159763329E-2</v>
      </c>
      <c r="R14">
        <f>SUM(R3:R13)</f>
        <v>0.14792899408284027</v>
      </c>
    </row>
    <row r="15" spans="1:18" x14ac:dyDescent="0.2">
      <c r="A15" s="33"/>
      <c r="B15" s="33"/>
      <c r="C15" s="36" t="s">
        <v>12</v>
      </c>
      <c r="D15" s="33"/>
      <c r="E15" s="33"/>
      <c r="F15" s="33"/>
      <c r="G15" s="33"/>
      <c r="H15" s="33"/>
      <c r="I15" s="33"/>
      <c r="J15" s="33"/>
      <c r="K15" s="33"/>
      <c r="N15" s="33">
        <v>16</v>
      </c>
      <c r="O15">
        <f t="shared" si="1"/>
        <v>6.5088757396449717E-2</v>
      </c>
      <c r="R15">
        <f>R14+O23</f>
        <v>1.0000000000000002</v>
      </c>
    </row>
    <row r="16" spans="1:18" x14ac:dyDescent="0.2">
      <c r="A16" s="40" t="s">
        <v>13</v>
      </c>
      <c r="B16" s="40"/>
      <c r="C16" s="40">
        <v>2</v>
      </c>
      <c r="D16" s="40">
        <v>3</v>
      </c>
      <c r="E16" s="40">
        <v>4</v>
      </c>
      <c r="F16" s="40">
        <v>5</v>
      </c>
      <c r="G16" s="40">
        <v>6</v>
      </c>
      <c r="H16" s="40">
        <v>7</v>
      </c>
      <c r="I16" s="40">
        <v>8</v>
      </c>
      <c r="J16" s="40">
        <v>9</v>
      </c>
      <c r="K16" s="40">
        <v>10</v>
      </c>
      <c r="L16" s="40">
        <v>1</v>
      </c>
      <c r="N16">
        <v>17</v>
      </c>
      <c r="O16">
        <f t="shared" si="1"/>
        <v>5.9171597633136105E-2</v>
      </c>
    </row>
    <row r="17" spans="1:32" x14ac:dyDescent="0.2">
      <c r="A17" s="40">
        <v>2</v>
      </c>
      <c r="B17" s="40"/>
      <c r="C17" s="33">
        <f>1/(9+Rules!$B$5)^2</f>
        <v>5.9171597633136093E-3</v>
      </c>
      <c r="D17" s="33">
        <f>(1/(9+Rules!$B$5))^2</f>
        <v>5.9171597633136102E-3</v>
      </c>
      <c r="E17" s="33">
        <f>(1/(9+Rules!$B$5))^2</f>
        <v>5.9171597633136102E-3</v>
      </c>
      <c r="F17" s="33">
        <f>(1/(9+Rules!$B$5))^2</f>
        <v>5.9171597633136102E-3</v>
      </c>
      <c r="G17" s="33">
        <f>(1/(9+Rules!$B$5))^2</f>
        <v>5.9171597633136102E-3</v>
      </c>
      <c r="H17" s="33">
        <f>(1/(9+Rules!$B$5))^2</f>
        <v>5.9171597633136102E-3</v>
      </c>
      <c r="I17" s="33">
        <f>(1/(9+Rules!$B$5))^2</f>
        <v>5.9171597633136102E-3</v>
      </c>
      <c r="J17" s="33">
        <f>(1/(9+Rules!$B$5))^2</f>
        <v>5.9171597633136102E-3</v>
      </c>
      <c r="K17" s="33">
        <f>(1/(9+Rules!$B$5))*(Rules!$B$5/(9+Rules!$B$5))</f>
        <v>2.3668639053254441E-2</v>
      </c>
      <c r="L17" s="33">
        <f>(1/(9+Rules!$B$5))^2</f>
        <v>5.9171597633136102E-3</v>
      </c>
      <c r="N17" s="33">
        <v>18</v>
      </c>
      <c r="O17">
        <f t="shared" si="1"/>
        <v>5.3254437869822494E-2</v>
      </c>
    </row>
    <row r="18" spans="1:32" x14ac:dyDescent="0.2">
      <c r="A18" s="40">
        <v>3</v>
      </c>
      <c r="B18" s="40"/>
      <c r="C18" s="33">
        <f>(1/(9+Rules!$B$5))^2</f>
        <v>5.9171597633136102E-3</v>
      </c>
      <c r="D18" s="33">
        <f>1/(9+Rules!$B$5)^2</f>
        <v>5.9171597633136093E-3</v>
      </c>
      <c r="E18" s="33">
        <f>(1/(9+Rules!$B$5))^2</f>
        <v>5.9171597633136102E-3</v>
      </c>
      <c r="F18" s="33">
        <f>(1/(9+Rules!$B$5))^2</f>
        <v>5.9171597633136102E-3</v>
      </c>
      <c r="G18" s="33">
        <f>(1/(9+Rules!$B$5))^2</f>
        <v>5.9171597633136102E-3</v>
      </c>
      <c r="H18" s="33">
        <f>(1/(9+Rules!$B$5))^2</f>
        <v>5.9171597633136102E-3</v>
      </c>
      <c r="I18" s="33">
        <f>(1/(9+Rules!$B$5))^2</f>
        <v>5.9171597633136102E-3</v>
      </c>
      <c r="J18" s="33">
        <f>(1/(9+Rules!$B$5))^2</f>
        <v>5.9171597633136102E-3</v>
      </c>
      <c r="K18" s="33">
        <f>(1/(9+Rules!$B$5))*(Rules!$B$5/(9+Rules!$B$5))</f>
        <v>2.3668639053254441E-2</v>
      </c>
      <c r="L18" s="33">
        <f>(1/(9+Rules!$B$5))^2</f>
        <v>5.9171597633136102E-3</v>
      </c>
      <c r="N18">
        <v>19</v>
      </c>
      <c r="O18">
        <f t="shared" si="1"/>
        <v>4.7337278106508882E-2</v>
      </c>
    </row>
    <row r="19" spans="1:32" x14ac:dyDescent="0.2">
      <c r="A19" s="40">
        <v>4</v>
      </c>
      <c r="B19" s="40"/>
      <c r="C19" s="33">
        <f>(1/(9+Rules!$B$5))^2</f>
        <v>5.9171597633136102E-3</v>
      </c>
      <c r="D19" s="33">
        <f>(1/(9+Rules!$B$5))^2</f>
        <v>5.9171597633136102E-3</v>
      </c>
      <c r="E19" s="33">
        <f>1/(9+Rules!$B$5)^2</f>
        <v>5.9171597633136093E-3</v>
      </c>
      <c r="F19" s="33">
        <f>(1/(9+Rules!$B$5))^2</f>
        <v>5.9171597633136102E-3</v>
      </c>
      <c r="G19" s="33">
        <f>(1/(9+Rules!$B$5))^2</f>
        <v>5.9171597633136102E-3</v>
      </c>
      <c r="H19" s="33">
        <f>(1/(9+Rules!$B$5))^2</f>
        <v>5.9171597633136102E-3</v>
      </c>
      <c r="I19" s="33">
        <f>(1/(9+Rules!$B$5))^2</f>
        <v>5.9171597633136102E-3</v>
      </c>
      <c r="J19" s="33">
        <f>(1/(9+Rules!$B$5))^2</f>
        <v>5.9171597633136102E-3</v>
      </c>
      <c r="K19" s="33">
        <f>(1/(9+Rules!$B$5))*(Rules!$B$5/(9+Rules!$B$5))</f>
        <v>2.3668639053254441E-2</v>
      </c>
      <c r="L19" s="33">
        <f>(1/(9+Rules!$B$5))^2</f>
        <v>5.9171597633136102E-3</v>
      </c>
      <c r="N19" s="33">
        <v>20</v>
      </c>
      <c r="O19">
        <f t="shared" si="1"/>
        <v>9.4674556213017763E-2</v>
      </c>
    </row>
    <row r="20" spans="1:32" x14ac:dyDescent="0.2">
      <c r="A20" s="40">
        <v>5</v>
      </c>
      <c r="B20" s="40"/>
      <c r="C20" s="33">
        <f>(1/(9+Rules!$B$5))^2</f>
        <v>5.9171597633136102E-3</v>
      </c>
      <c r="D20" s="33">
        <f>(1/(9+Rules!$B$5))^2</f>
        <v>5.9171597633136102E-3</v>
      </c>
      <c r="E20" s="33">
        <f>(1/(9+Rules!$B$5))^2</f>
        <v>5.9171597633136102E-3</v>
      </c>
      <c r="F20" s="33">
        <f>1/(9+Rules!$B$5)^2</f>
        <v>5.9171597633136093E-3</v>
      </c>
      <c r="G20" s="33">
        <f>(1/(9+Rules!$B$5))^2</f>
        <v>5.9171597633136102E-3</v>
      </c>
      <c r="H20" s="33">
        <f>(1/(9+Rules!$B$5))^2</f>
        <v>5.9171597633136102E-3</v>
      </c>
      <c r="I20" s="33">
        <f>(1/(9+Rules!$B$5))^2</f>
        <v>5.9171597633136102E-3</v>
      </c>
      <c r="J20" s="33">
        <f>(1/(9+Rules!$B$5))^2</f>
        <v>5.9171597633136102E-3</v>
      </c>
      <c r="K20" s="33">
        <f>(1/(9+Rules!$B$5))*(Rules!$B$5/(9+Rules!$B$5))</f>
        <v>2.3668639053254441E-2</v>
      </c>
      <c r="L20" s="33">
        <f>(1/(9+Rules!$B$5))^2</f>
        <v>5.9171597633136102E-3</v>
      </c>
    </row>
    <row r="21" spans="1:32" x14ac:dyDescent="0.2">
      <c r="A21" s="40">
        <v>6</v>
      </c>
      <c r="B21" s="40"/>
      <c r="C21" s="33">
        <f>(1/(9+Rules!$B$5))^2</f>
        <v>5.9171597633136102E-3</v>
      </c>
      <c r="D21" s="33">
        <f>(1/(9+Rules!$B$5))^2</f>
        <v>5.9171597633136102E-3</v>
      </c>
      <c r="E21" s="33">
        <f>(1/(9+Rules!$B$5))^2</f>
        <v>5.9171597633136102E-3</v>
      </c>
      <c r="F21" s="33">
        <f>(1/(9+Rules!$B$5))^2</f>
        <v>5.9171597633136102E-3</v>
      </c>
      <c r="G21" s="33">
        <f>1/(9+Rules!$B$5)^2</f>
        <v>5.9171597633136093E-3</v>
      </c>
      <c r="H21" s="33">
        <f>(1/(9+Rules!$B$5))^2</f>
        <v>5.9171597633136102E-3</v>
      </c>
      <c r="I21" s="33">
        <f>(1/(9+Rules!$B$5))^2</f>
        <v>5.9171597633136102E-3</v>
      </c>
      <c r="J21" s="33">
        <f>(1/(9+Rules!$B$5))^2</f>
        <v>5.9171597633136102E-3</v>
      </c>
      <c r="K21" s="33">
        <f>(1/(9+Rules!$B$5))*(Rules!$B$5/(9+Rules!$B$5))</f>
        <v>2.3668639053254441E-2</v>
      </c>
      <c r="L21" s="33">
        <f>(1/(9+Rules!$B$5))^2</f>
        <v>5.9171597633136102E-3</v>
      </c>
    </row>
    <row r="22" spans="1:32" x14ac:dyDescent="0.2">
      <c r="A22" s="40">
        <v>7</v>
      </c>
      <c r="B22" s="40"/>
      <c r="C22" s="33">
        <f>(1/(9+Rules!$B$5))^2</f>
        <v>5.9171597633136102E-3</v>
      </c>
      <c r="D22" s="33">
        <f>(1/(9+Rules!$B$5))^2</f>
        <v>5.9171597633136102E-3</v>
      </c>
      <c r="E22" s="33">
        <f>(1/(9+Rules!$B$5))^2</f>
        <v>5.9171597633136102E-3</v>
      </c>
      <c r="F22" s="33">
        <f>(1/(9+Rules!$B$5))^2</f>
        <v>5.9171597633136102E-3</v>
      </c>
      <c r="G22" s="33">
        <f>(1/(9+Rules!$B$5))^2</f>
        <v>5.9171597633136102E-3</v>
      </c>
      <c r="H22" s="33">
        <f>1/(9+Rules!$B$5)^2</f>
        <v>5.9171597633136093E-3</v>
      </c>
      <c r="I22" s="33">
        <f>(1/(9+Rules!$B$5))^2</f>
        <v>5.9171597633136102E-3</v>
      </c>
      <c r="J22" s="33">
        <f>(1/(9+Rules!$B$5))^2</f>
        <v>5.9171597633136102E-3</v>
      </c>
      <c r="K22" s="33">
        <f>(1/(9+Rules!$B$5))*(Rules!$B$5/(9+Rules!$B$5))</f>
        <v>2.3668639053254441E-2</v>
      </c>
      <c r="L22" s="33">
        <f>(1/(9+Rules!$B$5))^2</f>
        <v>5.9171597633136102E-3</v>
      </c>
    </row>
    <row r="23" spans="1:32" x14ac:dyDescent="0.2">
      <c r="A23" s="40">
        <v>8</v>
      </c>
      <c r="B23" s="40"/>
      <c r="C23" s="33">
        <f>(1/(9+Rules!$B$5))^2</f>
        <v>5.9171597633136102E-3</v>
      </c>
      <c r="D23" s="33">
        <f>(1/(9+Rules!$B$5))^2</f>
        <v>5.9171597633136102E-3</v>
      </c>
      <c r="E23" s="33">
        <f>(1/(9+Rules!$B$5))^2</f>
        <v>5.9171597633136102E-3</v>
      </c>
      <c r="F23" s="33">
        <f>(1/(9+Rules!$B$5))^2</f>
        <v>5.9171597633136102E-3</v>
      </c>
      <c r="G23" s="33">
        <f>(1/(9+Rules!$B$5))^2</f>
        <v>5.9171597633136102E-3</v>
      </c>
      <c r="H23" s="33">
        <f>(1/(9+Rules!$B$5))^2</f>
        <v>5.9171597633136102E-3</v>
      </c>
      <c r="I23" s="33">
        <f>1/(9+Rules!$B$5)^2</f>
        <v>5.9171597633136093E-3</v>
      </c>
      <c r="J23" s="33">
        <f>(1/(9+Rules!$B$5))^2</f>
        <v>5.9171597633136102E-3</v>
      </c>
      <c r="K23" s="33">
        <f>(1/(9+Rules!$B$5))*(Rules!$B$5/(9+Rules!$B$5))</f>
        <v>2.3668639053254441E-2</v>
      </c>
      <c r="L23" s="33">
        <f>(1/(9+Rules!$B$5))^2</f>
        <v>5.9171597633136102E-3</v>
      </c>
      <c r="O23">
        <f>SUM(O3:O22)</f>
        <v>0.8520710059171599</v>
      </c>
      <c r="S23" t="s">
        <v>98</v>
      </c>
      <c r="T23">
        <f>SUM(O16:O19,R10:R12)</f>
        <v>0.32544378698224863</v>
      </c>
    </row>
    <row r="24" spans="1:32" x14ac:dyDescent="0.2">
      <c r="A24" s="40">
        <v>9</v>
      </c>
      <c r="B24" s="40"/>
      <c r="C24" s="33">
        <f>(1/(9+Rules!$B$5))^2</f>
        <v>5.9171597633136102E-3</v>
      </c>
      <c r="D24" s="33">
        <f>(1/(9+Rules!$B$5))^2</f>
        <v>5.9171597633136102E-3</v>
      </c>
      <c r="E24" s="33">
        <f>(1/(9+Rules!$B$5))^2</f>
        <v>5.9171597633136102E-3</v>
      </c>
      <c r="F24" s="33">
        <f>(1/(9+Rules!$B$5))^2</f>
        <v>5.9171597633136102E-3</v>
      </c>
      <c r="G24" s="33">
        <f>(1/(9+Rules!$B$5))^2</f>
        <v>5.9171597633136102E-3</v>
      </c>
      <c r="H24" s="33">
        <f>(1/(9+Rules!$B$5))^2</f>
        <v>5.9171597633136102E-3</v>
      </c>
      <c r="I24" s="33">
        <f>(1/(9+Rules!$B$5))^2</f>
        <v>5.9171597633136102E-3</v>
      </c>
      <c r="J24" s="33">
        <f>1/(9+Rules!$B$5)^2</f>
        <v>5.9171597633136093E-3</v>
      </c>
      <c r="K24" s="33">
        <f>(1/(9+Rules!$B$5))*(Rules!$B$5/(9+Rules!$B$5))</f>
        <v>2.3668639053254441E-2</v>
      </c>
      <c r="L24" s="33">
        <f>(1/(9+Rules!$B$5))^2</f>
        <v>5.9171597633136102E-3</v>
      </c>
    </row>
    <row r="25" spans="1:32" x14ac:dyDescent="0.2">
      <c r="A25" s="40">
        <v>10</v>
      </c>
      <c r="B25" s="40"/>
      <c r="C25" s="33">
        <f>(1/(9+Rules!$B$5))*(Rules!$B$5/(9+Rules!$B$5))</f>
        <v>2.3668639053254441E-2</v>
      </c>
      <c r="D25" s="33">
        <f>(1/(9+Rules!$B$5))*(Rules!$B$5/(9+Rules!$B$5))</f>
        <v>2.3668639053254441E-2</v>
      </c>
      <c r="E25" s="33">
        <f>(1/(9+Rules!$B$5))*(Rules!$B$5/(9+Rules!$B$5))</f>
        <v>2.3668639053254441E-2</v>
      </c>
      <c r="F25" s="33">
        <f>(1/(9+Rules!$B$5))*(Rules!$B$5/(9+Rules!$B$5))</f>
        <v>2.3668639053254441E-2</v>
      </c>
      <c r="G25" s="33">
        <f>(1/(9+Rules!$B$5))*(Rules!$B$5/(9+Rules!$B$5))</f>
        <v>2.3668639053254441E-2</v>
      </c>
      <c r="H25" s="33">
        <f>(1/(9+Rules!$B$5))*(Rules!$B$5/(9+Rules!$B$5))</f>
        <v>2.3668639053254441E-2</v>
      </c>
      <c r="I25" s="33">
        <f>(1/(9+Rules!$B$5))*(Rules!$B$5/(9+Rules!$B$5))</f>
        <v>2.3668639053254441E-2</v>
      </c>
      <c r="J25" s="33">
        <f>(1/(9+Rules!$B$5))*(Rules!$B$5/(9+Rules!$B$5))</f>
        <v>2.3668639053254441E-2</v>
      </c>
      <c r="K25" s="33">
        <f>(Rules!$B$5/(9+Rules!$B$5))^2</f>
        <v>9.4674556213017763E-2</v>
      </c>
      <c r="L25" s="33">
        <f>(1/(9+Rules!$B$5))*(Rules!$B$5/(9+Rules!$B$5))</f>
        <v>2.3668639053254441E-2</v>
      </c>
    </row>
    <row r="26" spans="1:32" x14ac:dyDescent="0.2">
      <c r="A26" s="40">
        <v>1</v>
      </c>
      <c r="C26" s="33">
        <f>(1/(9+Rules!$B$5))^2</f>
        <v>5.9171597633136102E-3</v>
      </c>
      <c r="D26" s="33">
        <f>(1/(9+Rules!$B$5))^2</f>
        <v>5.9171597633136102E-3</v>
      </c>
      <c r="E26" s="33">
        <f>(1/(9+Rules!$B$5))^2</f>
        <v>5.9171597633136102E-3</v>
      </c>
      <c r="F26" s="33">
        <f>(1/(9+Rules!$B$5))^2</f>
        <v>5.9171597633136102E-3</v>
      </c>
      <c r="G26" s="33">
        <f>(1/(9+Rules!$B$5))^2</f>
        <v>5.9171597633136102E-3</v>
      </c>
      <c r="H26" s="33">
        <f>(1/(9+Rules!$B$5))^2</f>
        <v>5.9171597633136102E-3</v>
      </c>
      <c r="I26" s="33">
        <f>(1/(9+Rules!$B$5))^2</f>
        <v>5.9171597633136102E-3</v>
      </c>
      <c r="J26" s="33">
        <f>(1/(9+Rules!$B$5))^2</f>
        <v>5.9171597633136102E-3</v>
      </c>
      <c r="K26" s="33">
        <f>(1/(9+Rules!$B$5))*(Rules!$B$5/(9+Rules!$B$5))</f>
        <v>2.3668639053254441E-2</v>
      </c>
      <c r="L26" s="33">
        <f>1/(9+Rules!$B$5)^2</f>
        <v>5.9171597633136093E-3</v>
      </c>
    </row>
    <row r="29" spans="1:32" x14ac:dyDescent="0.2">
      <c r="B29" t="s">
        <v>14</v>
      </c>
      <c r="C29">
        <v>5</v>
      </c>
      <c r="D29">
        <v>6</v>
      </c>
      <c r="E29">
        <v>7</v>
      </c>
      <c r="F29">
        <v>8</v>
      </c>
      <c r="G29">
        <v>9</v>
      </c>
      <c r="H29">
        <v>10</v>
      </c>
      <c r="I29">
        <v>11</v>
      </c>
      <c r="J29">
        <v>12</v>
      </c>
      <c r="K29">
        <v>13</v>
      </c>
      <c r="L29">
        <v>14</v>
      </c>
      <c r="M29">
        <v>15</v>
      </c>
      <c r="N29">
        <v>16</v>
      </c>
      <c r="O29">
        <v>17</v>
      </c>
      <c r="P29">
        <v>18</v>
      </c>
      <c r="Q29">
        <v>19</v>
      </c>
      <c r="R29">
        <v>20</v>
      </c>
      <c r="S29">
        <v>21</v>
      </c>
      <c r="T29">
        <v>22</v>
      </c>
      <c r="U29">
        <v>23</v>
      </c>
      <c r="V29">
        <v>24</v>
      </c>
      <c r="W29">
        <v>25</v>
      </c>
      <c r="X29">
        <v>26</v>
      </c>
      <c r="Y29">
        <v>27</v>
      </c>
      <c r="Z29">
        <v>28</v>
      </c>
      <c r="AA29">
        <v>29</v>
      </c>
      <c r="AB29">
        <v>30</v>
      </c>
      <c r="AC29">
        <v>31</v>
      </c>
      <c r="AD29">
        <v>32</v>
      </c>
      <c r="AE29">
        <v>33</v>
      </c>
      <c r="AF29">
        <v>34</v>
      </c>
    </row>
    <row r="30" spans="1:32" x14ac:dyDescent="0.2">
      <c r="A30">
        <v>4</v>
      </c>
      <c r="B30">
        <f>O3</f>
        <v>5.9171597633136093E-3</v>
      </c>
      <c r="C30">
        <f>$B30*1/(9+Rules!$B$5)</f>
        <v>4.5516613563950843E-4</v>
      </c>
      <c r="D30">
        <f>$B30*1/(9+Rules!$B$5)</f>
        <v>4.5516613563950843E-4</v>
      </c>
      <c r="E30">
        <f>$B30*1/(9+Rules!$B$5)</f>
        <v>4.5516613563950843E-4</v>
      </c>
      <c r="F30">
        <f>$B30*1/(9+Rules!$B$5)</f>
        <v>4.5516613563950843E-4</v>
      </c>
      <c r="G30">
        <f>$B30*1/(9+Rules!$B$5)</f>
        <v>4.5516613563950843E-4</v>
      </c>
      <c r="H30">
        <f>$B30*1/(9+Rules!$B$5)</f>
        <v>4.5516613563950843E-4</v>
      </c>
      <c r="I30">
        <f>$B30*1/(9+Rules!$B$5)</f>
        <v>4.5516613563950843E-4</v>
      </c>
      <c r="J30">
        <f>$B30*1/(9+Rules!$B$5)</f>
        <v>4.5516613563950843E-4</v>
      </c>
      <c r="K30">
        <f>$B30*1/(9+Rules!$B$5)</f>
        <v>4.5516613563950843E-4</v>
      </c>
      <c r="L30">
        <f>$B30*Rules!$B$5/(9+Rules!$B$5)</f>
        <v>1.8206645425580337E-3</v>
      </c>
    </row>
    <row r="31" spans="1:32" x14ac:dyDescent="0.2">
      <c r="A31">
        <v>5</v>
      </c>
      <c r="B31">
        <f t="shared" ref="B31:B42" si="6">O4</f>
        <v>1.183431952662722E-2</v>
      </c>
      <c r="D31">
        <f>$B31*1/(9+Rules!$B$5)</f>
        <v>9.1033227127901696E-4</v>
      </c>
      <c r="E31">
        <f>$B31*1/(9+Rules!$B$5)</f>
        <v>9.1033227127901696E-4</v>
      </c>
      <c r="F31">
        <f>$B31*1/(9+Rules!$B$5)</f>
        <v>9.1033227127901696E-4</v>
      </c>
      <c r="G31">
        <f>$B31*1/(9+Rules!$B$5)</f>
        <v>9.1033227127901696E-4</v>
      </c>
      <c r="H31">
        <f>$B31*1/(9+Rules!$B$5)</f>
        <v>9.1033227127901696E-4</v>
      </c>
      <c r="I31">
        <f>$B31*1/(9+Rules!$B$5)</f>
        <v>9.1033227127901696E-4</v>
      </c>
      <c r="J31">
        <f>$B31*1/(9+Rules!$B$5)</f>
        <v>9.1033227127901696E-4</v>
      </c>
      <c r="K31">
        <f>$B31*1/(9+Rules!$B$5)</f>
        <v>9.1033227127901696E-4</v>
      </c>
      <c r="L31">
        <f>$B31*1/(9+Rules!$B$5)</f>
        <v>9.1033227127901696E-4</v>
      </c>
      <c r="M31">
        <f>$B31*Rules!$B$5/(9+Rules!$B$5)</f>
        <v>3.6413290851160678E-3</v>
      </c>
    </row>
    <row r="32" spans="1:32" x14ac:dyDescent="0.2">
      <c r="A32">
        <v>6</v>
      </c>
      <c r="B32">
        <f t="shared" si="6"/>
        <v>1.7751479289940829E-2</v>
      </c>
      <c r="E32">
        <f>$B32*1/(9+Rules!$B$5)</f>
        <v>1.3654984069185253E-3</v>
      </c>
      <c r="F32">
        <f>$B$32*1/(9+Rules!$B$5)</f>
        <v>1.3654984069185253E-3</v>
      </c>
      <c r="G32">
        <f>$B$32*1/(9+Rules!$B$5)</f>
        <v>1.3654984069185253E-3</v>
      </c>
      <c r="H32">
        <f>$B$32*1/(9+Rules!$B$5)</f>
        <v>1.3654984069185253E-3</v>
      </c>
      <c r="I32">
        <f>$B$32*1/(9+Rules!$B$5)</f>
        <v>1.3654984069185253E-3</v>
      </c>
      <c r="J32">
        <f>$B$32*1/(9+Rules!$B$5)</f>
        <v>1.3654984069185253E-3</v>
      </c>
      <c r="K32">
        <f>$B$32*1/(9+Rules!$B$5)</f>
        <v>1.3654984069185253E-3</v>
      </c>
      <c r="L32">
        <f>$B$32*1/(9+Rules!$B$5)</f>
        <v>1.3654984069185253E-3</v>
      </c>
      <c r="M32">
        <f>$B$32*1/(9+Rules!$B$5)</f>
        <v>1.3654984069185253E-3</v>
      </c>
      <c r="N32">
        <f>$B32*Rules!$B$5/(9+Rules!$B$5)</f>
        <v>5.4619936276741011E-3</v>
      </c>
    </row>
    <row r="33" spans="1:28" x14ac:dyDescent="0.2">
      <c r="A33">
        <v>7</v>
      </c>
      <c r="B33">
        <f t="shared" si="6"/>
        <v>2.3668639053254441E-2</v>
      </c>
      <c r="F33">
        <f>$B33*1/(9+Rules!$B$5)</f>
        <v>1.8206645425580339E-3</v>
      </c>
      <c r="G33">
        <f>$B33*1/(9+Rules!$B$5)</f>
        <v>1.8206645425580339E-3</v>
      </c>
      <c r="H33">
        <f>$B33*1/(9+Rules!$B$5)</f>
        <v>1.8206645425580339E-3</v>
      </c>
      <c r="I33">
        <f>$B33*1/(9+Rules!$B$5)</f>
        <v>1.8206645425580339E-3</v>
      </c>
      <c r="J33">
        <f>$B33*1/(9+Rules!$B$5)</f>
        <v>1.8206645425580339E-3</v>
      </c>
      <c r="K33">
        <f>$B33*1/(9+Rules!$B$5)</f>
        <v>1.8206645425580339E-3</v>
      </c>
      <c r="L33">
        <f>$B33*1/(9+Rules!$B$5)</f>
        <v>1.8206645425580339E-3</v>
      </c>
      <c r="M33">
        <f>$B33*1/(9+Rules!$B$5)</f>
        <v>1.8206645425580339E-3</v>
      </c>
      <c r="N33">
        <f>$B33*1/(9+Rules!$B$5)</f>
        <v>1.8206645425580339E-3</v>
      </c>
      <c r="O33">
        <f>$B33*Rules!$B$5/(9+Rules!$B$5)</f>
        <v>7.2826581702321357E-3</v>
      </c>
    </row>
    <row r="34" spans="1:28" x14ac:dyDescent="0.2">
      <c r="A34">
        <v>8</v>
      </c>
      <c r="B34">
        <f t="shared" si="6"/>
        <v>2.9585798816568053E-2</v>
      </c>
      <c r="G34">
        <f>$B34*1/(9+Rules!$B$5)</f>
        <v>2.2758306781975423E-3</v>
      </c>
      <c r="H34">
        <f>$B34*1/(9+Rules!$B$5)</f>
        <v>2.2758306781975423E-3</v>
      </c>
      <c r="I34">
        <f>$B34*1/(9+Rules!$B$5)</f>
        <v>2.2758306781975423E-3</v>
      </c>
      <c r="J34">
        <f>$B34*1/(9+Rules!$B$5)</f>
        <v>2.2758306781975423E-3</v>
      </c>
      <c r="K34">
        <f>$B34*1/(9+Rules!$B$5)</f>
        <v>2.2758306781975423E-3</v>
      </c>
      <c r="L34">
        <f>$B34*1/(9+Rules!$B$5)</f>
        <v>2.2758306781975423E-3</v>
      </c>
      <c r="M34">
        <f>$B34*1/(9+Rules!$B$5)</f>
        <v>2.2758306781975423E-3</v>
      </c>
      <c r="N34">
        <f>$B34*1/(9+Rules!$B$5)</f>
        <v>2.2758306781975423E-3</v>
      </c>
      <c r="O34">
        <f>$B34*1/(9+Rules!$B$5)</f>
        <v>2.2758306781975423E-3</v>
      </c>
      <c r="P34">
        <f>$B34*Rules!$B$5/(9+Rules!$B$5)</f>
        <v>9.1033227127901694E-3</v>
      </c>
    </row>
    <row r="35" spans="1:28" x14ac:dyDescent="0.2">
      <c r="A35">
        <v>9</v>
      </c>
      <c r="B35">
        <f t="shared" si="6"/>
        <v>3.5502958579881665E-2</v>
      </c>
      <c r="H35">
        <f>$B35*1/(9+Rules!$B$5)</f>
        <v>2.730996813837051E-3</v>
      </c>
      <c r="I35">
        <f>$B35*1/(9+Rules!$B$5)</f>
        <v>2.730996813837051E-3</v>
      </c>
      <c r="J35">
        <f>$B35*1/(9+Rules!$B$5)</f>
        <v>2.730996813837051E-3</v>
      </c>
      <c r="K35">
        <f>$B35*1/(9+Rules!$B$5)</f>
        <v>2.730996813837051E-3</v>
      </c>
      <c r="L35">
        <f>$B35*1/(9+Rules!$B$5)</f>
        <v>2.730996813837051E-3</v>
      </c>
      <c r="M35">
        <f>$B35*1/(9+Rules!$B$5)</f>
        <v>2.730996813837051E-3</v>
      </c>
      <c r="N35">
        <f>$B35*1/(9+Rules!$B$5)</f>
        <v>2.730996813837051E-3</v>
      </c>
      <c r="O35">
        <f>$B35*1/(9+Rules!$B$5)</f>
        <v>2.730996813837051E-3</v>
      </c>
      <c r="P35">
        <f>$B35*1/(9+Rules!$B$5)</f>
        <v>2.730996813837051E-3</v>
      </c>
      <c r="Q35">
        <f>$B35*Rules!$B$5/(9+Rules!$B$5)</f>
        <v>1.0923987255348204E-2</v>
      </c>
    </row>
    <row r="36" spans="1:28" x14ac:dyDescent="0.2">
      <c r="A36">
        <v>10</v>
      </c>
      <c r="B36">
        <f t="shared" si="6"/>
        <v>4.142011834319527E-2</v>
      </c>
      <c r="I36">
        <f>$B36*1/(9+Rules!$B$5)</f>
        <v>3.1861629494765592E-3</v>
      </c>
      <c r="J36">
        <f>$B36*1/(9+Rules!$B$5)</f>
        <v>3.1861629494765592E-3</v>
      </c>
      <c r="K36">
        <f>$B36*1/(9+Rules!$B$5)</f>
        <v>3.1861629494765592E-3</v>
      </c>
      <c r="L36">
        <f>$B36*1/(9+Rules!$B$5)</f>
        <v>3.1861629494765592E-3</v>
      </c>
      <c r="M36">
        <f>$B36*1/(9+Rules!$B$5)</f>
        <v>3.1861629494765592E-3</v>
      </c>
      <c r="N36">
        <f>$B36*1/(9+Rules!$B$5)</f>
        <v>3.1861629494765592E-3</v>
      </c>
      <c r="O36">
        <f>$B36*1/(9+Rules!$B$5)</f>
        <v>3.1861629494765592E-3</v>
      </c>
      <c r="P36">
        <f>$B36*1/(9+Rules!$B$5)</f>
        <v>3.1861629494765592E-3</v>
      </c>
      <c r="Q36">
        <f>$B36*1/(9+Rules!$B$5)</f>
        <v>3.1861629494765592E-3</v>
      </c>
      <c r="R36">
        <f>$B36*Rules!$B$5/(9+Rules!$B$5)</f>
        <v>1.2744651797906237E-2</v>
      </c>
    </row>
    <row r="37" spans="1:28" x14ac:dyDescent="0.2">
      <c r="A37">
        <v>11</v>
      </c>
      <c r="B37">
        <f t="shared" si="6"/>
        <v>4.7337278106508889E-2</v>
      </c>
      <c r="J37">
        <f>$B37*1/(9+Rules!$B$5)</f>
        <v>3.6413290851160683E-3</v>
      </c>
      <c r="K37">
        <f>$B37*1/(9+Rules!$B$5)</f>
        <v>3.6413290851160683E-3</v>
      </c>
      <c r="L37">
        <f>$B37*1/(9+Rules!$B$5)</f>
        <v>3.6413290851160683E-3</v>
      </c>
      <c r="M37">
        <f>$B37*1/(9+Rules!$B$5)</f>
        <v>3.6413290851160683E-3</v>
      </c>
      <c r="N37">
        <f>$B37*1/(9+Rules!$B$5)</f>
        <v>3.6413290851160683E-3</v>
      </c>
      <c r="O37">
        <f>$B37*1/(9+Rules!$B$5)</f>
        <v>3.6413290851160683E-3</v>
      </c>
      <c r="P37">
        <f>$B37*1/(9+Rules!$B$5)</f>
        <v>3.6413290851160683E-3</v>
      </c>
      <c r="Q37">
        <f>$B37*1/(9+Rules!$B$5)</f>
        <v>3.6413290851160683E-3</v>
      </c>
      <c r="R37">
        <f>$B37*1/(9+Rules!$B$5)</f>
        <v>3.6413290851160683E-3</v>
      </c>
      <c r="S37">
        <f>$B37*Rules!$B$5/(9+Rules!$B$5)</f>
        <v>1.4565316340464273E-2</v>
      </c>
    </row>
    <row r="38" spans="1:28" x14ac:dyDescent="0.2">
      <c r="A38">
        <v>12</v>
      </c>
      <c r="B38">
        <f t="shared" si="6"/>
        <v>8.8757396449704151E-2</v>
      </c>
      <c r="K38">
        <f>$B38*1/(9+Rules!$B$5)</f>
        <v>6.8274920345926266E-3</v>
      </c>
      <c r="L38">
        <f>$B38*1/(9+Rules!$B$5)</f>
        <v>6.8274920345926266E-3</v>
      </c>
      <c r="M38">
        <f>$B38*1/(9+Rules!$B$5)</f>
        <v>6.8274920345926266E-3</v>
      </c>
      <c r="N38">
        <f>$B38*1/(9+Rules!$B$5)</f>
        <v>6.8274920345926266E-3</v>
      </c>
      <c r="O38">
        <f>$B38*1/(9+Rules!$B$5)</f>
        <v>6.8274920345926266E-3</v>
      </c>
      <c r="P38">
        <f>$B38*1/(9+Rules!$B$5)</f>
        <v>6.8274920345926266E-3</v>
      </c>
      <c r="Q38">
        <f>$B38*1/(9+Rules!$B$5)</f>
        <v>6.8274920345926266E-3</v>
      </c>
      <c r="R38">
        <f>$B38*1/(9+Rules!$B$5)</f>
        <v>6.8274920345926266E-3</v>
      </c>
      <c r="S38">
        <f>$B38*1/(9+Rules!$B$5)</f>
        <v>6.8274920345926266E-3</v>
      </c>
      <c r="T38">
        <f>$B38*Rules!$B$5/(9+Rules!$B$5)</f>
        <v>2.7309968138370506E-2</v>
      </c>
    </row>
    <row r="39" spans="1:28" x14ac:dyDescent="0.2">
      <c r="A39">
        <v>13</v>
      </c>
      <c r="B39">
        <f t="shared" si="6"/>
        <v>8.2840236686390553E-2</v>
      </c>
      <c r="L39">
        <f>$B39*1/(9+Rules!$B$5)</f>
        <v>6.3723258989531193E-3</v>
      </c>
      <c r="M39">
        <f>$B39*1/(9+Rules!$B$5)</f>
        <v>6.3723258989531193E-3</v>
      </c>
      <c r="N39">
        <f>$B39*1/(9+Rules!$B$5)</f>
        <v>6.3723258989531193E-3</v>
      </c>
      <c r="O39">
        <f>$B39*1/(9+Rules!$B$5)</f>
        <v>6.3723258989531193E-3</v>
      </c>
      <c r="P39">
        <f>$B39*1/(9+Rules!$B$5)</f>
        <v>6.3723258989531193E-3</v>
      </c>
      <c r="Q39">
        <f>$B39*1/(9+Rules!$B$5)</f>
        <v>6.3723258989531193E-3</v>
      </c>
      <c r="R39">
        <f>$B39*1/(9+Rules!$B$5)</f>
        <v>6.3723258989531193E-3</v>
      </c>
      <c r="S39">
        <f>$B39*1/(9+Rules!$B$5)</f>
        <v>6.3723258989531193E-3</v>
      </c>
      <c r="T39">
        <f>$B39*1/(9+Rules!$B$5)</f>
        <v>6.3723258989531193E-3</v>
      </c>
      <c r="U39">
        <f>$B39*Rules!$B$5/(9+Rules!$B$5)</f>
        <v>2.5489303595812477E-2</v>
      </c>
    </row>
    <row r="40" spans="1:28" x14ac:dyDescent="0.2">
      <c r="A40">
        <v>14</v>
      </c>
      <c r="B40">
        <f t="shared" si="6"/>
        <v>7.6923076923076941E-2</v>
      </c>
      <c r="M40">
        <f>$B40*1/(9+Rules!$B$5)</f>
        <v>5.9171597633136111E-3</v>
      </c>
      <c r="N40">
        <f>$B40*1/(9+Rules!$B$5)</f>
        <v>5.9171597633136111E-3</v>
      </c>
      <c r="O40">
        <f>$B40*1/(9+Rules!$B$5)</f>
        <v>5.9171597633136111E-3</v>
      </c>
      <c r="P40">
        <f>$B40*1/(9+Rules!$B$5)</f>
        <v>5.9171597633136111E-3</v>
      </c>
      <c r="Q40">
        <f>$B40*1/(9+Rules!$B$5)</f>
        <v>5.9171597633136111E-3</v>
      </c>
      <c r="R40">
        <f>$B40*1/(9+Rules!$B$5)</f>
        <v>5.9171597633136111E-3</v>
      </c>
      <c r="S40">
        <f>$B40*1/(9+Rules!$B$5)</f>
        <v>5.9171597633136111E-3</v>
      </c>
      <c r="T40">
        <f>$B40*1/(9+Rules!$B$5)</f>
        <v>5.9171597633136111E-3</v>
      </c>
      <c r="U40">
        <f>$B40*1/(9+Rules!$B$5)</f>
        <v>5.9171597633136111E-3</v>
      </c>
      <c r="V40">
        <f>$B40*Rules!$B$5/(9+Rules!$B$5)</f>
        <v>2.3668639053254444E-2</v>
      </c>
    </row>
    <row r="41" spans="1:28" x14ac:dyDescent="0.2">
      <c r="A41">
        <v>15</v>
      </c>
      <c r="B41">
        <f t="shared" si="6"/>
        <v>7.1005917159763329E-2</v>
      </c>
      <c r="N41">
        <f>$B41*1/(9+Rules!$B$5)</f>
        <v>5.461993627674102E-3</v>
      </c>
      <c r="O41">
        <f>$B41*1/(9+Rules!$B$5)</f>
        <v>5.461993627674102E-3</v>
      </c>
      <c r="P41">
        <f>$B41*1/(9+Rules!$B$5)</f>
        <v>5.461993627674102E-3</v>
      </c>
      <c r="Q41">
        <f>$B41*1/(9+Rules!$B$5)</f>
        <v>5.461993627674102E-3</v>
      </c>
      <c r="R41">
        <f>$B41*1/(9+Rules!$B$5)</f>
        <v>5.461993627674102E-3</v>
      </c>
      <c r="S41">
        <f>$B41*1/(9+Rules!$B$5)</f>
        <v>5.461993627674102E-3</v>
      </c>
      <c r="T41">
        <f>$B41*1/(9+Rules!$B$5)</f>
        <v>5.461993627674102E-3</v>
      </c>
      <c r="U41">
        <f>$B41*1/(9+Rules!$B$5)</f>
        <v>5.461993627674102E-3</v>
      </c>
      <c r="V41">
        <f>$B41*1/(9+Rules!$B$5)</f>
        <v>5.461993627674102E-3</v>
      </c>
      <c r="W41">
        <f>$B41*Rules!$B$5/(9+Rules!$B$5)</f>
        <v>2.1847974510696408E-2</v>
      </c>
    </row>
    <row r="42" spans="1:28" x14ac:dyDescent="0.2">
      <c r="A42">
        <v>16</v>
      </c>
      <c r="B42">
        <f t="shared" si="6"/>
        <v>6.5088757396449717E-2</v>
      </c>
      <c r="O42">
        <f>$B42*1/(9+Rules!$B$5)</f>
        <v>5.0068274920345938E-3</v>
      </c>
      <c r="P42">
        <f>$B42*1/(9+Rules!$B$5)</f>
        <v>5.0068274920345938E-3</v>
      </c>
      <c r="Q42">
        <f>$B42*1/(9+Rules!$B$5)</f>
        <v>5.0068274920345938E-3</v>
      </c>
      <c r="R42">
        <f>$B42*1/(9+Rules!$B$5)</f>
        <v>5.0068274920345938E-3</v>
      </c>
      <c r="S42">
        <f>$B42*1/(9+Rules!$B$5)</f>
        <v>5.0068274920345938E-3</v>
      </c>
      <c r="T42">
        <f>$B42*1/(9+Rules!$B$5)</f>
        <v>5.0068274920345938E-3</v>
      </c>
      <c r="U42">
        <f>$B42*1/(9+Rules!$B$5)</f>
        <v>5.0068274920345938E-3</v>
      </c>
      <c r="V42">
        <f>$B42*1/(9+Rules!$B$5)</f>
        <v>5.0068274920345938E-3</v>
      </c>
      <c r="W42">
        <f>$B42*1/(9+Rules!$B$5)</f>
        <v>5.0068274920345938E-3</v>
      </c>
      <c r="X42">
        <f>$B42*Rules!$B$5/(9+Rules!$B$5)</f>
        <v>2.0027309968138375E-2</v>
      </c>
    </row>
    <row r="43" spans="1:28" x14ac:dyDescent="0.2">
      <c r="B43" t="s">
        <v>2</v>
      </c>
      <c r="C43">
        <f t="shared" ref="C43:AB43" si="7">SUM(C30:C42)</f>
        <v>4.5516613563950843E-4</v>
      </c>
      <c r="D43">
        <f t="shared" si="7"/>
        <v>1.3654984069185255E-3</v>
      </c>
      <c r="E43">
        <f t="shared" si="7"/>
        <v>2.730996813837051E-3</v>
      </c>
      <c r="F43">
        <f t="shared" si="7"/>
        <v>4.5516613563950847E-3</v>
      </c>
      <c r="G43">
        <f t="shared" si="7"/>
        <v>6.8274920345926266E-3</v>
      </c>
      <c r="H43">
        <f t="shared" si="7"/>
        <v>9.5584888484296776E-3</v>
      </c>
      <c r="I43">
        <f t="shared" si="7"/>
        <v>1.2744651797906237E-2</v>
      </c>
      <c r="J43">
        <f t="shared" si="7"/>
        <v>1.6385980883022306E-2</v>
      </c>
      <c r="K43">
        <f t="shared" si="7"/>
        <v>2.3213472917614934E-2</v>
      </c>
      <c r="L43">
        <f t="shared" si="7"/>
        <v>3.0951297223486572E-2</v>
      </c>
      <c r="M43">
        <f t="shared" si="7"/>
        <v>3.7778789258079204E-2</v>
      </c>
      <c r="N43">
        <f t="shared" si="7"/>
        <v>4.3695949021392816E-2</v>
      </c>
      <c r="O43">
        <f t="shared" si="7"/>
        <v>4.8702776513427408E-2</v>
      </c>
      <c r="P43">
        <f t="shared" si="7"/>
        <v>4.8247610377787901E-2</v>
      </c>
      <c r="Q43">
        <f t="shared" si="7"/>
        <v>4.7337278106508889E-2</v>
      </c>
      <c r="R43">
        <f t="shared" si="7"/>
        <v>4.5971779699590355E-2</v>
      </c>
      <c r="S43">
        <f t="shared" si="7"/>
        <v>4.4151115157032329E-2</v>
      </c>
      <c r="T43">
        <f t="shared" si="7"/>
        <v>5.0068274920345927E-2</v>
      </c>
      <c r="U43">
        <f t="shared" si="7"/>
        <v>4.1875284478834783E-2</v>
      </c>
      <c r="V43">
        <f t="shared" si="7"/>
        <v>3.4137460172963138E-2</v>
      </c>
      <c r="W43">
        <f t="shared" si="7"/>
        <v>2.6854802002731E-2</v>
      </c>
      <c r="X43">
        <f t="shared" si="7"/>
        <v>2.0027309968138375E-2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5" spans="1:28" x14ac:dyDescent="0.2">
      <c r="A45" t="s">
        <v>97</v>
      </c>
      <c r="C45">
        <v>13</v>
      </c>
      <c r="D45">
        <v>14</v>
      </c>
      <c r="E45">
        <v>15</v>
      </c>
      <c r="F45">
        <v>16</v>
      </c>
      <c r="G45">
        <v>17</v>
      </c>
      <c r="H45">
        <v>18</v>
      </c>
      <c r="I45">
        <v>19</v>
      </c>
      <c r="J45">
        <v>20</v>
      </c>
      <c r="K45">
        <v>21</v>
      </c>
      <c r="L45">
        <v>22</v>
      </c>
      <c r="M45">
        <v>23</v>
      </c>
      <c r="N45">
        <v>24</v>
      </c>
      <c r="O45">
        <v>25</v>
      </c>
      <c r="P45">
        <v>26</v>
      </c>
      <c r="Q45">
        <v>27</v>
      </c>
      <c r="R45">
        <v>28</v>
      </c>
      <c r="S45">
        <v>29</v>
      </c>
      <c r="T45">
        <v>30</v>
      </c>
      <c r="U45">
        <v>31</v>
      </c>
      <c r="V45">
        <v>32</v>
      </c>
    </row>
    <row r="46" spans="1:28" x14ac:dyDescent="0.2">
      <c r="A46">
        <v>12</v>
      </c>
      <c r="B46">
        <f t="shared" ref="B46:B52" si="8">R3</f>
        <v>5.9171597633136093E-3</v>
      </c>
      <c r="C46">
        <f>$B46*1/(9+Rules!$B$5)</f>
        <v>4.5516613563950843E-4</v>
      </c>
      <c r="D46">
        <f>$B46*1/(9+Rules!$B$5)</f>
        <v>4.5516613563950843E-4</v>
      </c>
      <c r="E46">
        <f>$B46*1/(9+Rules!$B$5)</f>
        <v>4.5516613563950843E-4</v>
      </c>
      <c r="F46">
        <f>$B46*1/(9+Rules!$B$5)</f>
        <v>4.5516613563950843E-4</v>
      </c>
      <c r="G46">
        <f>$B46*1/(9+Rules!$B$5)</f>
        <v>4.5516613563950843E-4</v>
      </c>
      <c r="H46">
        <f>$B46*1/(9+Rules!$B$5)</f>
        <v>4.5516613563950843E-4</v>
      </c>
      <c r="I46">
        <f>$B46*1/(9+Rules!$B$5)</f>
        <v>4.5516613563950843E-4</v>
      </c>
      <c r="J46">
        <f>$B46*1/(9+Rules!$B$5)</f>
        <v>4.5516613563950843E-4</v>
      </c>
      <c r="K46">
        <f>$B46*1/(9+Rules!$B$5)</f>
        <v>4.5516613563950843E-4</v>
      </c>
      <c r="L46">
        <f>$B46*Rules!$B$5/(9+Rules!$B$5)</f>
        <v>1.8206645425580337E-3</v>
      </c>
    </row>
    <row r="47" spans="1:28" x14ac:dyDescent="0.2">
      <c r="A47">
        <v>13</v>
      </c>
      <c r="B47">
        <f t="shared" si="8"/>
        <v>1.183431952662722E-2</v>
      </c>
      <c r="D47">
        <f>$B47*1/(9+Rules!$B$5)</f>
        <v>9.1033227127901696E-4</v>
      </c>
      <c r="E47">
        <f>$B47*1/(9+Rules!$B$5)</f>
        <v>9.1033227127901696E-4</v>
      </c>
      <c r="F47">
        <f>$B47*1/(9+Rules!$B$5)</f>
        <v>9.1033227127901696E-4</v>
      </c>
      <c r="G47">
        <f>$B47*1/(9+Rules!$B$5)</f>
        <v>9.1033227127901696E-4</v>
      </c>
      <c r="H47">
        <f>$B47*1/(9+Rules!$B$5)</f>
        <v>9.1033227127901696E-4</v>
      </c>
      <c r="I47">
        <f>$B47*1/(9+Rules!$B$5)</f>
        <v>9.1033227127901696E-4</v>
      </c>
      <c r="J47">
        <f>$B47*1/(9+Rules!$B$5)</f>
        <v>9.1033227127901696E-4</v>
      </c>
      <c r="K47">
        <f>$B47*1/(9+Rules!$B$5)</f>
        <v>9.1033227127901696E-4</v>
      </c>
      <c r="L47">
        <f>$B47*1/(9+Rules!$B$5)</f>
        <v>9.1033227127901696E-4</v>
      </c>
      <c r="M47">
        <f>$B47*Rules!$B$5/(9+Rules!$B$5)</f>
        <v>3.6413290851160678E-3</v>
      </c>
    </row>
    <row r="48" spans="1:28" x14ac:dyDescent="0.2">
      <c r="A48">
        <v>14</v>
      </c>
      <c r="B48">
        <f t="shared" si="8"/>
        <v>1.183431952662722E-2</v>
      </c>
      <c r="E48">
        <f>$B48*1/(9+Rules!$B$5)</f>
        <v>9.1033227127901696E-4</v>
      </c>
      <c r="F48">
        <f>$B48*1/(9+Rules!$B$5)</f>
        <v>9.1033227127901696E-4</v>
      </c>
      <c r="G48">
        <f>$B48*1/(9+Rules!$B$5)</f>
        <v>9.1033227127901696E-4</v>
      </c>
      <c r="H48">
        <f>$B48*1/(9+Rules!$B$5)</f>
        <v>9.1033227127901696E-4</v>
      </c>
      <c r="I48">
        <f>$B48*1/(9+Rules!$B$5)</f>
        <v>9.1033227127901696E-4</v>
      </c>
      <c r="J48">
        <f>$B48*1/(9+Rules!$B$5)</f>
        <v>9.1033227127901696E-4</v>
      </c>
      <c r="K48">
        <f>$B48*1/(9+Rules!$B$5)</f>
        <v>9.1033227127901696E-4</v>
      </c>
      <c r="L48">
        <f>$B48*1/(9+Rules!$B$5)</f>
        <v>9.1033227127901696E-4</v>
      </c>
      <c r="M48">
        <f>$B48*1/(9+Rules!$B$5)</f>
        <v>9.1033227127901696E-4</v>
      </c>
      <c r="N48">
        <f>$B48*Rules!$B$5/(9+Rules!$B$5)</f>
        <v>3.6413290851160678E-3</v>
      </c>
    </row>
    <row r="49" spans="1:30" x14ac:dyDescent="0.2">
      <c r="A49">
        <v>15</v>
      </c>
      <c r="B49">
        <f t="shared" si="8"/>
        <v>1.183431952662722E-2</v>
      </c>
      <c r="F49">
        <f>$B49*1/(9+Rules!$B$5)</f>
        <v>9.1033227127901696E-4</v>
      </c>
      <c r="G49">
        <f>$B49*1/(9+Rules!$B$5)</f>
        <v>9.1033227127901696E-4</v>
      </c>
      <c r="H49">
        <f>$B49*1/(9+Rules!$B$5)</f>
        <v>9.1033227127901696E-4</v>
      </c>
      <c r="I49">
        <f>$B49*1/(9+Rules!$B$5)</f>
        <v>9.1033227127901696E-4</v>
      </c>
      <c r="J49">
        <f>$B49*1/(9+Rules!$B$5)</f>
        <v>9.1033227127901696E-4</v>
      </c>
      <c r="K49">
        <f>$B49*1/(9+Rules!$B$5)</f>
        <v>9.1033227127901696E-4</v>
      </c>
      <c r="L49">
        <f>$B49*1/(9+Rules!$B$5)</f>
        <v>9.1033227127901696E-4</v>
      </c>
      <c r="M49">
        <f>$B49*1/(9+Rules!$B$5)</f>
        <v>9.1033227127901696E-4</v>
      </c>
      <c r="N49">
        <f>$B49*1/(9+Rules!$B$5)</f>
        <v>9.1033227127901696E-4</v>
      </c>
      <c r="O49">
        <f>$B49*Rules!$B$5/(9+Rules!$B$5)</f>
        <v>3.6413290851160678E-3</v>
      </c>
    </row>
    <row r="50" spans="1:30" x14ac:dyDescent="0.2">
      <c r="A50">
        <v>16</v>
      </c>
      <c r="B50">
        <f t="shared" si="8"/>
        <v>1.183431952662722E-2</v>
      </c>
      <c r="G50">
        <f>$B50*1/(9+Rules!$B$5)</f>
        <v>9.1033227127901696E-4</v>
      </c>
      <c r="H50">
        <f>$B50*1/(9+Rules!$B$5)</f>
        <v>9.1033227127901696E-4</v>
      </c>
      <c r="I50">
        <f>$B50*1/(9+Rules!$B$5)</f>
        <v>9.1033227127901696E-4</v>
      </c>
      <c r="J50">
        <f>$B50*1/(9+Rules!$B$5)</f>
        <v>9.1033227127901696E-4</v>
      </c>
      <c r="K50">
        <f>$B50*1/(9+Rules!$B$5)</f>
        <v>9.1033227127901696E-4</v>
      </c>
      <c r="L50">
        <f>$B50*1/(9+Rules!$B$5)</f>
        <v>9.1033227127901696E-4</v>
      </c>
      <c r="M50">
        <f>$B50*1/(9+Rules!$B$5)</f>
        <v>9.1033227127901696E-4</v>
      </c>
      <c r="N50">
        <f>$B50*1/(9+Rules!$B$5)</f>
        <v>9.1033227127901696E-4</v>
      </c>
      <c r="O50">
        <f>$B50*1/(9+Rules!$B$5)</f>
        <v>9.1033227127901696E-4</v>
      </c>
      <c r="P50">
        <f>$B50*Rules!$B$5/(9+Rules!$B$5)</f>
        <v>3.6413290851160678E-3</v>
      </c>
    </row>
    <row r="51" spans="1:30" x14ac:dyDescent="0.2">
      <c r="A51">
        <v>17</v>
      </c>
      <c r="B51">
        <f t="shared" si="8"/>
        <v>1.183431952662722E-2</v>
      </c>
      <c r="H51">
        <f>$B51*1/(9+Rules!$B$5)</f>
        <v>9.1033227127901696E-4</v>
      </c>
      <c r="I51">
        <f>$B51*1/(9+Rules!$B$5)</f>
        <v>9.1033227127901696E-4</v>
      </c>
      <c r="J51">
        <f>$B51*1/(9+Rules!$B$5)</f>
        <v>9.1033227127901696E-4</v>
      </c>
      <c r="K51">
        <f>$B51*1/(9+Rules!$B$5)</f>
        <v>9.1033227127901696E-4</v>
      </c>
      <c r="L51">
        <f>$B51*1/(9+Rules!$B$5)</f>
        <v>9.1033227127901696E-4</v>
      </c>
      <c r="M51">
        <f>$B51*1/(9+Rules!$B$5)</f>
        <v>9.1033227127901696E-4</v>
      </c>
      <c r="N51">
        <f>$B51*1/(9+Rules!$B$5)</f>
        <v>9.1033227127901696E-4</v>
      </c>
      <c r="O51">
        <f>$B51*1/(9+Rules!$B$5)</f>
        <v>9.1033227127901696E-4</v>
      </c>
      <c r="P51">
        <f>$B51*1/(9+Rules!$B$5)</f>
        <v>9.1033227127901696E-4</v>
      </c>
      <c r="Q51">
        <f>$B51*Rules!$B$5/(9+Rules!$B$5)</f>
        <v>3.6413290851160678E-3</v>
      </c>
    </row>
    <row r="52" spans="1:30" x14ac:dyDescent="0.2">
      <c r="A52">
        <v>18</v>
      </c>
      <c r="B52">
        <f t="shared" si="8"/>
        <v>1.183431952662722E-2</v>
      </c>
      <c r="I52">
        <f>$B52*1/(9+Rules!$B$5)</f>
        <v>9.1033227127901696E-4</v>
      </c>
      <c r="J52">
        <f>$B52*1/(9+Rules!$B$5)</f>
        <v>9.1033227127901696E-4</v>
      </c>
      <c r="K52">
        <f>$B52*1/(9+Rules!$B$5)</f>
        <v>9.1033227127901696E-4</v>
      </c>
      <c r="L52">
        <f>$B52*1/(9+Rules!$B$5)</f>
        <v>9.1033227127901696E-4</v>
      </c>
      <c r="M52">
        <f>$B52*1/(9+Rules!$B$5)</f>
        <v>9.1033227127901696E-4</v>
      </c>
      <c r="N52">
        <f>$B52*1/(9+Rules!$B$5)</f>
        <v>9.1033227127901696E-4</v>
      </c>
      <c r="O52">
        <f>$B52*1/(9+Rules!$B$5)</f>
        <v>9.1033227127901696E-4</v>
      </c>
      <c r="P52">
        <f>$B52*1/(9+Rules!$B$5)</f>
        <v>9.1033227127901696E-4</v>
      </c>
      <c r="Q52">
        <f>$B52*1/(9+Rules!$B$5)</f>
        <v>9.1033227127901696E-4</v>
      </c>
      <c r="R52">
        <f>$B52*Rules!$B$5/(9+Rules!$B$5)</f>
        <v>3.6413290851160678E-3</v>
      </c>
    </row>
    <row r="53" spans="1:30" x14ac:dyDescent="0.2">
      <c r="B53" t="s">
        <v>2</v>
      </c>
      <c r="C53">
        <f t="shared" ref="C53:U53" si="9">SUM(C46:C52)</f>
        <v>4.5516613563950843E-4</v>
      </c>
      <c r="D53">
        <f t="shared" si="9"/>
        <v>1.3654984069185255E-3</v>
      </c>
      <c r="E53">
        <f t="shared" si="9"/>
        <v>2.2758306781975423E-3</v>
      </c>
      <c r="F53">
        <f t="shared" si="9"/>
        <v>3.1861629494765592E-3</v>
      </c>
      <c r="G53">
        <f t="shared" si="9"/>
        <v>4.0964952207555765E-3</v>
      </c>
      <c r="H53">
        <f t="shared" si="9"/>
        <v>5.0068274920345938E-3</v>
      </c>
      <c r="I53">
        <f t="shared" si="9"/>
        <v>5.9171597633136111E-3</v>
      </c>
      <c r="J53">
        <f t="shared" si="9"/>
        <v>5.9171597633136111E-3</v>
      </c>
      <c r="K53">
        <f t="shared" si="9"/>
        <v>5.9171597633136111E-3</v>
      </c>
      <c r="L53">
        <f t="shared" si="9"/>
        <v>7.2826581702321366E-3</v>
      </c>
      <c r="M53">
        <f t="shared" si="9"/>
        <v>8.192990441511153E-3</v>
      </c>
      <c r="N53">
        <f t="shared" si="9"/>
        <v>7.2826581702321366E-3</v>
      </c>
      <c r="O53">
        <f t="shared" si="9"/>
        <v>6.3723258989531193E-3</v>
      </c>
      <c r="P53">
        <f t="shared" si="9"/>
        <v>5.461993627674102E-3</v>
      </c>
      <c r="Q53">
        <f t="shared" si="9"/>
        <v>4.5516613563950847E-3</v>
      </c>
      <c r="R53">
        <f t="shared" si="9"/>
        <v>3.6413290851160678E-3</v>
      </c>
      <c r="S53">
        <f t="shared" si="9"/>
        <v>0</v>
      </c>
      <c r="T53">
        <f t="shared" si="9"/>
        <v>0</v>
      </c>
      <c r="U53">
        <f t="shared" si="9"/>
        <v>0</v>
      </c>
    </row>
    <row r="55" spans="1:30" x14ac:dyDescent="0.2">
      <c r="B55" t="s">
        <v>93</v>
      </c>
      <c r="C55">
        <v>5</v>
      </c>
      <c r="D55">
        <v>6</v>
      </c>
      <c r="E55">
        <v>7</v>
      </c>
      <c r="F55">
        <v>8</v>
      </c>
      <c r="G55">
        <v>9</v>
      </c>
      <c r="H55">
        <v>10</v>
      </c>
      <c r="I55">
        <v>11</v>
      </c>
      <c r="J55">
        <v>12</v>
      </c>
      <c r="K55">
        <v>13</v>
      </c>
      <c r="L55">
        <v>14</v>
      </c>
      <c r="M55">
        <v>15</v>
      </c>
      <c r="N55">
        <v>16</v>
      </c>
      <c r="O55">
        <v>17</v>
      </c>
      <c r="P55">
        <v>18</v>
      </c>
      <c r="Q55">
        <v>19</v>
      </c>
      <c r="R55">
        <v>20</v>
      </c>
      <c r="S55">
        <v>21</v>
      </c>
      <c r="T55" t="s">
        <v>89</v>
      </c>
      <c r="U55" t="s">
        <v>2</v>
      </c>
      <c r="V55" t="s">
        <v>98</v>
      </c>
      <c r="W55" t="s">
        <v>111</v>
      </c>
    </row>
    <row r="56" spans="1:30" x14ac:dyDescent="0.2">
      <c r="B56" t="s">
        <v>99</v>
      </c>
      <c r="C56">
        <f t="shared" ref="C56:S56" ca="1" si="10">SUMIF($C$29:$AF$29,C55,$C$43:$AB$43)+SUMIF($L$45:$V$45,C55+10,$L$53:$V$53)</f>
        <v>4.5516613563950843E-4</v>
      </c>
      <c r="D56">
        <f t="shared" ca="1" si="10"/>
        <v>1.3654984069185255E-3</v>
      </c>
      <c r="E56">
        <f t="shared" ca="1" si="10"/>
        <v>2.730996813837051E-3</v>
      </c>
      <c r="F56">
        <f t="shared" ca="1" si="10"/>
        <v>4.5516613563950847E-3</v>
      </c>
      <c r="G56">
        <f t="shared" ca="1" si="10"/>
        <v>6.8274920345926266E-3</v>
      </c>
      <c r="H56">
        <f t="shared" ca="1" si="10"/>
        <v>9.5584888484296776E-3</v>
      </c>
      <c r="I56">
        <f t="shared" ca="1" si="10"/>
        <v>1.2744651797906237E-2</v>
      </c>
      <c r="J56">
        <f t="shared" ca="1" si="10"/>
        <v>2.3668639053254441E-2</v>
      </c>
      <c r="K56">
        <f t="shared" ca="1" si="10"/>
        <v>3.1406463359126086E-2</v>
      </c>
      <c r="L56">
        <f t="shared" ca="1" si="10"/>
        <v>3.823395539371871E-2</v>
      </c>
      <c r="M56">
        <f t="shared" ca="1" si="10"/>
        <v>4.4151115157032322E-2</v>
      </c>
      <c r="N56">
        <f t="shared" ca="1" si="10"/>
        <v>4.9157942649066921E-2</v>
      </c>
      <c r="O56">
        <f t="shared" ca="1" si="10"/>
        <v>5.3254437869822494E-2</v>
      </c>
      <c r="P56">
        <f t="shared" ca="1" si="10"/>
        <v>5.1888939462903967E-2</v>
      </c>
      <c r="Q56">
        <f t="shared" ca="1" si="10"/>
        <v>4.7337278106508889E-2</v>
      </c>
      <c r="R56">
        <f t="shared" ca="1" si="10"/>
        <v>4.5971779699590355E-2</v>
      </c>
      <c r="S56">
        <f t="shared" ca="1" si="10"/>
        <v>4.4151115157032329E-2</v>
      </c>
      <c r="T56">
        <f ca="1">SUMIF($C$29:$AF$29,"&gt;21",$C$43:$AB$43)</f>
        <v>0.17296313154301321</v>
      </c>
      <c r="U56">
        <f ca="1">SUM(C56:T56)</f>
        <v>0.64041875284478844</v>
      </c>
      <c r="V56">
        <f ca="1">T56+SUM(O56:S56,Q57:S57)</f>
        <v>0.43331816112881205</v>
      </c>
      <c r="W56">
        <f>T23</f>
        <v>0.32544378698224863</v>
      </c>
    </row>
    <row r="57" spans="1:30" x14ac:dyDescent="0.2">
      <c r="B57" t="s">
        <v>100</v>
      </c>
      <c r="C57">
        <f t="shared" ref="C57:S57" si="11">SUMIF($C$45:$K$45,C55,$C$53:$K$53)</f>
        <v>0</v>
      </c>
      <c r="D57">
        <f t="shared" si="11"/>
        <v>0</v>
      </c>
      <c r="E57">
        <f t="shared" si="11"/>
        <v>0</v>
      </c>
      <c r="F57">
        <f t="shared" si="11"/>
        <v>0</v>
      </c>
      <c r="G57">
        <f t="shared" si="11"/>
        <v>0</v>
      </c>
      <c r="H57">
        <f t="shared" si="11"/>
        <v>0</v>
      </c>
      <c r="I57">
        <f t="shared" si="11"/>
        <v>0</v>
      </c>
      <c r="J57">
        <f t="shared" si="11"/>
        <v>0</v>
      </c>
      <c r="K57">
        <f t="shared" si="11"/>
        <v>4.5516613563950843E-4</v>
      </c>
      <c r="L57">
        <f t="shared" si="11"/>
        <v>1.3654984069185255E-3</v>
      </c>
      <c r="M57">
        <f t="shared" si="11"/>
        <v>2.2758306781975423E-3</v>
      </c>
      <c r="N57">
        <f t="shared" si="11"/>
        <v>3.1861629494765592E-3</v>
      </c>
      <c r="O57">
        <f t="shared" si="11"/>
        <v>4.0964952207555765E-3</v>
      </c>
      <c r="P57">
        <f t="shared" si="11"/>
        <v>5.0068274920345938E-3</v>
      </c>
      <c r="Q57">
        <f t="shared" si="11"/>
        <v>5.9171597633136111E-3</v>
      </c>
      <c r="R57">
        <f t="shared" si="11"/>
        <v>5.9171597633136111E-3</v>
      </c>
      <c r="S57">
        <f t="shared" si="11"/>
        <v>5.9171597633136111E-3</v>
      </c>
      <c r="U57">
        <f>SUM(C57:S57)</f>
        <v>3.4137460172963138E-2</v>
      </c>
    </row>
    <row r="58" spans="1:30" x14ac:dyDescent="0.2">
      <c r="U58">
        <f ca="1">SUM(U56:U57)+W56</f>
        <v>1.0000000000000002</v>
      </c>
    </row>
    <row r="60" spans="1:30" x14ac:dyDescent="0.2">
      <c r="B60" t="s">
        <v>14</v>
      </c>
      <c r="C60">
        <v>6</v>
      </c>
      <c r="D60">
        <v>7</v>
      </c>
      <c r="E60">
        <v>8</v>
      </c>
      <c r="F60">
        <v>9</v>
      </c>
      <c r="G60">
        <v>10</v>
      </c>
      <c r="H60">
        <v>11</v>
      </c>
      <c r="I60">
        <v>12</v>
      </c>
      <c r="J60">
        <v>13</v>
      </c>
      <c r="K60">
        <v>14</v>
      </c>
      <c r="L60">
        <v>15</v>
      </c>
      <c r="M60">
        <v>16</v>
      </c>
      <c r="N60">
        <v>17</v>
      </c>
      <c r="O60">
        <v>18</v>
      </c>
      <c r="P60">
        <v>19</v>
      </c>
      <c r="Q60">
        <v>20</v>
      </c>
      <c r="R60">
        <v>21</v>
      </c>
      <c r="S60">
        <v>22</v>
      </c>
      <c r="T60">
        <v>23</v>
      </c>
      <c r="U60">
        <v>24</v>
      </c>
      <c r="V60">
        <v>25</v>
      </c>
      <c r="W60">
        <v>26</v>
      </c>
      <c r="X60">
        <v>27</v>
      </c>
      <c r="Y60">
        <v>28</v>
      </c>
      <c r="Z60">
        <v>29</v>
      </c>
      <c r="AA60">
        <v>30</v>
      </c>
      <c r="AB60">
        <v>31</v>
      </c>
      <c r="AC60">
        <v>32</v>
      </c>
      <c r="AD60">
        <v>33</v>
      </c>
    </row>
    <row r="61" spans="1:30" x14ac:dyDescent="0.2">
      <c r="A61">
        <v>5</v>
      </c>
      <c r="B61">
        <f ca="1">C56</f>
        <v>4.5516613563950843E-4</v>
      </c>
      <c r="C61">
        <f ca="1">$B61*1/(9+Rules!$B$5)</f>
        <v>3.5012779664577572E-5</v>
      </c>
      <c r="D61">
        <f ca="1">$B61*1/(9+Rules!$B$5)</f>
        <v>3.5012779664577572E-5</v>
      </c>
      <c r="E61">
        <f ca="1">$B61*1/(9+Rules!$B$5)</f>
        <v>3.5012779664577572E-5</v>
      </c>
      <c r="F61">
        <f ca="1">$B61*1/(9+Rules!$B$5)</f>
        <v>3.5012779664577572E-5</v>
      </c>
      <c r="G61">
        <f ca="1">$B61*1/(9+Rules!$B$5)</f>
        <v>3.5012779664577572E-5</v>
      </c>
      <c r="H61">
        <f ca="1">$B61*1/(9+Rules!$B$5)</f>
        <v>3.5012779664577572E-5</v>
      </c>
      <c r="I61">
        <f ca="1">$B61*1/(9+Rules!$B$5)</f>
        <v>3.5012779664577572E-5</v>
      </c>
      <c r="J61">
        <f ca="1">$B61*1/(9+Rules!$B$5)</f>
        <v>3.5012779664577572E-5</v>
      </c>
      <c r="K61">
        <f ca="1">$B61*1/(9+Rules!$B$5)</f>
        <v>3.5012779664577572E-5</v>
      </c>
      <c r="L61">
        <f ca="1">$B61*Rules!$B$5/(9+Rules!$B$5)</f>
        <v>1.4005111865831029E-4</v>
      </c>
    </row>
    <row r="62" spans="1:30" x14ac:dyDescent="0.2">
      <c r="A62">
        <v>6</v>
      </c>
      <c r="B62">
        <f ca="1">D56</f>
        <v>1.3654984069185255E-3</v>
      </c>
      <c r="D62">
        <f ca="1">$B62*1/(9+Rules!$B$5)</f>
        <v>1.0503833899373274E-4</v>
      </c>
      <c r="E62">
        <f ca="1">$B62*1/(9+Rules!$B$5)</f>
        <v>1.0503833899373274E-4</v>
      </c>
      <c r="F62">
        <f ca="1">$B62*1/(9+Rules!$B$5)</f>
        <v>1.0503833899373274E-4</v>
      </c>
      <c r="G62">
        <f ca="1">$B62*1/(9+Rules!$B$5)</f>
        <v>1.0503833899373274E-4</v>
      </c>
      <c r="H62">
        <f ca="1">$B62*1/(9+Rules!$B$5)</f>
        <v>1.0503833899373274E-4</v>
      </c>
      <c r="I62">
        <f ca="1">$B62*1/(9+Rules!$B$5)</f>
        <v>1.0503833899373274E-4</v>
      </c>
      <c r="J62">
        <f ca="1">$B62*1/(9+Rules!$B$5)</f>
        <v>1.0503833899373274E-4</v>
      </c>
      <c r="K62">
        <f ca="1">$B62*1/(9+Rules!$B$5)</f>
        <v>1.0503833899373274E-4</v>
      </c>
      <c r="L62">
        <f ca="1">$B62*1/(9+Rules!$B$5)</f>
        <v>1.0503833899373274E-4</v>
      </c>
      <c r="M62">
        <f ca="1">$B62*Rules!$B$5/(9+Rules!$B$5)</f>
        <v>4.2015335597493094E-4</v>
      </c>
    </row>
    <row r="63" spans="1:30" x14ac:dyDescent="0.2">
      <c r="A63">
        <v>7</v>
      </c>
      <c r="B63">
        <f ca="1">E56</f>
        <v>2.730996813837051E-3</v>
      </c>
      <c r="E63">
        <f ca="1">$B63*1/(9+Rules!$B$5)</f>
        <v>2.1007667798746547E-4</v>
      </c>
      <c r="F63">
        <f ca="1">$B63*1/(9+Rules!$B$5)</f>
        <v>2.1007667798746547E-4</v>
      </c>
      <c r="G63">
        <f ca="1">$B63*1/(9+Rules!$B$5)</f>
        <v>2.1007667798746547E-4</v>
      </c>
      <c r="H63">
        <f ca="1">$B63*1/(9+Rules!$B$5)</f>
        <v>2.1007667798746547E-4</v>
      </c>
      <c r="I63">
        <f ca="1">$B63*1/(9+Rules!$B$5)</f>
        <v>2.1007667798746547E-4</v>
      </c>
      <c r="J63">
        <f ca="1">$B63*1/(9+Rules!$B$5)</f>
        <v>2.1007667798746547E-4</v>
      </c>
      <c r="K63">
        <f ca="1">$B63*1/(9+Rules!$B$5)</f>
        <v>2.1007667798746547E-4</v>
      </c>
      <c r="L63">
        <f ca="1">$B63*1/(9+Rules!$B$5)</f>
        <v>2.1007667798746547E-4</v>
      </c>
      <c r="M63">
        <f ca="1">$B63*1/(9+Rules!$B$5)</f>
        <v>2.1007667798746547E-4</v>
      </c>
      <c r="N63">
        <f ca="1">$B63*Rules!$B$5/(9+Rules!$B$5)</f>
        <v>8.4030671194986189E-4</v>
      </c>
    </row>
    <row r="64" spans="1:30" x14ac:dyDescent="0.2">
      <c r="A64">
        <v>8</v>
      </c>
      <c r="B64">
        <f ca="1">F56</f>
        <v>4.5516613563950847E-3</v>
      </c>
      <c r="F64">
        <f ca="1">$B64*1/(9+Rules!$B$5)</f>
        <v>3.5012779664577576E-4</v>
      </c>
      <c r="G64">
        <f ca="1">$B64*1/(9+Rules!$B$5)</f>
        <v>3.5012779664577576E-4</v>
      </c>
      <c r="H64">
        <f ca="1">$B64*1/(9+Rules!$B$5)</f>
        <v>3.5012779664577576E-4</v>
      </c>
      <c r="I64">
        <f ca="1">$B64*1/(9+Rules!$B$5)</f>
        <v>3.5012779664577576E-4</v>
      </c>
      <c r="J64">
        <f ca="1">$B64*1/(9+Rules!$B$5)</f>
        <v>3.5012779664577576E-4</v>
      </c>
      <c r="K64">
        <f ca="1">$B64*1/(9+Rules!$B$5)</f>
        <v>3.5012779664577576E-4</v>
      </c>
      <c r="L64">
        <f ca="1">$B64*1/(9+Rules!$B$5)</f>
        <v>3.5012779664577576E-4</v>
      </c>
      <c r="M64">
        <f ca="1">$B64*1/(9+Rules!$B$5)</f>
        <v>3.5012779664577576E-4</v>
      </c>
      <c r="N64">
        <f ca="1">$B64*1/(9+Rules!$B$5)</f>
        <v>3.5012779664577576E-4</v>
      </c>
      <c r="O64">
        <f ca="1">$B64*Rules!$B$5/(9+Rules!$B$5)</f>
        <v>1.400511186583103E-3</v>
      </c>
    </row>
    <row r="65" spans="1:28" x14ac:dyDescent="0.2">
      <c r="A65">
        <v>9</v>
      </c>
      <c r="B65">
        <f ca="1">G56</f>
        <v>6.8274920345926266E-3</v>
      </c>
      <c r="G65">
        <f ca="1">$B65*1/(9+Rules!$B$5)</f>
        <v>5.2519169496866361E-4</v>
      </c>
      <c r="H65">
        <f ca="1">$B65*1/(9+Rules!$B$5)</f>
        <v>5.2519169496866361E-4</v>
      </c>
      <c r="I65">
        <f ca="1">$B65*1/(9+Rules!$B$5)</f>
        <v>5.2519169496866361E-4</v>
      </c>
      <c r="J65">
        <f ca="1">$B65*1/(9+Rules!$B$5)</f>
        <v>5.2519169496866361E-4</v>
      </c>
      <c r="K65">
        <f ca="1">$B65*1/(9+Rules!$B$5)</f>
        <v>5.2519169496866361E-4</v>
      </c>
      <c r="L65">
        <f ca="1">$B65*1/(9+Rules!$B$5)</f>
        <v>5.2519169496866361E-4</v>
      </c>
      <c r="M65">
        <f ca="1">$B65*1/(9+Rules!$B$5)</f>
        <v>5.2519169496866361E-4</v>
      </c>
      <c r="N65">
        <f ca="1">$B65*1/(9+Rules!$B$5)</f>
        <v>5.2519169496866361E-4</v>
      </c>
      <c r="O65">
        <f ca="1">$B65*1/(9+Rules!$B$5)</f>
        <v>5.2519169496866361E-4</v>
      </c>
      <c r="P65">
        <f ca="1">$B65*Rules!$B$5/(9+Rules!$B$5)</f>
        <v>2.1007667798746544E-3</v>
      </c>
    </row>
    <row r="66" spans="1:28" x14ac:dyDescent="0.2">
      <c r="A66">
        <v>10</v>
      </c>
      <c r="B66">
        <f ca="1">H56</f>
        <v>9.5584888484296776E-3</v>
      </c>
      <c r="H66">
        <f ca="1">$B66*1/(9+Rules!$B$5)</f>
        <v>7.3526837295612906E-4</v>
      </c>
      <c r="I66">
        <f ca="1">$B66*1/(9+Rules!$B$5)</f>
        <v>7.3526837295612906E-4</v>
      </c>
      <c r="J66">
        <f ca="1">$B66*1/(9+Rules!$B$5)</f>
        <v>7.3526837295612906E-4</v>
      </c>
      <c r="K66">
        <f ca="1">$B66*1/(9+Rules!$B$5)</f>
        <v>7.3526837295612906E-4</v>
      </c>
      <c r="L66">
        <f ca="1">$B66*1/(9+Rules!$B$5)</f>
        <v>7.3526837295612906E-4</v>
      </c>
      <c r="M66">
        <f ca="1">$B66*1/(9+Rules!$B$5)</f>
        <v>7.3526837295612906E-4</v>
      </c>
      <c r="N66">
        <f ca="1">$B66*1/(9+Rules!$B$5)</f>
        <v>7.3526837295612906E-4</v>
      </c>
      <c r="O66">
        <f ca="1">$B66*1/(9+Rules!$B$5)</f>
        <v>7.3526837295612906E-4</v>
      </c>
      <c r="P66">
        <f ca="1">$B66*1/(9+Rules!$B$5)</f>
        <v>7.3526837295612906E-4</v>
      </c>
      <c r="Q66">
        <f ca="1">$B66*Rules!$B$5/(9+Rules!$B$5)</f>
        <v>2.9410734918245162E-3</v>
      </c>
    </row>
    <row r="67" spans="1:28" x14ac:dyDescent="0.2">
      <c r="A67">
        <v>11</v>
      </c>
      <c r="B67">
        <f ca="1">I56</f>
        <v>1.2744651797906237E-2</v>
      </c>
      <c r="I67">
        <f ca="1">$B67*1/(9+Rules!$B$5)</f>
        <v>9.8035783060817215E-4</v>
      </c>
      <c r="J67">
        <f ca="1">$B67*1/(9+Rules!$B$5)</f>
        <v>9.8035783060817215E-4</v>
      </c>
      <c r="K67">
        <f ca="1">$B67*1/(9+Rules!$B$5)</f>
        <v>9.8035783060817215E-4</v>
      </c>
      <c r="L67">
        <f ca="1">$B67*1/(9+Rules!$B$5)</f>
        <v>9.8035783060817215E-4</v>
      </c>
      <c r="M67">
        <f ca="1">$B67*1/(9+Rules!$B$5)</f>
        <v>9.8035783060817215E-4</v>
      </c>
      <c r="N67">
        <f ca="1">$B67*1/(9+Rules!$B$5)</f>
        <v>9.8035783060817215E-4</v>
      </c>
      <c r="O67">
        <f ca="1">$B67*1/(9+Rules!$B$5)</f>
        <v>9.8035783060817215E-4</v>
      </c>
      <c r="P67">
        <f ca="1">$B67*1/(9+Rules!$B$5)</f>
        <v>9.8035783060817215E-4</v>
      </c>
      <c r="Q67">
        <f ca="1">$B67*1/(9+Rules!$B$5)</f>
        <v>9.8035783060817215E-4</v>
      </c>
      <c r="R67">
        <f ca="1">$B67*Rules!$B$5/(9+Rules!$B$5)</f>
        <v>3.9214313224326886E-3</v>
      </c>
    </row>
    <row r="68" spans="1:28" x14ac:dyDescent="0.2">
      <c r="A68">
        <v>12</v>
      </c>
      <c r="B68">
        <f ca="1">J56</f>
        <v>2.3668639053254441E-2</v>
      </c>
      <c r="J68">
        <f ca="1">$B68*1/(9+Rules!$B$5)</f>
        <v>1.8206645425580339E-3</v>
      </c>
      <c r="K68">
        <f ca="1">$B68*1/(9+Rules!$B$5)</f>
        <v>1.8206645425580339E-3</v>
      </c>
      <c r="L68">
        <f ca="1">$B68*1/(9+Rules!$B$5)</f>
        <v>1.8206645425580339E-3</v>
      </c>
      <c r="M68">
        <f ca="1">$B68*1/(9+Rules!$B$5)</f>
        <v>1.8206645425580339E-3</v>
      </c>
      <c r="N68">
        <f ca="1">$B68*1/(9+Rules!$B$5)</f>
        <v>1.8206645425580339E-3</v>
      </c>
      <c r="O68">
        <f ca="1">$B68*1/(9+Rules!$B$5)</f>
        <v>1.8206645425580339E-3</v>
      </c>
      <c r="P68">
        <f ca="1">$B68*1/(9+Rules!$B$5)</f>
        <v>1.8206645425580339E-3</v>
      </c>
      <c r="Q68">
        <f ca="1">$B68*1/(9+Rules!$B$5)</f>
        <v>1.8206645425580339E-3</v>
      </c>
      <c r="R68">
        <f ca="1">$B68*1/(9+Rules!$B$5)</f>
        <v>1.8206645425580339E-3</v>
      </c>
      <c r="S68">
        <f ca="1">$B68*Rules!$B$5/(9+Rules!$B$5)</f>
        <v>7.2826581702321357E-3</v>
      </c>
    </row>
    <row r="69" spans="1:28" x14ac:dyDescent="0.2">
      <c r="A69">
        <v>13</v>
      </c>
      <c r="B69">
        <f ca="1">K56</f>
        <v>3.1406463359126086E-2</v>
      </c>
      <c r="K69">
        <f ca="1">$B69*1/(9+Rules!$B$5)</f>
        <v>2.4158817968558529E-3</v>
      </c>
      <c r="L69">
        <f ca="1">$B69*1/(9+Rules!$B$5)</f>
        <v>2.4158817968558529E-3</v>
      </c>
      <c r="M69">
        <f ca="1">$B69*1/(9+Rules!$B$5)</f>
        <v>2.4158817968558529E-3</v>
      </c>
      <c r="N69">
        <f ca="1">$B69*1/(9+Rules!$B$5)</f>
        <v>2.4158817968558529E-3</v>
      </c>
      <c r="O69">
        <f ca="1">$B69*1/(9+Rules!$B$5)</f>
        <v>2.4158817968558529E-3</v>
      </c>
      <c r="P69">
        <f ca="1">$B69*1/(9+Rules!$B$5)</f>
        <v>2.4158817968558529E-3</v>
      </c>
      <c r="Q69">
        <f ca="1">$B69*1/(9+Rules!$B$5)</f>
        <v>2.4158817968558529E-3</v>
      </c>
      <c r="R69">
        <f ca="1">$B69*1/(9+Rules!$B$5)</f>
        <v>2.4158817968558529E-3</v>
      </c>
      <c r="S69">
        <f ca="1">$B69*1/(9+Rules!$B$5)</f>
        <v>2.4158817968558529E-3</v>
      </c>
      <c r="T69">
        <f ca="1">$B69*Rules!$B$5/(9+Rules!$B$5)</f>
        <v>9.6635271874234117E-3</v>
      </c>
    </row>
    <row r="70" spans="1:28" x14ac:dyDescent="0.2">
      <c r="A70">
        <v>14</v>
      </c>
      <c r="B70">
        <f ca="1">L56</f>
        <v>3.823395539371871E-2</v>
      </c>
      <c r="L70">
        <f ca="1">$B70*1/(9+Rules!$B$5)</f>
        <v>2.9410734918245162E-3</v>
      </c>
      <c r="M70">
        <f ca="1">$B70*1/(9+Rules!$B$5)</f>
        <v>2.9410734918245162E-3</v>
      </c>
      <c r="N70">
        <f ca="1">$B70*1/(9+Rules!$B$5)</f>
        <v>2.9410734918245162E-3</v>
      </c>
      <c r="O70">
        <f ca="1">$B70*1/(9+Rules!$B$5)</f>
        <v>2.9410734918245162E-3</v>
      </c>
      <c r="P70">
        <f ca="1">$B70*1/(9+Rules!$B$5)</f>
        <v>2.9410734918245162E-3</v>
      </c>
      <c r="Q70">
        <f ca="1">$B70*1/(9+Rules!$B$5)</f>
        <v>2.9410734918245162E-3</v>
      </c>
      <c r="R70">
        <f ca="1">$B70*1/(9+Rules!$B$5)</f>
        <v>2.9410734918245162E-3</v>
      </c>
      <c r="S70">
        <f ca="1">$B70*1/(9+Rules!$B$5)</f>
        <v>2.9410734918245162E-3</v>
      </c>
      <c r="T70">
        <f ca="1">$B70*1/(9+Rules!$B$5)</f>
        <v>2.9410734918245162E-3</v>
      </c>
      <c r="U70">
        <f ca="1">$B70*Rules!$B$5/(9+Rules!$B$5)</f>
        <v>1.1764293967298065E-2</v>
      </c>
    </row>
    <row r="71" spans="1:28" x14ac:dyDescent="0.2">
      <c r="A71">
        <v>15</v>
      </c>
      <c r="B71">
        <f ca="1">M56</f>
        <v>4.4151115157032322E-2</v>
      </c>
      <c r="M71">
        <f ca="1">$B71*1/(9+Rules!$B$5)</f>
        <v>3.3962396274640249E-3</v>
      </c>
      <c r="N71">
        <f ca="1">$B71*1/(9+Rules!$B$5)</f>
        <v>3.3962396274640249E-3</v>
      </c>
      <c r="O71">
        <f ca="1">$B71*1/(9+Rules!$B$5)</f>
        <v>3.3962396274640249E-3</v>
      </c>
      <c r="P71">
        <f ca="1">$B71*1/(9+Rules!$B$5)</f>
        <v>3.3962396274640249E-3</v>
      </c>
      <c r="Q71">
        <f ca="1">$B71*1/(9+Rules!$B$5)</f>
        <v>3.3962396274640249E-3</v>
      </c>
      <c r="R71">
        <f ca="1">$B71*1/(9+Rules!$B$5)</f>
        <v>3.3962396274640249E-3</v>
      </c>
      <c r="S71">
        <f ca="1">$B71*1/(9+Rules!$B$5)</f>
        <v>3.3962396274640249E-3</v>
      </c>
      <c r="T71">
        <f ca="1">$B71*1/(9+Rules!$B$5)</f>
        <v>3.3962396274640249E-3</v>
      </c>
      <c r="U71">
        <f ca="1">$B71*1/(9+Rules!$B$5)</f>
        <v>3.3962396274640249E-3</v>
      </c>
      <c r="V71">
        <f ca="1">$B71*Rules!$B$5/(9+Rules!$B$5)</f>
        <v>1.3584958509856099E-2</v>
      </c>
    </row>
    <row r="72" spans="1:28" x14ac:dyDescent="0.2">
      <c r="A72">
        <v>16</v>
      </c>
      <c r="B72">
        <f ca="1">N56</f>
        <v>4.9157942649066921E-2</v>
      </c>
      <c r="N72">
        <f ca="1">$B72*1/(9+Rules!$B$5)</f>
        <v>3.7813802037743784E-3</v>
      </c>
      <c r="O72">
        <f ca="1">$B72*1/(9+Rules!$B$5)</f>
        <v>3.7813802037743784E-3</v>
      </c>
      <c r="P72">
        <f ca="1">$B72*1/(9+Rules!$B$5)</f>
        <v>3.7813802037743784E-3</v>
      </c>
      <c r="Q72">
        <f ca="1">$B72*1/(9+Rules!$B$5)</f>
        <v>3.7813802037743784E-3</v>
      </c>
      <c r="R72">
        <f ca="1">$B72*1/(9+Rules!$B$5)</f>
        <v>3.7813802037743784E-3</v>
      </c>
      <c r="S72">
        <f ca="1">$B72*1/(9+Rules!$B$5)</f>
        <v>3.7813802037743784E-3</v>
      </c>
      <c r="T72">
        <f ca="1">$B72*1/(9+Rules!$B$5)</f>
        <v>3.7813802037743784E-3</v>
      </c>
      <c r="U72">
        <f ca="1">$B72*1/(9+Rules!$B$5)</f>
        <v>3.7813802037743784E-3</v>
      </c>
      <c r="V72">
        <f ca="1">$B72*1/(9+Rules!$B$5)</f>
        <v>3.7813802037743784E-3</v>
      </c>
      <c r="W72">
        <f ca="1">$B72*Rules!$B$5/(9+Rules!$B$5)</f>
        <v>1.5125520815097514E-2</v>
      </c>
    </row>
    <row r="73" spans="1:28" x14ac:dyDescent="0.2">
      <c r="B73" t="s">
        <v>2</v>
      </c>
      <c r="C73">
        <f t="shared" ref="C73:AB73" ca="1" si="12">SUM(C61:C72)</f>
        <v>3.5012779664577572E-5</v>
      </c>
      <c r="D73">
        <f t="shared" ca="1" si="12"/>
        <v>1.4005111865831031E-4</v>
      </c>
      <c r="E73">
        <f t="shared" ca="1" si="12"/>
        <v>3.5012779664577581E-4</v>
      </c>
      <c r="F73">
        <f t="shared" ca="1" si="12"/>
        <v>7.0025559329155163E-4</v>
      </c>
      <c r="G73">
        <f t="shared" ca="1" si="12"/>
        <v>1.2254472882602153E-3</v>
      </c>
      <c r="H73">
        <f t="shared" ca="1" si="12"/>
        <v>1.9607156612163443E-3</v>
      </c>
      <c r="I73">
        <f t="shared" ca="1" si="12"/>
        <v>2.9410734918245167E-3</v>
      </c>
      <c r="J73">
        <f t="shared" ca="1" si="12"/>
        <v>4.7617380343825504E-3</v>
      </c>
      <c r="K73">
        <f t="shared" ca="1" si="12"/>
        <v>7.1776198312384033E-3</v>
      </c>
      <c r="L73">
        <f t="shared" ca="1" si="12"/>
        <v>1.0223731662056652E-2</v>
      </c>
      <c r="M73">
        <f t="shared" ca="1" si="12"/>
        <v>1.3795035187843564E-2</v>
      </c>
      <c r="N73">
        <f t="shared" ca="1" si="12"/>
        <v>1.7786492069605406E-2</v>
      </c>
      <c r="O73">
        <f t="shared" ca="1" si="12"/>
        <v>1.7996568747592874E-2</v>
      </c>
      <c r="P73">
        <f t="shared" ca="1" si="12"/>
        <v>1.8171632645915758E-2</v>
      </c>
      <c r="Q73">
        <f t="shared" ca="1" si="12"/>
        <v>1.8276670984909496E-2</v>
      </c>
      <c r="R73">
        <f t="shared" ca="1" si="12"/>
        <v>1.8276670984909496E-2</v>
      </c>
      <c r="S73">
        <f t="shared" ca="1" si="12"/>
        <v>1.9817233290150907E-2</v>
      </c>
      <c r="T73">
        <f t="shared" ca="1" si="12"/>
        <v>1.978222051048633E-2</v>
      </c>
      <c r="U73">
        <f t="shared" ca="1" si="12"/>
        <v>1.8941913798536471E-2</v>
      </c>
      <c r="V73">
        <f t="shared" ca="1" si="12"/>
        <v>1.7366338713630476E-2</v>
      </c>
      <c r="W73">
        <f t="shared" ca="1" si="12"/>
        <v>1.5125520815097514E-2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  <c r="AB73">
        <f t="shared" si="12"/>
        <v>0</v>
      </c>
    </row>
    <row r="75" spans="1:28" x14ac:dyDescent="0.2">
      <c r="A75" t="s">
        <v>96</v>
      </c>
      <c r="C75">
        <v>14</v>
      </c>
      <c r="D75">
        <v>15</v>
      </c>
      <c r="E75">
        <v>16</v>
      </c>
      <c r="F75">
        <v>17</v>
      </c>
      <c r="G75">
        <v>18</v>
      </c>
      <c r="H75">
        <v>19</v>
      </c>
      <c r="I75">
        <v>20</v>
      </c>
      <c r="J75">
        <v>21</v>
      </c>
      <c r="K75">
        <v>22</v>
      </c>
      <c r="L75">
        <v>23</v>
      </c>
      <c r="M75">
        <v>24</v>
      </c>
      <c r="N75">
        <v>25</v>
      </c>
      <c r="O75">
        <v>26</v>
      </c>
      <c r="P75">
        <v>27</v>
      </c>
      <c r="Q75">
        <v>28</v>
      </c>
      <c r="R75">
        <v>29</v>
      </c>
      <c r="S75">
        <v>30</v>
      </c>
      <c r="T75">
        <v>31</v>
      </c>
      <c r="U75">
        <v>32</v>
      </c>
    </row>
    <row r="76" spans="1:28" x14ac:dyDescent="0.2">
      <c r="A76">
        <v>13</v>
      </c>
      <c r="B76">
        <f>K57</f>
        <v>4.5516613563950843E-4</v>
      </c>
      <c r="C76">
        <f>$B76*1/(9+Rules!$B$5)</f>
        <v>3.5012779664577572E-5</v>
      </c>
      <c r="D76">
        <f>$B76*1/(9+Rules!$B$5)</f>
        <v>3.5012779664577572E-5</v>
      </c>
      <c r="E76">
        <f>$B76*1/(9+Rules!$B$5)</f>
        <v>3.5012779664577572E-5</v>
      </c>
      <c r="F76">
        <f>$B76*1/(9+Rules!$B$5)</f>
        <v>3.5012779664577572E-5</v>
      </c>
      <c r="G76">
        <f>$B76*1/(9+Rules!$B$5)</f>
        <v>3.5012779664577572E-5</v>
      </c>
      <c r="H76">
        <f>$B76*1/(9+Rules!$B$5)</f>
        <v>3.5012779664577572E-5</v>
      </c>
      <c r="I76">
        <f>$B76*1/(9+Rules!$B$5)</f>
        <v>3.5012779664577572E-5</v>
      </c>
      <c r="J76">
        <f>$B76*1/(9+Rules!$B$5)</f>
        <v>3.5012779664577572E-5</v>
      </c>
      <c r="K76">
        <f>$B76*1/(9+Rules!$B$5)</f>
        <v>3.5012779664577572E-5</v>
      </c>
      <c r="L76">
        <f>$B76*Rules!$B$5/(9+Rules!$B$5)</f>
        <v>1.4005111865831029E-4</v>
      </c>
    </row>
    <row r="77" spans="1:28" x14ac:dyDescent="0.2">
      <c r="A77">
        <v>14</v>
      </c>
      <c r="B77">
        <f>L57</f>
        <v>1.3654984069185255E-3</v>
      </c>
      <c r="D77">
        <f>$B77*1/(9+Rules!$B$5)</f>
        <v>1.0503833899373274E-4</v>
      </c>
      <c r="E77">
        <f>$B77*1/(9+Rules!$B$5)</f>
        <v>1.0503833899373274E-4</v>
      </c>
      <c r="F77">
        <f>$B77*1/(9+Rules!$B$5)</f>
        <v>1.0503833899373274E-4</v>
      </c>
      <c r="G77">
        <f>$B77*1/(9+Rules!$B$5)</f>
        <v>1.0503833899373274E-4</v>
      </c>
      <c r="H77">
        <f>$B77*1/(9+Rules!$B$5)</f>
        <v>1.0503833899373274E-4</v>
      </c>
      <c r="I77">
        <f>$B77*1/(9+Rules!$B$5)</f>
        <v>1.0503833899373274E-4</v>
      </c>
      <c r="J77">
        <f>$B77*1/(9+Rules!$B$5)</f>
        <v>1.0503833899373274E-4</v>
      </c>
      <c r="K77">
        <f>$B77*1/(9+Rules!$B$5)</f>
        <v>1.0503833899373274E-4</v>
      </c>
      <c r="L77">
        <f>$B77*1/(9+Rules!$B$5)</f>
        <v>1.0503833899373274E-4</v>
      </c>
      <c r="M77">
        <f>$B77*Rules!$B$5/(9+Rules!$B$5)</f>
        <v>4.2015335597493094E-4</v>
      </c>
    </row>
    <row r="78" spans="1:28" x14ac:dyDescent="0.2">
      <c r="A78">
        <v>15</v>
      </c>
      <c r="B78">
        <f>M57</f>
        <v>2.2758306781975423E-3</v>
      </c>
      <c r="E78">
        <f>$B78*1/(9+Rules!$B$5)</f>
        <v>1.7506389832288788E-4</v>
      </c>
      <c r="F78">
        <f>$B78*1/(9+Rules!$B$5)</f>
        <v>1.7506389832288788E-4</v>
      </c>
      <c r="G78">
        <f>$B78*1/(9+Rules!$B$5)</f>
        <v>1.7506389832288788E-4</v>
      </c>
      <c r="H78">
        <f>$B78*1/(9+Rules!$B$5)</f>
        <v>1.7506389832288788E-4</v>
      </c>
      <c r="I78">
        <f>$B78*1/(9+Rules!$B$5)</f>
        <v>1.7506389832288788E-4</v>
      </c>
      <c r="J78">
        <f>$B78*1/(9+Rules!$B$5)</f>
        <v>1.7506389832288788E-4</v>
      </c>
      <c r="K78">
        <f>$B78*1/(9+Rules!$B$5)</f>
        <v>1.7506389832288788E-4</v>
      </c>
      <c r="L78">
        <f>$B78*1/(9+Rules!$B$5)</f>
        <v>1.7506389832288788E-4</v>
      </c>
      <c r="M78">
        <f>$B78*1/(9+Rules!$B$5)</f>
        <v>1.7506389832288788E-4</v>
      </c>
      <c r="N78">
        <f>$B78*Rules!$B$5/(9+Rules!$B$5)</f>
        <v>7.0025559329155152E-4</v>
      </c>
    </row>
    <row r="79" spans="1:28" x14ac:dyDescent="0.2">
      <c r="A79">
        <v>16</v>
      </c>
      <c r="B79">
        <f>N57</f>
        <v>3.1861629494765592E-3</v>
      </c>
      <c r="F79">
        <f>$B79*1/(9+Rules!$B$5)</f>
        <v>2.4508945765204304E-4</v>
      </c>
      <c r="G79">
        <f>$B79*1/(9+Rules!$B$5)</f>
        <v>2.4508945765204304E-4</v>
      </c>
      <c r="H79">
        <f>$B79*1/(9+Rules!$B$5)</f>
        <v>2.4508945765204304E-4</v>
      </c>
      <c r="I79">
        <f>$B79*1/(9+Rules!$B$5)</f>
        <v>2.4508945765204304E-4</v>
      </c>
      <c r="J79">
        <f>$B79*1/(9+Rules!$B$5)</f>
        <v>2.4508945765204304E-4</v>
      </c>
      <c r="K79">
        <f>$B79*1/(9+Rules!$B$5)</f>
        <v>2.4508945765204304E-4</v>
      </c>
      <c r="L79">
        <f>$B79*1/(9+Rules!$B$5)</f>
        <v>2.4508945765204304E-4</v>
      </c>
      <c r="M79">
        <f>$B79*1/(9+Rules!$B$5)</f>
        <v>2.4508945765204304E-4</v>
      </c>
      <c r="N79">
        <f>$B79*1/(9+Rules!$B$5)</f>
        <v>2.4508945765204304E-4</v>
      </c>
      <c r="O79">
        <f>$B79*Rules!$B$5/(9+Rules!$B$5)</f>
        <v>9.8035783060817215E-4</v>
      </c>
    </row>
    <row r="80" spans="1:28" x14ac:dyDescent="0.2">
      <c r="A80">
        <v>17</v>
      </c>
      <c r="B80">
        <f>O57</f>
        <v>4.0964952207555765E-3</v>
      </c>
      <c r="G80">
        <f>$B80*1/(9+Rules!$B$5)</f>
        <v>3.1511501698119817E-4</v>
      </c>
      <c r="H80">
        <f>$B80*1/(9+Rules!$B$5)</f>
        <v>3.1511501698119817E-4</v>
      </c>
      <c r="I80">
        <f>$B80*1/(9+Rules!$B$5)</f>
        <v>3.1511501698119817E-4</v>
      </c>
      <c r="J80">
        <f>$B80*1/(9+Rules!$B$5)</f>
        <v>3.1511501698119817E-4</v>
      </c>
      <c r="K80">
        <f>$B80*1/(9+Rules!$B$5)</f>
        <v>3.1511501698119817E-4</v>
      </c>
      <c r="L80">
        <f>$B80*1/(9+Rules!$B$5)</f>
        <v>3.1511501698119817E-4</v>
      </c>
      <c r="M80">
        <f>$B80*1/(9+Rules!$B$5)</f>
        <v>3.1511501698119817E-4</v>
      </c>
      <c r="N80">
        <f>$B80*1/(9+Rules!$B$5)</f>
        <v>3.1511501698119817E-4</v>
      </c>
      <c r="O80">
        <f>$B80*1/(9+Rules!$B$5)</f>
        <v>3.1511501698119817E-4</v>
      </c>
      <c r="P80">
        <f>$B80*Rules!$B$5/(9+Rules!$B$5)</f>
        <v>1.2604600679247927E-3</v>
      </c>
    </row>
    <row r="81" spans="1:30" x14ac:dyDescent="0.2">
      <c r="A81">
        <v>18</v>
      </c>
      <c r="B81">
        <f>P57</f>
        <v>5.0068274920345938E-3</v>
      </c>
      <c r="H81">
        <f>$B81*1/(9+Rules!$B$5)</f>
        <v>3.8514057631035335E-4</v>
      </c>
      <c r="I81">
        <f>$B81*1/(9+Rules!$B$5)</f>
        <v>3.8514057631035335E-4</v>
      </c>
      <c r="J81">
        <f>$B81*1/(9+Rules!$B$5)</f>
        <v>3.8514057631035335E-4</v>
      </c>
      <c r="K81">
        <f>$B81*1/(9+Rules!$B$5)</f>
        <v>3.8514057631035335E-4</v>
      </c>
      <c r="L81">
        <f>$B81*1/(9+Rules!$B$5)</f>
        <v>3.8514057631035335E-4</v>
      </c>
      <c r="M81">
        <f>$B81*1/(9+Rules!$B$5)</f>
        <v>3.8514057631035335E-4</v>
      </c>
      <c r="N81">
        <f>$B81*1/(9+Rules!$B$5)</f>
        <v>3.8514057631035335E-4</v>
      </c>
      <c r="O81">
        <f>$B81*1/(9+Rules!$B$5)</f>
        <v>3.8514057631035335E-4</v>
      </c>
      <c r="P81">
        <f>$B81*1/(9+Rules!$B$5)</f>
        <v>3.8514057631035335E-4</v>
      </c>
      <c r="Q81">
        <f>$B81*Rules!$B$5/(9+Rules!$B$5)</f>
        <v>1.5405623052414134E-3</v>
      </c>
    </row>
    <row r="82" spans="1:30" x14ac:dyDescent="0.2">
      <c r="B82" t="s">
        <v>2</v>
      </c>
      <c r="C82">
        <f t="shared" ref="C82:T82" si="13">SUM(C76:C81)</f>
        <v>3.5012779664577572E-5</v>
      </c>
      <c r="D82">
        <f t="shared" si="13"/>
        <v>1.4005111865831031E-4</v>
      </c>
      <c r="E82">
        <f t="shared" si="13"/>
        <v>3.1511501698119817E-4</v>
      </c>
      <c r="F82">
        <f t="shared" si="13"/>
        <v>5.6020447463324126E-4</v>
      </c>
      <c r="G82">
        <f t="shared" si="13"/>
        <v>8.7531949161443942E-4</v>
      </c>
      <c r="H82">
        <f t="shared" si="13"/>
        <v>1.2604600679247927E-3</v>
      </c>
      <c r="I82">
        <f t="shared" si="13"/>
        <v>1.2604600679247927E-3</v>
      </c>
      <c r="J82">
        <f t="shared" si="13"/>
        <v>1.2604600679247927E-3</v>
      </c>
      <c r="K82">
        <f t="shared" si="13"/>
        <v>1.2604600679247927E-3</v>
      </c>
      <c r="L82">
        <f t="shared" si="13"/>
        <v>1.3654984069185253E-3</v>
      </c>
      <c r="M82">
        <f t="shared" si="13"/>
        <v>1.5405623052414132E-3</v>
      </c>
      <c r="N82">
        <f t="shared" si="13"/>
        <v>1.645600644235146E-3</v>
      </c>
      <c r="O82">
        <f t="shared" si="13"/>
        <v>1.6806134238997238E-3</v>
      </c>
      <c r="P82">
        <f t="shared" si="13"/>
        <v>1.645600644235146E-3</v>
      </c>
      <c r="Q82">
        <f t="shared" si="13"/>
        <v>1.5405623052414134E-3</v>
      </c>
      <c r="R82">
        <f t="shared" si="13"/>
        <v>0</v>
      </c>
      <c r="S82">
        <f t="shared" si="13"/>
        <v>0</v>
      </c>
      <c r="T82">
        <f t="shared" si="13"/>
        <v>0</v>
      </c>
    </row>
    <row r="84" spans="1:30" x14ac:dyDescent="0.2">
      <c r="B84" t="s">
        <v>94</v>
      </c>
      <c r="C84">
        <v>6</v>
      </c>
      <c r="D84">
        <v>7</v>
      </c>
      <c r="E84">
        <v>8</v>
      </c>
      <c r="F84">
        <v>9</v>
      </c>
      <c r="G84">
        <v>10</v>
      </c>
      <c r="H84">
        <v>11</v>
      </c>
      <c r="I84">
        <v>12</v>
      </c>
      <c r="J84">
        <v>13</v>
      </c>
      <c r="K84">
        <v>14</v>
      </c>
      <c r="L84">
        <v>15</v>
      </c>
      <c r="M84">
        <v>16</v>
      </c>
      <c r="N84">
        <v>17</v>
      </c>
      <c r="O84">
        <v>18</v>
      </c>
      <c r="P84">
        <v>19</v>
      </c>
      <c r="Q84">
        <v>20</v>
      </c>
      <c r="R84">
        <v>21</v>
      </c>
      <c r="S84" t="s">
        <v>89</v>
      </c>
      <c r="T84" t="s">
        <v>2</v>
      </c>
      <c r="U84" t="s">
        <v>98</v>
      </c>
      <c r="V84" t="s">
        <v>111</v>
      </c>
      <c r="W84" t="s">
        <v>101</v>
      </c>
    </row>
    <row r="85" spans="1:30" x14ac:dyDescent="0.2">
      <c r="B85" t="s">
        <v>99</v>
      </c>
      <c r="C85">
        <f t="shared" ref="C85:R85" ca="1" si="14">SUMIF($C$60:$AD$60,C84,$C$73:$AD$73)+SUMIF($K$75:$U$75,C84+10,$K$82:$U$82)</f>
        <v>3.5012779664577572E-5</v>
      </c>
      <c r="D85">
        <f t="shared" ca="1" si="14"/>
        <v>1.4005111865831031E-4</v>
      </c>
      <c r="E85">
        <f t="shared" ca="1" si="14"/>
        <v>3.5012779664577581E-4</v>
      </c>
      <c r="F85">
        <f t="shared" ca="1" si="14"/>
        <v>7.0025559329155163E-4</v>
      </c>
      <c r="G85">
        <f t="shared" ca="1" si="14"/>
        <v>1.2254472882602153E-3</v>
      </c>
      <c r="H85">
        <f t="shared" ca="1" si="14"/>
        <v>1.9607156612163443E-3</v>
      </c>
      <c r="I85">
        <f t="shared" ca="1" si="14"/>
        <v>4.2015335597493098E-3</v>
      </c>
      <c r="J85">
        <f t="shared" ca="1" si="14"/>
        <v>6.1272364413010759E-3</v>
      </c>
      <c r="K85">
        <f t="shared" ca="1" si="14"/>
        <v>8.7181821364798167E-3</v>
      </c>
      <c r="L85">
        <f t="shared" ca="1" si="14"/>
        <v>1.1869332306291799E-2</v>
      </c>
      <c r="M85">
        <f t="shared" ca="1" si="14"/>
        <v>1.5475648611743288E-2</v>
      </c>
      <c r="N85">
        <f t="shared" ca="1" si="14"/>
        <v>1.9432092713840551E-2</v>
      </c>
      <c r="O85">
        <f t="shared" ca="1" si="14"/>
        <v>1.9537131052834288E-2</v>
      </c>
      <c r="P85">
        <f t="shared" ca="1" si="14"/>
        <v>1.8171632645915758E-2</v>
      </c>
      <c r="Q85">
        <f t="shared" ca="1" si="14"/>
        <v>1.8276670984909496E-2</v>
      </c>
      <c r="R85">
        <f t="shared" ca="1" si="14"/>
        <v>1.8276670984909496E-2</v>
      </c>
      <c r="S85">
        <f ca="1">SUMIF($C$60:$AD$60,"&gt;21",$C$73:$AD$73)</f>
        <v>9.1033227127901711E-2</v>
      </c>
      <c r="T85">
        <f ca="1">SUM(C85:S85)</f>
        <v>0.23553096880361338</v>
      </c>
      <c r="U85">
        <f ca="1">S85+SUM(N85:R85,P86:R86)</f>
        <v>0.18850880571408568</v>
      </c>
      <c r="V85">
        <f>W56</f>
        <v>0.32544378698224863</v>
      </c>
      <c r="W85">
        <f ca="1">V56</f>
        <v>0.43331816112881205</v>
      </c>
    </row>
    <row r="86" spans="1:30" x14ac:dyDescent="0.2">
      <c r="B86" t="s">
        <v>100</v>
      </c>
      <c r="C86">
        <f t="shared" ref="C86:R86" si="15">SUMIF($C$75:$J$75,C84,$C$82:$J$82)</f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  <c r="H86">
        <f t="shared" si="15"/>
        <v>0</v>
      </c>
      <c r="I86">
        <f t="shared" si="15"/>
        <v>0</v>
      </c>
      <c r="J86">
        <f t="shared" si="15"/>
        <v>0</v>
      </c>
      <c r="K86">
        <f t="shared" si="15"/>
        <v>3.5012779664577572E-5</v>
      </c>
      <c r="L86">
        <f t="shared" si="15"/>
        <v>1.4005111865831031E-4</v>
      </c>
      <c r="M86">
        <f t="shared" si="15"/>
        <v>3.1511501698119817E-4</v>
      </c>
      <c r="N86">
        <f t="shared" si="15"/>
        <v>5.6020447463324126E-4</v>
      </c>
      <c r="O86">
        <f t="shared" si="15"/>
        <v>8.7531949161443942E-4</v>
      </c>
      <c r="P86">
        <f t="shared" si="15"/>
        <v>1.2604600679247927E-3</v>
      </c>
      <c r="Q86">
        <f t="shared" si="15"/>
        <v>1.2604600679247927E-3</v>
      </c>
      <c r="R86">
        <f t="shared" si="15"/>
        <v>1.2604600679247927E-3</v>
      </c>
      <c r="S86">
        <f>SUMIF($C$60:$AD$60,S84,$C$73:$AD$73)+SUMIF($C$75:$J$75,S84,$C$82:$J$82)+SUMIF($K$75:$U$75,S84+10,$K$82:$U$82)</f>
        <v>0</v>
      </c>
      <c r="T86">
        <f>SUM(C86:S86)</f>
        <v>5.7070830853261454E-3</v>
      </c>
      <c r="W86" t="s">
        <v>95</v>
      </c>
    </row>
    <row r="87" spans="1:30" x14ac:dyDescent="0.2">
      <c r="S87" t="s">
        <v>2</v>
      </c>
      <c r="T87">
        <f ca="1">SUM(T85:T86)</f>
        <v>0.24123805188893951</v>
      </c>
      <c r="W87">
        <f ca="1">T87+W85+V85</f>
        <v>1.0000000000000002</v>
      </c>
    </row>
    <row r="90" spans="1:30" x14ac:dyDescent="0.2">
      <c r="B90" t="s">
        <v>14</v>
      </c>
      <c r="C90">
        <v>7</v>
      </c>
      <c r="D90">
        <v>8</v>
      </c>
      <c r="E90">
        <v>9</v>
      </c>
      <c r="F90">
        <v>10</v>
      </c>
      <c r="G90">
        <v>11</v>
      </c>
      <c r="H90">
        <v>12</v>
      </c>
      <c r="I90">
        <v>13</v>
      </c>
      <c r="J90">
        <v>14</v>
      </c>
      <c r="K90">
        <v>15</v>
      </c>
      <c r="L90">
        <v>16</v>
      </c>
      <c r="M90">
        <v>17</v>
      </c>
      <c r="N90">
        <v>18</v>
      </c>
      <c r="O90">
        <v>19</v>
      </c>
      <c r="P90">
        <v>20</v>
      </c>
      <c r="Q90">
        <v>21</v>
      </c>
      <c r="R90">
        <v>22</v>
      </c>
      <c r="S90">
        <v>23</v>
      </c>
      <c r="T90">
        <v>24</v>
      </c>
      <c r="U90">
        <v>25</v>
      </c>
      <c r="V90">
        <v>26</v>
      </c>
      <c r="W90">
        <v>27</v>
      </c>
      <c r="X90">
        <v>28</v>
      </c>
      <c r="Y90">
        <v>29</v>
      </c>
      <c r="Z90">
        <v>30</v>
      </c>
      <c r="AA90">
        <v>31</v>
      </c>
      <c r="AB90">
        <v>32</v>
      </c>
      <c r="AC90">
        <v>33</v>
      </c>
      <c r="AD90">
        <v>34</v>
      </c>
    </row>
    <row r="91" spans="1:30" x14ac:dyDescent="0.2">
      <c r="A91">
        <v>6</v>
      </c>
      <c r="B91">
        <f ca="1">C85</f>
        <v>3.5012779664577572E-5</v>
      </c>
      <c r="C91">
        <f ca="1">$B91*1/(9+Rules!$B$5)</f>
        <v>2.6932907434290439E-6</v>
      </c>
      <c r="D91">
        <f ca="1">$B91*1/(9+Rules!$B$5)</f>
        <v>2.6932907434290439E-6</v>
      </c>
      <c r="E91">
        <f ca="1">$B91*1/(9+Rules!$B$5)</f>
        <v>2.6932907434290439E-6</v>
      </c>
      <c r="F91">
        <f ca="1">$B91*1/(9+Rules!$B$5)</f>
        <v>2.6932907434290439E-6</v>
      </c>
      <c r="G91">
        <f ca="1">$B91*1/(9+Rules!$B$5)</f>
        <v>2.6932907434290439E-6</v>
      </c>
      <c r="H91">
        <f ca="1">$B91*1/(9+Rules!$B$5)</f>
        <v>2.6932907434290439E-6</v>
      </c>
      <c r="I91">
        <f ca="1">$B91*1/(9+Rules!$B$5)</f>
        <v>2.6932907434290439E-6</v>
      </c>
      <c r="J91">
        <f ca="1">$B91*1/(9+Rules!$B$5)</f>
        <v>2.6932907434290439E-6</v>
      </c>
      <c r="K91">
        <f ca="1">$B91*1/(9+Rules!$B$5)</f>
        <v>2.6932907434290439E-6</v>
      </c>
      <c r="L91">
        <f ca="1">$B91*Rules!$B$5/(9+Rules!$B$5)</f>
        <v>1.0773162973716176E-5</v>
      </c>
    </row>
    <row r="92" spans="1:30" x14ac:dyDescent="0.2">
      <c r="A92">
        <v>7</v>
      </c>
      <c r="B92">
        <f ca="1">D85</f>
        <v>1.4005111865831031E-4</v>
      </c>
      <c r="D92">
        <f ca="1">$B92*1/(9+Rules!$B$5)</f>
        <v>1.0773162973716177E-5</v>
      </c>
      <c r="E92">
        <f ca="1">$B92*1/(9+Rules!$B$5)</f>
        <v>1.0773162973716177E-5</v>
      </c>
      <c r="F92">
        <f ca="1">$B92*1/(9+Rules!$B$5)</f>
        <v>1.0773162973716177E-5</v>
      </c>
      <c r="G92">
        <f ca="1">$B92*1/(9+Rules!$B$5)</f>
        <v>1.0773162973716177E-5</v>
      </c>
      <c r="H92">
        <f ca="1">$B92*1/(9+Rules!$B$5)</f>
        <v>1.0773162973716177E-5</v>
      </c>
      <c r="I92">
        <f ca="1">$B92*1/(9+Rules!$B$5)</f>
        <v>1.0773162973716177E-5</v>
      </c>
      <c r="J92">
        <f ca="1">$B92*1/(9+Rules!$B$5)</f>
        <v>1.0773162973716177E-5</v>
      </c>
      <c r="K92">
        <f ca="1">$B92*1/(9+Rules!$B$5)</f>
        <v>1.0773162973716177E-5</v>
      </c>
      <c r="L92">
        <f ca="1">$B92*1/(9+Rules!$B$5)</f>
        <v>1.0773162973716177E-5</v>
      </c>
      <c r="M92">
        <f ca="1">$B92*Rules!$B$5/(9+Rules!$B$5)</f>
        <v>4.3092651894864709E-5</v>
      </c>
    </row>
    <row r="93" spans="1:30" x14ac:dyDescent="0.2">
      <c r="A93">
        <v>8</v>
      </c>
      <c r="B93">
        <f ca="1">E85</f>
        <v>3.5012779664577581E-4</v>
      </c>
      <c r="E93">
        <f ca="1">$B93*1/(9+Rules!$B$5)</f>
        <v>2.6932907434290448E-5</v>
      </c>
      <c r="F93">
        <f ca="1">$B93*1/(9+Rules!$B$5)</f>
        <v>2.6932907434290448E-5</v>
      </c>
      <c r="G93">
        <f ca="1">$B93*1/(9+Rules!$B$5)</f>
        <v>2.6932907434290448E-5</v>
      </c>
      <c r="H93">
        <f ca="1">$B93*1/(9+Rules!$B$5)</f>
        <v>2.6932907434290448E-5</v>
      </c>
      <c r="I93">
        <f ca="1">$B93*1/(9+Rules!$B$5)</f>
        <v>2.6932907434290448E-5</v>
      </c>
      <c r="J93">
        <f ca="1">$B93*1/(9+Rules!$B$5)</f>
        <v>2.6932907434290448E-5</v>
      </c>
      <c r="K93">
        <f ca="1">$B93*1/(9+Rules!$B$5)</f>
        <v>2.6932907434290448E-5</v>
      </c>
      <c r="L93">
        <f ca="1">$B93*1/(9+Rules!$B$5)</f>
        <v>2.6932907434290448E-5</v>
      </c>
      <c r="M93">
        <f ca="1">$B93*1/(9+Rules!$B$5)</f>
        <v>2.6932907434290448E-5</v>
      </c>
      <c r="N93">
        <f ca="1">$B93*Rules!$B$5/(9+Rules!$B$5)</f>
        <v>1.0773162973716179E-4</v>
      </c>
    </row>
    <row r="94" spans="1:30" x14ac:dyDescent="0.2">
      <c r="A94">
        <v>9</v>
      </c>
      <c r="B94">
        <f ca="1">F$85</f>
        <v>7.0025559329155163E-4</v>
      </c>
      <c r="F94">
        <f ca="1">$B94*1/(9+Rules!$B$5)</f>
        <v>5.3865814868580896E-5</v>
      </c>
      <c r="G94">
        <f ca="1">$B94*1/(9+Rules!$B$5)</f>
        <v>5.3865814868580896E-5</v>
      </c>
      <c r="H94">
        <f ca="1">$B94*1/(9+Rules!$B$5)</f>
        <v>5.3865814868580896E-5</v>
      </c>
      <c r="I94">
        <f ca="1">$B94*1/(9+Rules!$B$5)</f>
        <v>5.3865814868580896E-5</v>
      </c>
      <c r="J94">
        <f ca="1">$B94*1/(9+Rules!$B$5)</f>
        <v>5.3865814868580896E-5</v>
      </c>
      <c r="K94">
        <f ca="1">$B94*1/(9+Rules!$B$5)</f>
        <v>5.3865814868580896E-5</v>
      </c>
      <c r="L94">
        <f ca="1">$B94*1/(9+Rules!$B$5)</f>
        <v>5.3865814868580896E-5</v>
      </c>
      <c r="M94">
        <f ca="1">$B94*1/(9+Rules!$B$5)</f>
        <v>5.3865814868580896E-5</v>
      </c>
      <c r="N94">
        <f ca="1">$B94*1/(9+Rules!$B$5)</f>
        <v>5.3865814868580896E-5</v>
      </c>
      <c r="O94">
        <f ca="1">$B94*Rules!$B$5/(9+Rules!$B$5)</f>
        <v>2.1546325947432359E-4</v>
      </c>
    </row>
    <row r="95" spans="1:30" x14ac:dyDescent="0.2">
      <c r="A95">
        <v>10</v>
      </c>
      <c r="B95">
        <f ca="1">G$85</f>
        <v>1.2254472882602153E-3</v>
      </c>
      <c r="G95">
        <f ca="1">$B95*1/(9+Rules!$B$5)</f>
        <v>9.4265176020016562E-5</v>
      </c>
      <c r="H95">
        <f ca="1">$B95*1/(9+Rules!$B$5)</f>
        <v>9.4265176020016562E-5</v>
      </c>
      <c r="I95">
        <f ca="1">$B95*1/(9+Rules!$B$5)</f>
        <v>9.4265176020016562E-5</v>
      </c>
      <c r="J95">
        <f ca="1">$B95*1/(9+Rules!$B$5)</f>
        <v>9.4265176020016562E-5</v>
      </c>
      <c r="K95">
        <f ca="1">$B95*1/(9+Rules!$B$5)</f>
        <v>9.4265176020016562E-5</v>
      </c>
      <c r="L95">
        <f ca="1">$B95*1/(9+Rules!$B$5)</f>
        <v>9.4265176020016562E-5</v>
      </c>
      <c r="M95">
        <f ca="1">$B95*1/(9+Rules!$B$5)</f>
        <v>9.4265176020016562E-5</v>
      </c>
      <c r="N95">
        <f ca="1">$B95*1/(9+Rules!$B$5)</f>
        <v>9.4265176020016562E-5</v>
      </c>
      <c r="O95">
        <f ca="1">$B95*1/(9+Rules!$B$5)</f>
        <v>9.4265176020016562E-5</v>
      </c>
      <c r="P95">
        <f ca="1">$B95*Rules!$B$5/(9+Rules!$B$5)</f>
        <v>3.7706070408006625E-4</v>
      </c>
    </row>
    <row r="96" spans="1:30" x14ac:dyDescent="0.2">
      <c r="A96">
        <v>11</v>
      </c>
      <c r="B96">
        <f ca="1">H$85</f>
        <v>1.9607156612163443E-3</v>
      </c>
      <c r="H96">
        <f ca="1">$B96*1/(9+Rules!$B$5)</f>
        <v>1.5082428163202649E-4</v>
      </c>
      <c r="I96">
        <f ca="1">$B96*1/(9+Rules!$B$5)</f>
        <v>1.5082428163202649E-4</v>
      </c>
      <c r="J96">
        <f ca="1">$B96*1/(9+Rules!$B$5)</f>
        <v>1.5082428163202649E-4</v>
      </c>
      <c r="K96">
        <f ca="1">$B96*1/(9+Rules!$B$5)</f>
        <v>1.5082428163202649E-4</v>
      </c>
      <c r="L96">
        <f ca="1">$B96*1/(9+Rules!$B$5)</f>
        <v>1.5082428163202649E-4</v>
      </c>
      <c r="M96">
        <f ca="1">$B96*1/(9+Rules!$B$5)</f>
        <v>1.5082428163202649E-4</v>
      </c>
      <c r="N96">
        <f ca="1">$B96*1/(9+Rules!$B$5)</f>
        <v>1.5082428163202649E-4</v>
      </c>
      <c r="O96">
        <f ca="1">$B96*1/(9+Rules!$B$5)</f>
        <v>1.5082428163202649E-4</v>
      </c>
      <c r="P96">
        <f ca="1">$B96*1/(9+Rules!$B$5)</f>
        <v>1.5082428163202649E-4</v>
      </c>
      <c r="Q96">
        <f ca="1">$B96*Rules!$B$5/(9+Rules!$B$5)</f>
        <v>6.0329712652810595E-4</v>
      </c>
    </row>
    <row r="97" spans="1:28" x14ac:dyDescent="0.2">
      <c r="A97">
        <v>12</v>
      </c>
      <c r="B97">
        <f ca="1">I$85</f>
        <v>4.2015335597493098E-3</v>
      </c>
      <c r="I97">
        <f ca="1">$B97*1/(9+Rules!$B$5)</f>
        <v>3.2319488921148538E-4</v>
      </c>
      <c r="J97">
        <f ca="1">$B97*1/(9+Rules!$B$5)</f>
        <v>3.2319488921148538E-4</v>
      </c>
      <c r="K97">
        <f ca="1">$B97*1/(9+Rules!$B$5)</f>
        <v>3.2319488921148538E-4</v>
      </c>
      <c r="L97">
        <f ca="1">$B97*1/(9+Rules!$B$5)</f>
        <v>3.2319488921148538E-4</v>
      </c>
      <c r="M97">
        <f ca="1">$B97*1/(9+Rules!$B$5)</f>
        <v>3.2319488921148538E-4</v>
      </c>
      <c r="N97">
        <f ca="1">$B97*1/(9+Rules!$B$5)</f>
        <v>3.2319488921148538E-4</v>
      </c>
      <c r="O97">
        <f ca="1">$B97*1/(9+Rules!$B$5)</f>
        <v>3.2319488921148538E-4</v>
      </c>
      <c r="P97">
        <f ca="1">$B97*1/(9+Rules!$B$5)</f>
        <v>3.2319488921148538E-4</v>
      </c>
      <c r="Q97">
        <f ca="1">$B97*1/(9+Rules!$B$5)</f>
        <v>3.2319488921148538E-4</v>
      </c>
      <c r="R97">
        <f ca="1">$B97*Rules!$B$5/(9+Rules!$B$5)</f>
        <v>1.2927795568459415E-3</v>
      </c>
    </row>
    <row r="98" spans="1:28" x14ac:dyDescent="0.2">
      <c r="A98">
        <v>13</v>
      </c>
      <c r="B98">
        <f ca="1">J$85</f>
        <v>6.1272364413010759E-3</v>
      </c>
      <c r="J98">
        <f ca="1">$B98*1/(9+Rules!$B$5)</f>
        <v>4.7132588010008274E-4</v>
      </c>
      <c r="K98">
        <f ca="1">$B98*1/(9+Rules!$B$5)</f>
        <v>4.7132588010008274E-4</v>
      </c>
      <c r="L98">
        <f ca="1">$B98*1/(9+Rules!$B$5)</f>
        <v>4.7132588010008274E-4</v>
      </c>
      <c r="M98">
        <f ca="1">$B98*1/(9+Rules!$B$5)</f>
        <v>4.7132588010008274E-4</v>
      </c>
      <c r="N98">
        <f ca="1">$B98*1/(9+Rules!$B$5)</f>
        <v>4.7132588010008274E-4</v>
      </c>
      <c r="O98">
        <f ca="1">$B98*1/(9+Rules!$B$5)</f>
        <v>4.7132588010008274E-4</v>
      </c>
      <c r="P98">
        <f ca="1">$B98*1/(9+Rules!$B$5)</f>
        <v>4.7132588010008274E-4</v>
      </c>
      <c r="Q98">
        <f ca="1">$B98*1/(9+Rules!$B$5)</f>
        <v>4.7132588010008274E-4</v>
      </c>
      <c r="R98">
        <f ca="1">$B98*1/(9+Rules!$B$5)</f>
        <v>4.7132588010008274E-4</v>
      </c>
      <c r="S98">
        <f ca="1">$B98*Rules!$B$5/(9+Rules!$B$5)</f>
        <v>1.885303520400331E-3</v>
      </c>
    </row>
    <row r="99" spans="1:28" x14ac:dyDescent="0.2">
      <c r="A99">
        <v>14</v>
      </c>
      <c r="B99">
        <f ca="1">K$85</f>
        <v>8.7181821364798167E-3</v>
      </c>
      <c r="K99">
        <f ca="1">$B99*1/(9+Rules!$B$5)</f>
        <v>6.7062939511383201E-4</v>
      </c>
      <c r="L99">
        <f ca="1">$B99*1/(9+Rules!$B$5)</f>
        <v>6.7062939511383201E-4</v>
      </c>
      <c r="M99">
        <f ca="1">$B99*1/(9+Rules!$B$5)</f>
        <v>6.7062939511383201E-4</v>
      </c>
      <c r="N99">
        <f ca="1">$B99*1/(9+Rules!$B$5)</f>
        <v>6.7062939511383201E-4</v>
      </c>
      <c r="O99">
        <f ca="1">$B99*1/(9+Rules!$B$5)</f>
        <v>6.7062939511383201E-4</v>
      </c>
      <c r="P99">
        <f ca="1">$B99*1/(9+Rules!$B$5)</f>
        <v>6.7062939511383201E-4</v>
      </c>
      <c r="Q99">
        <f ca="1">$B99*1/(9+Rules!$B$5)</f>
        <v>6.7062939511383201E-4</v>
      </c>
      <c r="R99">
        <f ca="1">$B99*1/(9+Rules!$B$5)</f>
        <v>6.7062939511383201E-4</v>
      </c>
      <c r="S99">
        <f ca="1">$B99*1/(9+Rules!$B$5)</f>
        <v>6.7062939511383201E-4</v>
      </c>
      <c r="T99">
        <f ca="1">$B99*Rules!$B$5/(9+Rules!$B$5)</f>
        <v>2.682517580455328E-3</v>
      </c>
    </row>
    <row r="100" spans="1:28" x14ac:dyDescent="0.2">
      <c r="A100">
        <v>15</v>
      </c>
      <c r="B100">
        <f ca="1">L$85</f>
        <v>1.1869332306291799E-2</v>
      </c>
      <c r="L100">
        <f ca="1">$B100*1/(9+Rules!$B$5)</f>
        <v>9.1302556202244609E-4</v>
      </c>
      <c r="M100">
        <f ca="1">$B100*1/(9+Rules!$B$5)</f>
        <v>9.1302556202244609E-4</v>
      </c>
      <c r="N100">
        <f ca="1">$B100*1/(9+Rules!$B$5)</f>
        <v>9.1302556202244609E-4</v>
      </c>
      <c r="O100">
        <f ca="1">$B100*1/(9+Rules!$B$5)</f>
        <v>9.1302556202244609E-4</v>
      </c>
      <c r="P100">
        <f ca="1">$B100*1/(9+Rules!$B$5)</f>
        <v>9.1302556202244609E-4</v>
      </c>
      <c r="Q100">
        <f ca="1">$B100*1/(9+Rules!$B$5)</f>
        <v>9.1302556202244609E-4</v>
      </c>
      <c r="R100">
        <f ca="1">$B100*1/(9+Rules!$B$5)</f>
        <v>9.1302556202244609E-4</v>
      </c>
      <c r="S100">
        <f ca="1">$B100*1/(9+Rules!$B$5)</f>
        <v>9.1302556202244609E-4</v>
      </c>
      <c r="T100">
        <f ca="1">$B100*1/(9+Rules!$B$5)</f>
        <v>9.1302556202244609E-4</v>
      </c>
      <c r="U100">
        <f ca="1">$B100*Rules!$B$5/(9+Rules!$B$5)</f>
        <v>3.6521022480897843E-3</v>
      </c>
    </row>
    <row r="101" spans="1:28" x14ac:dyDescent="0.2">
      <c r="A101">
        <v>16</v>
      </c>
      <c r="B101">
        <f ca="1">M$85</f>
        <v>1.5475648611743288E-2</v>
      </c>
      <c r="M101">
        <f ca="1">$B101*1/(9+Rules!$B$5)</f>
        <v>1.1904345085956376E-3</v>
      </c>
      <c r="N101">
        <f ca="1">$B101*1/(9+Rules!$B$5)</f>
        <v>1.1904345085956376E-3</v>
      </c>
      <c r="O101">
        <f ca="1">$B101*1/(9+Rules!$B$5)</f>
        <v>1.1904345085956376E-3</v>
      </c>
      <c r="P101">
        <f ca="1">$B101*1/(9+Rules!$B$5)</f>
        <v>1.1904345085956376E-3</v>
      </c>
      <c r="Q101">
        <f ca="1">$B101*1/(9+Rules!$B$5)</f>
        <v>1.1904345085956376E-3</v>
      </c>
      <c r="R101">
        <f ca="1">$B101*1/(9+Rules!$B$5)</f>
        <v>1.1904345085956376E-3</v>
      </c>
      <c r="S101">
        <f ca="1">$B101*1/(9+Rules!$B$5)</f>
        <v>1.1904345085956376E-3</v>
      </c>
      <c r="T101">
        <f ca="1">$B101*1/(9+Rules!$B$5)</f>
        <v>1.1904345085956376E-3</v>
      </c>
      <c r="U101">
        <f ca="1">$B101*1/(9+Rules!$B$5)</f>
        <v>1.1904345085956376E-3</v>
      </c>
      <c r="V101">
        <f ca="1">$B101*Rules!$B$5/(9+Rules!$B$5)</f>
        <v>4.7617380343825504E-3</v>
      </c>
    </row>
    <row r="102" spans="1:28" x14ac:dyDescent="0.2">
      <c r="B102" t="s">
        <v>2</v>
      </c>
      <c r="C102">
        <f t="shared" ref="C102:AB102" ca="1" si="16">SUM(C91:C101)</f>
        <v>2.6932907434290439E-6</v>
      </c>
      <c r="D102">
        <f t="shared" ca="1" si="16"/>
        <v>1.3466453717145221E-5</v>
      </c>
      <c r="E102">
        <f t="shared" ca="1" si="16"/>
        <v>4.0399361151435666E-5</v>
      </c>
      <c r="F102">
        <f t="shared" ca="1" si="16"/>
        <v>9.4265176020016562E-5</v>
      </c>
      <c r="G102">
        <f t="shared" ca="1" si="16"/>
        <v>1.8853035204003312E-4</v>
      </c>
      <c r="H102">
        <f t="shared" ca="1" si="16"/>
        <v>3.3935463367205964E-4</v>
      </c>
      <c r="I102">
        <f t="shared" ca="1" si="16"/>
        <v>6.6254952288354496E-4</v>
      </c>
      <c r="J102">
        <f t="shared" ca="1" si="16"/>
        <v>1.1338754029836277E-3</v>
      </c>
      <c r="K102">
        <f t="shared" ca="1" si="16"/>
        <v>1.8045047980974598E-3</v>
      </c>
      <c r="L102">
        <f t="shared" ca="1" si="16"/>
        <v>2.7256102323501927E-3</v>
      </c>
      <c r="M102">
        <f t="shared" ca="1" si="16"/>
        <v>3.9375910668932625E-3</v>
      </c>
      <c r="N102">
        <f t="shared" ca="1" si="16"/>
        <v>3.9752971373012693E-3</v>
      </c>
      <c r="O102">
        <f t="shared" ca="1" si="16"/>
        <v>4.029162952169851E-3</v>
      </c>
      <c r="P102">
        <f t="shared" ca="1" si="16"/>
        <v>4.0964952207555765E-3</v>
      </c>
      <c r="Q102">
        <f t="shared" ca="1" si="16"/>
        <v>4.1719073615715894E-3</v>
      </c>
      <c r="R102">
        <f t="shared" ca="1" si="16"/>
        <v>4.5381949026779399E-3</v>
      </c>
      <c r="S102">
        <f t="shared" ca="1" si="16"/>
        <v>4.6593929861322471E-3</v>
      </c>
      <c r="T102">
        <f t="shared" ca="1" si="16"/>
        <v>4.7859776510734116E-3</v>
      </c>
      <c r="U102">
        <f t="shared" ca="1" si="16"/>
        <v>4.8425367566854224E-3</v>
      </c>
      <c r="V102">
        <f t="shared" ca="1" si="16"/>
        <v>4.7617380343825504E-3</v>
      </c>
      <c r="W102">
        <f t="shared" si="16"/>
        <v>0</v>
      </c>
      <c r="X102">
        <f t="shared" si="16"/>
        <v>0</v>
      </c>
      <c r="Y102">
        <f t="shared" si="16"/>
        <v>0</v>
      </c>
      <c r="Z102">
        <f t="shared" si="16"/>
        <v>0</v>
      </c>
      <c r="AA102">
        <f t="shared" si="16"/>
        <v>0</v>
      </c>
      <c r="AB102">
        <f t="shared" si="16"/>
        <v>0</v>
      </c>
    </row>
    <row r="104" spans="1:28" x14ac:dyDescent="0.2">
      <c r="A104" t="s">
        <v>96</v>
      </c>
      <c r="C104">
        <v>15</v>
      </c>
      <c r="D104">
        <v>16</v>
      </c>
      <c r="E104">
        <v>17</v>
      </c>
      <c r="F104">
        <v>18</v>
      </c>
      <c r="G104">
        <v>19</v>
      </c>
      <c r="H104">
        <v>20</v>
      </c>
      <c r="I104">
        <v>21</v>
      </c>
      <c r="J104">
        <v>22</v>
      </c>
      <c r="K104">
        <v>23</v>
      </c>
      <c r="L104">
        <v>24</v>
      </c>
      <c r="M104">
        <v>25</v>
      </c>
      <c r="N104">
        <v>26</v>
      </c>
      <c r="O104">
        <v>27</v>
      </c>
      <c r="P104">
        <v>28</v>
      </c>
      <c r="Q104">
        <v>29</v>
      </c>
      <c r="R104">
        <v>30</v>
      </c>
      <c r="S104">
        <v>31</v>
      </c>
      <c r="T104">
        <v>32</v>
      </c>
      <c r="U104">
        <v>33</v>
      </c>
    </row>
    <row r="105" spans="1:28" x14ac:dyDescent="0.2">
      <c r="A105">
        <v>14</v>
      </c>
      <c r="B105">
        <f>K$86</f>
        <v>3.5012779664577572E-5</v>
      </c>
      <c r="C105">
        <f>$B105*1/(9+Rules!$B$5)</f>
        <v>2.6932907434290439E-6</v>
      </c>
      <c r="D105">
        <f>$B105*1/(9+Rules!$B$5)</f>
        <v>2.6932907434290439E-6</v>
      </c>
      <c r="E105">
        <f>$B105*1/(9+Rules!$B$5)</f>
        <v>2.6932907434290439E-6</v>
      </c>
      <c r="F105">
        <f>$B105*1/(9+Rules!$B$5)</f>
        <v>2.6932907434290439E-6</v>
      </c>
      <c r="G105">
        <f>$B105*1/(9+Rules!$B$5)</f>
        <v>2.6932907434290439E-6</v>
      </c>
      <c r="H105">
        <f>$B105*1/(9+Rules!$B$5)</f>
        <v>2.6932907434290439E-6</v>
      </c>
      <c r="I105">
        <f>$B105*1/(9+Rules!$B$5)</f>
        <v>2.6932907434290439E-6</v>
      </c>
      <c r="J105">
        <f>$B105*1/(9+Rules!$B$5)</f>
        <v>2.6932907434290439E-6</v>
      </c>
      <c r="K105">
        <f>$B105*1/(9+Rules!$B$5)</f>
        <v>2.6932907434290439E-6</v>
      </c>
      <c r="L105">
        <f>$B105*Rules!$B$5/(9+Rules!$B$5)</f>
        <v>1.0773162973716176E-5</v>
      </c>
    </row>
    <row r="106" spans="1:28" x14ac:dyDescent="0.2">
      <c r="A106">
        <v>15</v>
      </c>
      <c r="B106">
        <f>L$86</f>
        <v>1.4005111865831031E-4</v>
      </c>
      <c r="D106">
        <f>$B106*1/(9+Rules!$B$5)</f>
        <v>1.0773162973716177E-5</v>
      </c>
      <c r="E106">
        <f>$B106*1/(9+Rules!$B$5)</f>
        <v>1.0773162973716177E-5</v>
      </c>
      <c r="F106">
        <f>$B106*1/(9+Rules!$B$5)</f>
        <v>1.0773162973716177E-5</v>
      </c>
      <c r="G106">
        <f>$B106*1/(9+Rules!$B$5)</f>
        <v>1.0773162973716177E-5</v>
      </c>
      <c r="H106">
        <f>$B106*1/(9+Rules!$B$5)</f>
        <v>1.0773162973716177E-5</v>
      </c>
      <c r="I106">
        <f>$B106*1/(9+Rules!$B$5)</f>
        <v>1.0773162973716177E-5</v>
      </c>
      <c r="J106">
        <f>$B106*1/(9+Rules!$B$5)</f>
        <v>1.0773162973716177E-5</v>
      </c>
      <c r="K106">
        <f>$B106*1/(9+Rules!$B$5)</f>
        <v>1.0773162973716177E-5</v>
      </c>
      <c r="L106">
        <f>$B106*1/(9+Rules!$B$5)</f>
        <v>1.0773162973716177E-5</v>
      </c>
      <c r="M106">
        <f>$B106*Rules!$B$5/(9+Rules!$B$5)</f>
        <v>4.3092651894864709E-5</v>
      </c>
    </row>
    <row r="107" spans="1:28" x14ac:dyDescent="0.2">
      <c r="A107">
        <v>16</v>
      </c>
      <c r="B107">
        <f>M$86</f>
        <v>3.1511501698119817E-4</v>
      </c>
      <c r="E107">
        <f>$B107*1/(9+Rules!$B$5)</f>
        <v>2.4239616690861398E-5</v>
      </c>
      <c r="F107">
        <f>$B107*1/(9+Rules!$B$5)</f>
        <v>2.4239616690861398E-5</v>
      </c>
      <c r="G107">
        <f>$B107*1/(9+Rules!$B$5)</f>
        <v>2.4239616690861398E-5</v>
      </c>
      <c r="H107">
        <f>$B107*1/(9+Rules!$B$5)</f>
        <v>2.4239616690861398E-5</v>
      </c>
      <c r="I107">
        <f>$B107*1/(9+Rules!$B$5)</f>
        <v>2.4239616690861398E-5</v>
      </c>
      <c r="J107">
        <f>$B107*1/(9+Rules!$B$5)</f>
        <v>2.4239616690861398E-5</v>
      </c>
      <c r="K107">
        <f>$B107*1/(9+Rules!$B$5)</f>
        <v>2.4239616690861398E-5</v>
      </c>
      <c r="L107">
        <f>$B107*1/(9+Rules!$B$5)</f>
        <v>2.4239616690861398E-5</v>
      </c>
      <c r="M107">
        <f>$B107*1/(9+Rules!$B$5)</f>
        <v>2.4239616690861398E-5</v>
      </c>
      <c r="N107">
        <f>$B107*Rules!$B$5/(9+Rules!$B$5)</f>
        <v>9.6958466763445592E-5</v>
      </c>
    </row>
    <row r="108" spans="1:28" x14ac:dyDescent="0.2">
      <c r="A108">
        <v>17</v>
      </c>
      <c r="B108">
        <f>N$86</f>
        <v>5.6020447463324126E-4</v>
      </c>
      <c r="F108">
        <f>$B108*1/(9+Rules!$B$5)</f>
        <v>4.3092651894864709E-5</v>
      </c>
      <c r="G108">
        <f>$B108*1/(9+Rules!$B$5)</f>
        <v>4.3092651894864709E-5</v>
      </c>
      <c r="H108">
        <f>$B108*1/(9+Rules!$B$5)</f>
        <v>4.3092651894864709E-5</v>
      </c>
      <c r="I108">
        <f>$B108*1/(9+Rules!$B$5)</f>
        <v>4.3092651894864709E-5</v>
      </c>
      <c r="J108">
        <f>$B108*1/(9+Rules!$B$5)</f>
        <v>4.3092651894864709E-5</v>
      </c>
      <c r="K108">
        <f>$B108*1/(9+Rules!$B$5)</f>
        <v>4.3092651894864709E-5</v>
      </c>
      <c r="L108">
        <f>$B108*1/(9+Rules!$B$5)</f>
        <v>4.3092651894864709E-5</v>
      </c>
      <c r="M108">
        <f>$B108*1/(9+Rules!$B$5)</f>
        <v>4.3092651894864709E-5</v>
      </c>
      <c r="N108">
        <f>$B108*1/(9+Rules!$B$5)</f>
        <v>4.3092651894864709E-5</v>
      </c>
      <c r="O108">
        <f>$B108*Rules!$B$5/(9+Rules!$B$5)</f>
        <v>1.7237060757945884E-4</v>
      </c>
    </row>
    <row r="109" spans="1:28" x14ac:dyDescent="0.2">
      <c r="A109">
        <v>18</v>
      </c>
      <c r="B109">
        <f>O$86</f>
        <v>8.7531949161443942E-4</v>
      </c>
      <c r="G109">
        <f>$B109*1/(9+Rules!$B$5)</f>
        <v>6.7332268585726114E-5</v>
      </c>
      <c r="H109">
        <f>$B109*1/(9+Rules!$B$5)</f>
        <v>6.7332268585726114E-5</v>
      </c>
      <c r="I109">
        <f>$B109*1/(9+Rules!$B$5)</f>
        <v>6.7332268585726114E-5</v>
      </c>
      <c r="J109">
        <f>$B109*1/(9+Rules!$B$5)</f>
        <v>6.7332268585726114E-5</v>
      </c>
      <c r="K109">
        <f>$B109*1/(9+Rules!$B$5)</f>
        <v>6.7332268585726114E-5</v>
      </c>
      <c r="L109">
        <f>$B109*1/(9+Rules!$B$5)</f>
        <v>6.7332268585726114E-5</v>
      </c>
      <c r="M109">
        <f>$B109*1/(9+Rules!$B$5)</f>
        <v>6.7332268585726114E-5</v>
      </c>
      <c r="N109">
        <f>$B109*1/(9+Rules!$B$5)</f>
        <v>6.7332268585726114E-5</v>
      </c>
      <c r="O109">
        <f>$B109*1/(9+Rules!$B$5)</f>
        <v>6.7332268585726114E-5</v>
      </c>
      <c r="P109">
        <f>$B109*Rules!$B$5/(9+Rules!$B$5)</f>
        <v>2.6932907434290445E-4</v>
      </c>
    </row>
    <row r="110" spans="1:28" x14ac:dyDescent="0.2">
      <c r="B110" t="s">
        <v>2</v>
      </c>
      <c r="C110">
        <f t="shared" ref="C110:T110" si="17">SUM(C105:C109)</f>
        <v>2.6932907434290439E-6</v>
      </c>
      <c r="D110">
        <f t="shared" si="17"/>
        <v>1.3466453717145221E-5</v>
      </c>
      <c r="E110">
        <f t="shared" si="17"/>
        <v>3.7706070408006622E-5</v>
      </c>
      <c r="F110">
        <f t="shared" si="17"/>
        <v>8.0798722302871331E-5</v>
      </c>
      <c r="G110">
        <f t="shared" si="17"/>
        <v>1.4813099088859744E-4</v>
      </c>
      <c r="H110">
        <f t="shared" si="17"/>
        <v>1.4813099088859744E-4</v>
      </c>
      <c r="I110">
        <f t="shared" si="17"/>
        <v>1.4813099088859744E-4</v>
      </c>
      <c r="J110">
        <f t="shared" si="17"/>
        <v>1.4813099088859744E-4</v>
      </c>
      <c r="K110">
        <f t="shared" si="17"/>
        <v>1.4813099088859744E-4</v>
      </c>
      <c r="L110">
        <f t="shared" si="17"/>
        <v>1.5621086311888458E-4</v>
      </c>
      <c r="M110">
        <f t="shared" si="17"/>
        <v>1.7775718906631692E-4</v>
      </c>
      <c r="N110">
        <f t="shared" si="17"/>
        <v>2.0738338724403643E-4</v>
      </c>
      <c r="O110">
        <f t="shared" si="17"/>
        <v>2.3970287616518495E-4</v>
      </c>
      <c r="P110">
        <f t="shared" si="17"/>
        <v>2.6932907434290445E-4</v>
      </c>
      <c r="Q110">
        <f t="shared" si="17"/>
        <v>0</v>
      </c>
      <c r="R110">
        <f t="shared" si="17"/>
        <v>0</v>
      </c>
      <c r="S110">
        <f t="shared" si="17"/>
        <v>0</v>
      </c>
      <c r="T110">
        <f t="shared" si="17"/>
        <v>0</v>
      </c>
    </row>
    <row r="112" spans="1:28" x14ac:dyDescent="0.2">
      <c r="B112" t="s">
        <v>103</v>
      </c>
      <c r="C112">
        <v>7</v>
      </c>
      <c r="D112">
        <v>8</v>
      </c>
      <c r="E112">
        <v>9</v>
      </c>
      <c r="F112">
        <v>10</v>
      </c>
      <c r="G112">
        <v>11</v>
      </c>
      <c r="H112">
        <v>12</v>
      </c>
      <c r="I112">
        <v>13</v>
      </c>
      <c r="J112">
        <v>14</v>
      </c>
      <c r="K112">
        <v>15</v>
      </c>
      <c r="L112">
        <v>16</v>
      </c>
      <c r="M112">
        <v>17</v>
      </c>
      <c r="N112">
        <v>18</v>
      </c>
      <c r="O112">
        <v>19</v>
      </c>
      <c r="P112">
        <v>20</v>
      </c>
      <c r="Q112">
        <v>21</v>
      </c>
      <c r="R112" t="s">
        <v>89</v>
      </c>
      <c r="S112" t="s">
        <v>2</v>
      </c>
      <c r="T112" t="s">
        <v>98</v>
      </c>
      <c r="U112" t="s">
        <v>111</v>
      </c>
      <c r="V112" t="s">
        <v>101</v>
      </c>
      <c r="W112" t="s">
        <v>102</v>
      </c>
    </row>
    <row r="113" spans="2:24" x14ac:dyDescent="0.2">
      <c r="B113" t="s">
        <v>99</v>
      </c>
      <c r="C113">
        <f t="shared" ref="C113:Q113" ca="1" si="18">SUMIF($C$90:$AD$90,C112,$C$102:$AD$102)+SUMIF($J$104:$U$104,C112+10,$J$110:$U$110)</f>
        <v>2.6932907434290439E-6</v>
      </c>
      <c r="D113">
        <f t="shared" ca="1" si="18"/>
        <v>1.3466453717145221E-5</v>
      </c>
      <c r="E113">
        <f t="shared" ca="1" si="18"/>
        <v>4.0399361151435666E-5</v>
      </c>
      <c r="F113">
        <f t="shared" ca="1" si="18"/>
        <v>9.4265176020016562E-5</v>
      </c>
      <c r="G113">
        <f t="shared" ca="1" si="18"/>
        <v>1.8853035204003312E-4</v>
      </c>
      <c r="H113">
        <f t="shared" ca="1" si="18"/>
        <v>4.8748562456065706E-4</v>
      </c>
      <c r="I113">
        <f t="shared" ca="1" si="18"/>
        <v>8.1068051377214238E-4</v>
      </c>
      <c r="J113">
        <f t="shared" ca="1" si="18"/>
        <v>1.2900862661025122E-3</v>
      </c>
      <c r="K113">
        <f t="shared" ca="1" si="18"/>
        <v>1.9822619871637769E-3</v>
      </c>
      <c r="L113">
        <f t="shared" ca="1" si="18"/>
        <v>2.9329936195942293E-3</v>
      </c>
      <c r="M113">
        <f t="shared" ca="1" si="18"/>
        <v>4.1772939430584476E-3</v>
      </c>
      <c r="N113">
        <f t="shared" ca="1" si="18"/>
        <v>4.244626211644174E-3</v>
      </c>
      <c r="O113">
        <f t="shared" ca="1" si="18"/>
        <v>4.029162952169851E-3</v>
      </c>
      <c r="P113">
        <f t="shared" ca="1" si="18"/>
        <v>4.0964952207555765E-3</v>
      </c>
      <c r="Q113">
        <f t="shared" ca="1" si="18"/>
        <v>4.1719073615715894E-3</v>
      </c>
      <c r="R113">
        <f ca="1">SUMIF($C$90:$AD$90,"&gt;21",$C$102:$AD$102)</f>
        <v>2.3587840330951574E-2</v>
      </c>
      <c r="S113">
        <f ca="1">SUM(C113:R113)</f>
        <v>5.2150188665016597E-2</v>
      </c>
      <c r="T113">
        <f ca="1">R113</f>
        <v>2.3587840330951574E-2</v>
      </c>
      <c r="U113">
        <f>V85</f>
        <v>0.32544378698224863</v>
      </c>
      <c r="V113">
        <f ca="1">W85</f>
        <v>0.43331816112881205</v>
      </c>
      <c r="W113">
        <f ca="1">U85</f>
        <v>0.18850880571408568</v>
      </c>
    </row>
    <row r="114" spans="2:24" x14ac:dyDescent="0.2">
      <c r="B114" t="s">
        <v>100</v>
      </c>
      <c r="C114">
        <f t="shared" ref="C114:Q114" si="19">SUMIF($C$104:$I$104,C112,$C$110:$I$110)</f>
        <v>0</v>
      </c>
      <c r="D114">
        <f t="shared" si="19"/>
        <v>0</v>
      </c>
      <c r="E114">
        <f t="shared" si="19"/>
        <v>0</v>
      </c>
      <c r="F114">
        <f t="shared" si="19"/>
        <v>0</v>
      </c>
      <c r="G114">
        <f t="shared" si="19"/>
        <v>0</v>
      </c>
      <c r="H114">
        <f t="shared" si="19"/>
        <v>0</v>
      </c>
      <c r="I114">
        <f t="shared" si="19"/>
        <v>0</v>
      </c>
      <c r="J114">
        <f t="shared" si="19"/>
        <v>0</v>
      </c>
      <c r="K114">
        <f t="shared" si="19"/>
        <v>2.6932907434290439E-6</v>
      </c>
      <c r="L114">
        <f t="shared" si="19"/>
        <v>1.3466453717145221E-5</v>
      </c>
      <c r="M114">
        <f t="shared" si="19"/>
        <v>3.7706070408006622E-5</v>
      </c>
      <c r="N114">
        <f t="shared" si="19"/>
        <v>8.0798722302871331E-5</v>
      </c>
      <c r="O114">
        <f t="shared" si="19"/>
        <v>1.4813099088859744E-4</v>
      </c>
      <c r="P114">
        <f t="shared" si="19"/>
        <v>1.4813099088859744E-4</v>
      </c>
      <c r="Q114">
        <f t="shared" si="19"/>
        <v>1.4813099088859744E-4</v>
      </c>
      <c r="R114">
        <f>SUMIF($C$60:$AD$60,R112,$C$73:$AD$73)+SUMIF($C$75:$J$75,R112,$C$82:$J$82)+SUMIF($K$75:$U$75,R112+10,$K$82:$U$82)</f>
        <v>0</v>
      </c>
      <c r="S114">
        <f>SUM(C114:R114)</f>
        <v>5.7905750983724448E-4</v>
      </c>
      <c r="X114" t="s">
        <v>95</v>
      </c>
    </row>
    <row r="115" spans="2:24" x14ac:dyDescent="0.2">
      <c r="R115" t="s">
        <v>2</v>
      </c>
      <c r="S115">
        <f ca="1">SUM(S113:S114)</f>
        <v>5.272924617485384E-2</v>
      </c>
      <c r="X115">
        <f ca="1">S115+W113+V113+U113</f>
        <v>1.0000000000000002</v>
      </c>
    </row>
    <row r="116" spans="2:24" ht="17" thickBot="1" x14ac:dyDescent="0.25"/>
    <row r="117" spans="2:24" ht="17" thickBot="1" x14ac:dyDescent="0.25">
      <c r="D117" s="104"/>
      <c r="E117" s="21" t="s">
        <v>109</v>
      </c>
      <c r="F117" s="19" t="s">
        <v>108</v>
      </c>
      <c r="G117" s="19" t="s">
        <v>110</v>
      </c>
      <c r="H117" s="20" t="s">
        <v>95</v>
      </c>
    </row>
    <row r="118" spans="2:24" x14ac:dyDescent="0.2">
      <c r="D118" s="96" t="s">
        <v>104</v>
      </c>
      <c r="E118" s="22">
        <f>U113</f>
        <v>0.32544378698224863</v>
      </c>
      <c r="F118" s="2">
        <v>0</v>
      </c>
      <c r="G118" s="2">
        <f>1-E118-F118</f>
        <v>0.67455621301775137</v>
      </c>
      <c r="H118" s="8">
        <f>SUM(E118:G118)</f>
        <v>1</v>
      </c>
    </row>
    <row r="119" spans="2:24" x14ac:dyDescent="0.2">
      <c r="D119" s="97" t="s">
        <v>105</v>
      </c>
      <c r="E119" s="144">
        <f ca="1">V56-T56</f>
        <v>0.26035502958579881</v>
      </c>
      <c r="F119" s="1">
        <f ca="1">T56</f>
        <v>0.17296313154301321</v>
      </c>
      <c r="G119" s="1">
        <f ca="1">G118-F119-E119</f>
        <v>0.24123805188893932</v>
      </c>
      <c r="H119" s="9">
        <f ca="1">SUM(E119:G119)</f>
        <v>0.67455621301775137</v>
      </c>
    </row>
    <row r="120" spans="2:24" x14ac:dyDescent="0.2">
      <c r="D120" s="97" t="s">
        <v>106</v>
      </c>
      <c r="E120" s="144">
        <f ca="1">U85-S85</f>
        <v>9.747557858618397E-2</v>
      </c>
      <c r="F120" s="1">
        <f ca="1">S85</f>
        <v>9.1033227127901711E-2</v>
      </c>
      <c r="G120" s="1">
        <f ca="1">G119-F120-E120</f>
        <v>5.2729246174853639E-2</v>
      </c>
      <c r="H120" s="9">
        <f ca="1">SUM(E120:G120)</f>
        <v>0.24123805188893932</v>
      </c>
    </row>
    <row r="121" spans="2:24" x14ac:dyDescent="0.2">
      <c r="D121" s="97" t="s">
        <v>107</v>
      </c>
      <c r="E121" s="144"/>
      <c r="F121" s="1">
        <f ca="1">R113</f>
        <v>2.3587840330951574E-2</v>
      </c>
      <c r="G121" s="1">
        <f ca="1">G120-F121</f>
        <v>2.9141405843902065E-2</v>
      </c>
      <c r="H121" s="9">
        <f ca="1">SUM(E121:G121)</f>
        <v>5.2729246174853639E-2</v>
      </c>
    </row>
    <row r="122" spans="2:24" ht="17" thickBot="1" x14ac:dyDescent="0.25">
      <c r="D122" s="145" t="s">
        <v>2</v>
      </c>
      <c r="E122" s="146">
        <f ca="1">SUM(E118:E121)</f>
        <v>0.68327439515423138</v>
      </c>
      <c r="F122" s="111">
        <f ca="1">SUM(F118:F121)</f>
        <v>0.28758419900186649</v>
      </c>
      <c r="G122" s="111">
        <f ca="1">G121</f>
        <v>2.9141405843902065E-2</v>
      </c>
      <c r="H122" s="10">
        <f ca="1">SUM(E122:G122)</f>
        <v>0.99999999999999989</v>
      </c>
    </row>
  </sheetData>
  <sheetProtection sheet="1" objects="1" scenarios="1"/>
  <conditionalFormatting sqref="C2">
    <cfRule type="containsText" dxfId="976" priority="7" operator="containsText" text="R">
      <formula>NOT(ISERROR(SEARCH("R",C2)))</formula>
    </cfRule>
    <cfRule type="containsText" dxfId="975" priority="8" operator="containsText" text="D">
      <formula>NOT(ISERROR(SEARCH("D",C2)))</formula>
    </cfRule>
    <cfRule type="containsText" dxfId="974" priority="9" operator="containsText" text="S">
      <formula>NOT(ISERROR(SEARCH("S",C2)))</formula>
    </cfRule>
    <cfRule type="containsText" dxfId="973" priority="10" operator="containsText" text="H">
      <formula>NOT(ISERROR(SEARCH("H",C2)))</formula>
    </cfRule>
  </conditionalFormatting>
  <conditionalFormatting sqref="C2">
    <cfRule type="containsText" dxfId="972" priority="6" operator="containsText" text="P">
      <formula>NOT(ISERROR(SEARCH("P",C2)))</formula>
    </cfRule>
  </conditionalFormatting>
  <conditionalFormatting sqref="C15">
    <cfRule type="containsText" dxfId="971" priority="2" operator="containsText" text="R">
      <formula>NOT(ISERROR(SEARCH("R",C15)))</formula>
    </cfRule>
    <cfRule type="containsText" dxfId="970" priority="3" operator="containsText" text="D">
      <formula>NOT(ISERROR(SEARCH("D",C15)))</formula>
    </cfRule>
    <cfRule type="containsText" dxfId="969" priority="4" operator="containsText" text="S">
      <formula>NOT(ISERROR(SEARCH("S",C15)))</formula>
    </cfRule>
    <cfRule type="containsText" dxfId="968" priority="5" operator="containsText" text="H">
      <formula>NOT(ISERROR(SEARCH("H",C15)))</formula>
    </cfRule>
  </conditionalFormatting>
  <conditionalFormatting sqref="C15">
    <cfRule type="containsText" dxfId="967" priority="1" operator="containsText" text="P">
      <formula>NOT(ISERROR(SEARCH("P",C15)))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D2"/>
  <sheetViews>
    <sheetView workbookViewId="0">
      <selection activeCell="D2" sqref="D2"/>
    </sheetView>
  </sheetViews>
  <sheetFormatPr baseColWidth="10" defaultColWidth="11" defaultRowHeight="16" x14ac:dyDescent="0.2"/>
  <cols>
    <col min="1" max="1" width="9.1640625" customWidth="1"/>
  </cols>
  <sheetData>
    <row r="1" spans="1:4" x14ac:dyDescent="0.2">
      <c r="B1" t="s">
        <v>119</v>
      </c>
      <c r="C1" t="s">
        <v>116</v>
      </c>
      <c r="D1" t="s">
        <v>117</v>
      </c>
    </row>
    <row r="2" spans="1:4" x14ac:dyDescent="0.2">
      <c r="A2" t="s">
        <v>118</v>
      </c>
      <c r="B2">
        <f>1/13</f>
        <v>7.6923076923076927E-2</v>
      </c>
      <c r="C2">
        <f>2*B2^2</f>
        <v>1.183431952662722E-2</v>
      </c>
      <c r="D2">
        <f>3*B2^3</f>
        <v>1.3654984069185255E-3</v>
      </c>
    </row>
  </sheetData>
  <sheetProtection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Q40"/>
  <sheetViews>
    <sheetView workbookViewId="0">
      <selection activeCell="N4" sqref="N4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" width="8.83203125" style="33"/>
    <col min="17" max="17" width="10.5" style="33" bestFit="1" customWidth="1"/>
    <col min="18" max="16384" width="8.83203125" style="33"/>
  </cols>
  <sheetData>
    <row r="1" spans="1:17" ht="25" thickBot="1" x14ac:dyDescent="0.35">
      <c r="A1" s="332" t="s">
        <v>133</v>
      </c>
      <c r="B1" s="333"/>
      <c r="C1" s="333"/>
      <c r="D1" s="333"/>
      <c r="E1" s="333"/>
      <c r="F1" s="333"/>
      <c r="G1" s="333"/>
      <c r="H1" s="333"/>
      <c r="I1" s="333"/>
      <c r="J1" s="333"/>
      <c r="K1" s="334"/>
    </row>
    <row r="2" spans="1:17" ht="16" thickBot="1" x14ac:dyDescent="0.25">
      <c r="A2" s="163" t="s">
        <v>9</v>
      </c>
      <c r="B2" s="163" t="s">
        <v>1</v>
      </c>
      <c r="C2" s="163">
        <v>2</v>
      </c>
      <c r="D2" s="163">
        <v>3</v>
      </c>
      <c r="E2" s="163">
        <v>4</v>
      </c>
      <c r="F2" s="163">
        <v>5</v>
      </c>
      <c r="G2" s="163">
        <v>6</v>
      </c>
      <c r="H2" s="163">
        <v>7</v>
      </c>
      <c r="I2" s="163">
        <v>8</v>
      </c>
      <c r="J2" s="163">
        <v>9</v>
      </c>
      <c r="K2" s="163">
        <v>10</v>
      </c>
      <c r="M2" s="216"/>
      <c r="N2" s="225" t="s">
        <v>184</v>
      </c>
      <c r="O2" s="199" t="s">
        <v>38</v>
      </c>
      <c r="P2" s="199" t="s">
        <v>183</v>
      </c>
      <c r="Q2" s="212" t="s">
        <v>37</v>
      </c>
    </row>
    <row r="3" spans="1:17" x14ac:dyDescent="0.2">
      <c r="A3" s="32">
        <v>5</v>
      </c>
      <c r="B3" s="34">
        <f>HSDR!B5</f>
        <v>-0.40632230211141912</v>
      </c>
      <c r="C3" s="34">
        <f>HSDR!C5</f>
        <v>-0.12821556706374745</v>
      </c>
      <c r="D3" s="34">
        <f>HSDR!D5</f>
        <v>-9.5310227261489883E-2</v>
      </c>
      <c r="E3" s="34">
        <f>HSDR!E5</f>
        <v>-6.1479464199694238E-2</v>
      </c>
      <c r="F3" s="34">
        <f>HSDR!F5</f>
        <v>-2.397897039185962E-2</v>
      </c>
      <c r="G3" s="34">
        <f>HSDR!G5</f>
        <v>-1.1863378384401623E-3</v>
      </c>
      <c r="H3" s="34">
        <f>HSDR!H5</f>
        <v>-0.11944744188414852</v>
      </c>
      <c r="I3" s="34">
        <f>HSDR!I5</f>
        <v>-0.18809330390318518</v>
      </c>
      <c r="J3" s="34">
        <f>HSDR!J5</f>
        <v>-0.26661505335795899</v>
      </c>
      <c r="K3" s="34">
        <f>HSDR!K5</f>
        <v>-0.3577434525808979</v>
      </c>
      <c r="M3" s="224" t="s">
        <v>47</v>
      </c>
      <c r="N3" s="214">
        <f>SUM(SUMIF($B$3:$K$17,"&gt;0",B3:K17),SUMIF($B$19:$K$27,"&gt;0",B19:K27),SUMIF($B$29:$K$38,"&gt;0",B29:K38))</f>
        <v>58.639357099169686</v>
      </c>
      <c r="O3" s="196">
        <f>COUNTIF($B$3:$K$17,"&gt;0")+COUNTIF($B$19:$K$27,"&gt;0")+COUNTIF($B$29:$K$38,"&gt;0")</f>
        <v>158</v>
      </c>
      <c r="P3" s="196">
        <f>AVERAGE(AVERAGEIF($B$3:$K$17,"&gt;0"),AVERAGEIF($B$19:$K$27,"&gt;0"),AVERAGEIF($B$29:$K$38,"&gt;0"))</f>
        <v>0.3619423750920176</v>
      </c>
      <c r="Q3" s="197">
        <f>N3/N5</f>
        <v>0.58222270023176503</v>
      </c>
    </row>
    <row r="4" spans="1:17" ht="16" thickBot="1" x14ac:dyDescent="0.25">
      <c r="A4" s="32">
        <v>6</v>
      </c>
      <c r="B4" s="34">
        <f>HSDR!B6</f>
        <v>-0.41968690347101079</v>
      </c>
      <c r="C4" s="34">
        <f>HSDR!C6</f>
        <v>-0.14075911746001987</v>
      </c>
      <c r="D4" s="34">
        <f>HSDR!D6</f>
        <v>-0.10729107800860835</v>
      </c>
      <c r="E4" s="34">
        <f>HSDR!E6</f>
        <v>-7.2917141926387305E-2</v>
      </c>
      <c r="F4" s="34">
        <f>HSDR!F6</f>
        <v>-3.4915973330102178E-2</v>
      </c>
      <c r="G4" s="34">
        <f>HSDR!G6</f>
        <v>-1.3005835529874294E-2</v>
      </c>
      <c r="H4" s="34">
        <f>HSDR!H6</f>
        <v>-0.15193270723669944</v>
      </c>
      <c r="I4" s="34">
        <f>HSDR!I6</f>
        <v>-0.21724188132078476</v>
      </c>
      <c r="J4" s="34">
        <f>HSDR!J6</f>
        <v>-0.29264070019772598</v>
      </c>
      <c r="K4" s="34">
        <f>HSDR!K6</f>
        <v>-0.38050766229289529</v>
      </c>
      <c r="M4" s="223" t="s">
        <v>155</v>
      </c>
      <c r="N4" s="218">
        <f>SUM(SUMIF($B$3:$K$17,"&lt;0"),SUMIF($B$19:$K$27,"&lt;0"),SUMIF($B$29:$K$38,"&lt;0"),C40)</f>
        <v>-42.077013244733351</v>
      </c>
      <c r="O4" s="219">
        <f>COUNTIF($B$3:$K$17,"&lt;0")+COUNTIF($B$19:$K$27,"&lt;0")+COUNTIF($B$29:$K$38,"&lt;0")</f>
        <v>182</v>
      </c>
      <c r="P4" s="219">
        <f>AVERAGE(AVERAGEIF($B$3:$K$17,"&lt;0"),AVERAGEIF($B$19:$K$27,"&lt;0"),AVERAGEIF($B$29:$K$38,"&lt;0"))</f>
        <v>-0.20489189233950869</v>
      </c>
      <c r="Q4" s="72">
        <f>1-Q3</f>
        <v>0.41777729976823497</v>
      </c>
    </row>
    <row r="5" spans="1:17" x14ac:dyDescent="0.2">
      <c r="A5" s="32">
        <v>7</v>
      </c>
      <c r="B5" s="34">
        <f>HSDR!B7</f>
        <v>-0.39971038372569095</v>
      </c>
      <c r="C5" s="34">
        <f>HSDR!C7</f>
        <v>-0.10918342786661633</v>
      </c>
      <c r="D5" s="34">
        <f>HSDR!D7</f>
        <v>-7.6582981904463582E-2</v>
      </c>
      <c r="E5" s="34">
        <f>HSDR!E7</f>
        <v>-4.3021794004341876E-2</v>
      </c>
      <c r="F5" s="34">
        <f>HSDR!F7</f>
        <v>-7.2713609029408845E-3</v>
      </c>
      <c r="G5" s="34">
        <f>HSDR!G7</f>
        <v>2.9185342353860864E-2</v>
      </c>
      <c r="H5" s="34">
        <f>HSDR!H7</f>
        <v>-6.8807799580427764E-2</v>
      </c>
      <c r="I5" s="34">
        <f>HSDR!I7</f>
        <v>-0.21060476872434966</v>
      </c>
      <c r="J5" s="34">
        <f>HSDR!J7</f>
        <v>-0.28536544048687662</v>
      </c>
      <c r="K5" s="34">
        <f>HSDR!K7</f>
        <v>-0.36507789921394679</v>
      </c>
      <c r="M5" s="205" t="s">
        <v>46</v>
      </c>
      <c r="N5" s="220">
        <f>N3-N4</f>
        <v>100.71637034390304</v>
      </c>
      <c r="O5" s="210">
        <f>COUNT($B$3:$K$17,$B$19:$K$27,$B$29:$K$38)</f>
        <v>340</v>
      </c>
      <c r="P5" s="210">
        <f>AVERAGE($B$3:$K$17,$B$19:$K$27,$B$29:$K$38)</f>
        <v>5.1653952513048079E-2</v>
      </c>
      <c r="Q5" s="71">
        <f>Q3+Q4</f>
        <v>1</v>
      </c>
    </row>
    <row r="6" spans="1:17" ht="16" thickBot="1" x14ac:dyDescent="0.25">
      <c r="A6" s="32">
        <v>8</v>
      </c>
      <c r="B6" s="34">
        <f>HSDR!B8</f>
        <v>-0.33034033459070061</v>
      </c>
      <c r="C6" s="34">
        <f>HSDR!C8</f>
        <v>-2.1798188008805671E-2</v>
      </c>
      <c r="D6" s="34">
        <f>HSDR!D8</f>
        <v>8.0052625306546912E-3</v>
      </c>
      <c r="E6" s="34">
        <f>HSDR!E8</f>
        <v>3.8784473277208804E-2</v>
      </c>
      <c r="F6" s="34">
        <f>HSDR!F8</f>
        <v>7.0804635983033826E-2</v>
      </c>
      <c r="G6" s="34">
        <f>HSDR!G8</f>
        <v>0.11496015009622321</v>
      </c>
      <c r="H6" s="34">
        <f>HSDR!H8</f>
        <v>8.2207439363742862E-2</v>
      </c>
      <c r="I6" s="34">
        <f>HSDR!I8</f>
        <v>-5.989827565865629E-2</v>
      </c>
      <c r="J6" s="34">
        <f>HSDR!J8</f>
        <v>-0.2101863319982176</v>
      </c>
      <c r="K6" s="34">
        <f>HSDR!K8</f>
        <v>-0.30177738614031369</v>
      </c>
      <c r="M6" s="217"/>
      <c r="N6" s="215"/>
      <c r="O6" s="195"/>
      <c r="P6" s="195"/>
      <c r="Q6" s="211"/>
    </row>
    <row r="7" spans="1:17" ht="16" thickBot="1" x14ac:dyDescent="0.25">
      <c r="A7" s="32">
        <v>9</v>
      </c>
      <c r="B7" s="34">
        <f>HSDR!B9</f>
        <v>-0.25192476177072076</v>
      </c>
      <c r="C7" s="34">
        <f>HSDR!C9</f>
        <v>7.444603757634051E-2</v>
      </c>
      <c r="D7" s="34">
        <f>HSDR!D9</f>
        <v>0.12081635332999656</v>
      </c>
      <c r="E7" s="34">
        <f>HSDR!E9</f>
        <v>0.1819489340524216</v>
      </c>
      <c r="F7" s="34">
        <f>HSDR!F9</f>
        <v>0.24305722487303633</v>
      </c>
      <c r="G7" s="34">
        <f>HSDR!G9</f>
        <v>0.31705474570166692</v>
      </c>
      <c r="H7" s="34">
        <f>HSDR!H9</f>
        <v>0.17186785993695267</v>
      </c>
      <c r="I7" s="34">
        <f>HSDR!I9</f>
        <v>9.8376217435392585E-2</v>
      </c>
      <c r="J7" s="34">
        <f>HSDR!J9</f>
        <v>-5.217805346265169E-2</v>
      </c>
      <c r="K7" s="34">
        <f>HSDR!K9</f>
        <v>-0.21343169035706566</v>
      </c>
    </row>
    <row r="8" spans="1:17" ht="16" thickBot="1" x14ac:dyDescent="0.25">
      <c r="A8" s="32">
        <v>10</v>
      </c>
      <c r="B8" s="34">
        <f>HSDR!B10</f>
        <v>-0.14666789263035868</v>
      </c>
      <c r="C8" s="34">
        <f>HSDR!C10</f>
        <v>0.3589394124422991</v>
      </c>
      <c r="D8" s="34">
        <f>HSDR!D10</f>
        <v>0.40932067017593915</v>
      </c>
      <c r="E8" s="34">
        <f>HSDR!E10</f>
        <v>0.460940243794354</v>
      </c>
      <c r="F8" s="34">
        <f>HSDR!F10</f>
        <v>0.51251710900326775</v>
      </c>
      <c r="G8" s="34">
        <f>HSDR!G10</f>
        <v>0.57559016859776857</v>
      </c>
      <c r="H8" s="34">
        <f>HSDR!H10</f>
        <v>0.39241245528243773</v>
      </c>
      <c r="I8" s="34">
        <f>HSDR!I10</f>
        <v>0.28663571688628381</v>
      </c>
      <c r="J8" s="34">
        <f>HSDR!J10</f>
        <v>0.1443283683807712</v>
      </c>
      <c r="K8" s="34">
        <f>HSDR!K10</f>
        <v>-4.4990260383613007E-2</v>
      </c>
      <c r="M8" s="216"/>
      <c r="N8" s="225" t="s">
        <v>155</v>
      </c>
      <c r="O8" s="226" t="s">
        <v>47</v>
      </c>
      <c r="P8" s="209" t="s">
        <v>2</v>
      </c>
    </row>
    <row r="9" spans="1:17" x14ac:dyDescent="0.2">
      <c r="A9" s="32">
        <v>11</v>
      </c>
      <c r="B9" s="34">
        <f>HSDR!B11</f>
        <v>-4.1986836980868178E-2</v>
      </c>
      <c r="C9" s="34">
        <f>HSDR!C11</f>
        <v>0.47064092333946889</v>
      </c>
      <c r="D9" s="34">
        <f>HSDR!D11</f>
        <v>0.51779525312221675</v>
      </c>
      <c r="E9" s="34">
        <f>HSDR!E11</f>
        <v>0.56604055041797607</v>
      </c>
      <c r="F9" s="34">
        <f>HSDR!F11</f>
        <v>0.61469901790902803</v>
      </c>
      <c r="G9" s="34">
        <f>HSDR!G11</f>
        <v>0.66738009490756944</v>
      </c>
      <c r="H9" s="34">
        <f>HSDR!H11</f>
        <v>0.46288894886429077</v>
      </c>
      <c r="I9" s="34">
        <f>HSDR!I11</f>
        <v>0.35069259087031512</v>
      </c>
      <c r="J9" s="34">
        <f>HSDR!J11</f>
        <v>0.22778342315245487</v>
      </c>
      <c r="K9" s="34">
        <f>HSDR!K11</f>
        <v>5.9690795265877464E-2</v>
      </c>
      <c r="M9" s="224" t="s">
        <v>9</v>
      </c>
      <c r="N9" s="214">
        <f>SUMIF(B3:K17,"&lt;0",B3:K17)</f>
        <v>-25.701456796379546</v>
      </c>
      <c r="O9" s="201">
        <f>SUMIF(B3:K17,"&gt;0",B3:K17)</f>
        <v>13.722719265336384</v>
      </c>
      <c r="P9" s="208">
        <f>SUM(N9:O9)</f>
        <v>-11.978737531043162</v>
      </c>
    </row>
    <row r="10" spans="1:17" x14ac:dyDescent="0.2">
      <c r="A10" s="32">
        <v>12</v>
      </c>
      <c r="B10" s="34">
        <f>HSDR!B12</f>
        <v>-0.46566058377683939</v>
      </c>
      <c r="C10" s="34">
        <f>HSDR!C12</f>
        <v>-0.25338998596663809</v>
      </c>
      <c r="D10" s="34">
        <f>HSDR!D12</f>
        <v>-0.2336908997980866</v>
      </c>
      <c r="E10" s="34">
        <f>HSDR!E12</f>
        <v>-0.21106310899491437</v>
      </c>
      <c r="F10" s="34">
        <f>HSDR!F12</f>
        <v>-0.16719266083547524</v>
      </c>
      <c r="G10" s="34">
        <f>HSDR!G12</f>
        <v>-0.1536990158300045</v>
      </c>
      <c r="H10" s="34">
        <f>HSDR!H12</f>
        <v>-0.21284771451731424</v>
      </c>
      <c r="I10" s="34">
        <f>HSDR!I12</f>
        <v>-0.27157480502428616</v>
      </c>
      <c r="J10" s="34">
        <f>HSDR!J12</f>
        <v>-0.3400132806089356</v>
      </c>
      <c r="K10" s="34">
        <f>HSDR!K12</f>
        <v>-0.42069618899826788</v>
      </c>
      <c r="M10" s="206" t="s">
        <v>4</v>
      </c>
      <c r="N10" s="39">
        <f>SUMIF(B19:K27,"&lt;0",B19:K27)</f>
        <v>-3.7904670828834028</v>
      </c>
      <c r="O10" s="202">
        <f>SUMIF(B19:K27,"&gt;0",B19:K27)</f>
        <v>28.479545607286155</v>
      </c>
      <c r="P10" s="204">
        <f>SUM(N10:O10)</f>
        <v>24.689078524402753</v>
      </c>
    </row>
    <row r="11" spans="1:17" ht="16" thickBot="1" x14ac:dyDescent="0.25">
      <c r="A11" s="32">
        <v>13</v>
      </c>
      <c r="B11" s="34">
        <f>HSDR!B13</f>
        <v>-0.50382768493563657</v>
      </c>
      <c r="C11" s="34">
        <f>HSDR!C13</f>
        <v>-0.29278372720927726</v>
      </c>
      <c r="D11" s="34">
        <f>HSDR!D13</f>
        <v>-0.2522502292357135</v>
      </c>
      <c r="E11" s="34">
        <f>HSDR!E13</f>
        <v>-0.21106310899491437</v>
      </c>
      <c r="F11" s="34">
        <f>HSDR!F13</f>
        <v>-0.16719266083547524</v>
      </c>
      <c r="G11" s="34">
        <f>HSDR!G13</f>
        <v>-0.1536990158300045</v>
      </c>
      <c r="H11" s="34">
        <f>HSDR!H13</f>
        <v>-0.26907287776607752</v>
      </c>
      <c r="I11" s="34">
        <f>HSDR!I13</f>
        <v>-0.32360517609397998</v>
      </c>
      <c r="J11" s="34">
        <f>HSDR!J13</f>
        <v>-0.38715518913686875</v>
      </c>
      <c r="K11" s="34">
        <f>HSDR!K13</f>
        <v>-0.46207503264124877</v>
      </c>
      <c r="M11" s="223" t="s">
        <v>10</v>
      </c>
      <c r="N11" s="218">
        <f>SUMIF(B29:K38,"&lt;0",B29:K38)</f>
        <v>-11.585089365470401</v>
      </c>
      <c r="O11" s="227">
        <f>SUMIF(B29:K38,"&gt;0",B29:K38)</f>
        <v>16.437092226547154</v>
      </c>
      <c r="P11" s="207">
        <f>SUM(N11:O11)</f>
        <v>4.8520028610767536</v>
      </c>
    </row>
    <row r="12" spans="1:17" ht="16" thickBot="1" x14ac:dyDescent="0.25">
      <c r="A12" s="32">
        <v>14</v>
      </c>
      <c r="B12" s="34">
        <f>HSDR!B14</f>
        <v>-0.53926856458309114</v>
      </c>
      <c r="C12" s="34">
        <f>HSDR!C14</f>
        <v>-0.29278372720927726</v>
      </c>
      <c r="D12" s="34">
        <f>HSDR!D14</f>
        <v>-0.2522502292357135</v>
      </c>
      <c r="E12" s="34">
        <f>HSDR!E14</f>
        <v>-0.21106310899491437</v>
      </c>
      <c r="F12" s="34">
        <f>HSDR!F14</f>
        <v>-0.16719266083547524</v>
      </c>
      <c r="G12" s="34">
        <f>HSDR!G14</f>
        <v>-0.1536990158300045</v>
      </c>
      <c r="H12" s="34">
        <f>HSDR!H14</f>
        <v>-0.3212819579256434</v>
      </c>
      <c r="I12" s="34">
        <f>HSDR!I14</f>
        <v>-0.37191909208726714</v>
      </c>
      <c r="J12" s="34">
        <f>HSDR!J14</f>
        <v>-0.43092981848423528</v>
      </c>
      <c r="K12" s="34">
        <f>HSDR!K14</f>
        <v>-0.50049824459544523</v>
      </c>
      <c r="M12" s="209" t="s">
        <v>2</v>
      </c>
      <c r="N12" s="213">
        <f>SUM(N9:N11)+C40</f>
        <v>-42.077013244733351</v>
      </c>
      <c r="O12" s="200">
        <f>SUM(O9:O11)</f>
        <v>58.639357099169686</v>
      </c>
      <c r="P12" s="216">
        <f>SUM(P9:P11)</f>
        <v>17.562343854436342</v>
      </c>
    </row>
    <row r="13" spans="1:17" x14ac:dyDescent="0.2">
      <c r="A13" s="32">
        <v>15</v>
      </c>
      <c r="B13" s="34">
        <f>HSDR!B15</f>
        <v>-0.572177952827156</v>
      </c>
      <c r="C13" s="34">
        <f>HSDR!C15</f>
        <v>-0.29278372720927726</v>
      </c>
      <c r="D13" s="34">
        <f>HSDR!D15</f>
        <v>-0.2522502292357135</v>
      </c>
      <c r="E13" s="34">
        <f>HSDR!E15</f>
        <v>-0.21106310899491437</v>
      </c>
      <c r="F13" s="34">
        <f>HSDR!F15</f>
        <v>-0.16719266083547524</v>
      </c>
      <c r="G13" s="34">
        <f>HSDR!G15</f>
        <v>-0.1536990158300045</v>
      </c>
      <c r="H13" s="34">
        <f>HSDR!H15</f>
        <v>-0.36976181807381175</v>
      </c>
      <c r="I13" s="34">
        <f>HSDR!I15</f>
        <v>-0.41678201408103371</v>
      </c>
      <c r="J13" s="34">
        <f>HSDR!J15</f>
        <v>-0.47157768859250415</v>
      </c>
      <c r="K13" s="34">
        <f>HSDR!K15</f>
        <v>-0.53617694141005634</v>
      </c>
    </row>
    <row r="14" spans="1:17" x14ac:dyDescent="0.2">
      <c r="A14" s="32">
        <v>16</v>
      </c>
      <c r="B14" s="34">
        <f>HSDR!B16</f>
        <v>-0.57578184676460165</v>
      </c>
      <c r="C14" s="34">
        <f>HSDR!C16</f>
        <v>-0.29278372720927726</v>
      </c>
      <c r="D14" s="34">
        <f>HSDR!D16</f>
        <v>-0.2522502292357135</v>
      </c>
      <c r="E14" s="34">
        <f>HSDR!E16</f>
        <v>-0.21106310899491437</v>
      </c>
      <c r="F14" s="34">
        <f>HSDR!F16</f>
        <v>-0.16719266083547524</v>
      </c>
      <c r="G14" s="34">
        <f>HSDR!G16</f>
        <v>-0.1536990158300045</v>
      </c>
      <c r="H14" s="34">
        <f>HSDR!H16</f>
        <v>-0.41477883106853947</v>
      </c>
      <c r="I14" s="34">
        <f>HSDR!I16</f>
        <v>-0.45844044164667419</v>
      </c>
      <c r="J14" s="34">
        <f>HSDR!J16</f>
        <v>-0.50932213940732529</v>
      </c>
      <c r="K14" s="34">
        <f>HSDR!K16</f>
        <v>-0.56930715988076652</v>
      </c>
    </row>
    <row r="15" spans="1:17" x14ac:dyDescent="0.2">
      <c r="A15" s="32">
        <v>17</v>
      </c>
      <c r="B15" s="34">
        <f>HSDR!B17</f>
        <v>-0.46435750824198752</v>
      </c>
      <c r="C15" s="34">
        <f>HSDR!C17</f>
        <v>-0.15297458768154204</v>
      </c>
      <c r="D15" s="34">
        <f>HSDR!D17</f>
        <v>-0.11721624142457365</v>
      </c>
      <c r="E15" s="34">
        <f>HSDR!E17</f>
        <v>-8.0573373145316152E-2</v>
      </c>
      <c r="F15" s="34">
        <f>HSDR!F17</f>
        <v>-4.4941375564924446E-2</v>
      </c>
      <c r="G15" s="34">
        <f>HSDR!G17</f>
        <v>1.1739160673341853E-2</v>
      </c>
      <c r="H15" s="34">
        <f>HSDR!H17</f>
        <v>-0.10680898948269468</v>
      </c>
      <c r="I15" s="34">
        <f>HSDR!I17</f>
        <v>-0.38195097104844711</v>
      </c>
      <c r="J15" s="34">
        <f>HSDR!J17</f>
        <v>-0.42315423964521737</v>
      </c>
      <c r="K15" s="34">
        <f>HSDR!K17</f>
        <v>-0.46435750824198763</v>
      </c>
    </row>
    <row r="16" spans="1:17" x14ac:dyDescent="0.2">
      <c r="A16" s="32">
        <v>18</v>
      </c>
      <c r="B16" s="34">
        <f>HSDR!B18</f>
        <v>-0.24150883119675959</v>
      </c>
      <c r="C16" s="34">
        <f>HSDR!C18</f>
        <v>0.12174190222088771</v>
      </c>
      <c r="D16" s="34">
        <f>HSDR!D18</f>
        <v>0.14830007284131119</v>
      </c>
      <c r="E16" s="34">
        <f>HSDR!E18</f>
        <v>0.17585443719748528</v>
      </c>
      <c r="F16" s="34">
        <f>HSDR!F18</f>
        <v>0.19956119497617719</v>
      </c>
      <c r="G16" s="34">
        <f>HSDR!G18</f>
        <v>0.28344391604689856</v>
      </c>
      <c r="H16" s="34">
        <f>HSDR!H18</f>
        <v>0.3995541673365518</v>
      </c>
      <c r="I16" s="34">
        <f>HSDR!I18</f>
        <v>0.10595134861912359</v>
      </c>
      <c r="J16" s="34">
        <f>HSDR!J18</f>
        <v>-0.18316335667343331</v>
      </c>
      <c r="K16" s="34">
        <f>HSDR!K18</f>
        <v>-0.24150883119675959</v>
      </c>
    </row>
    <row r="17" spans="1:11" x14ac:dyDescent="0.2">
      <c r="A17" s="32">
        <v>19</v>
      </c>
      <c r="B17" s="34">
        <f>HSDR!B19</f>
        <v>-1.8660154151531549E-2</v>
      </c>
      <c r="C17" s="34">
        <f>HSDR!C19</f>
        <v>0.38630468602058987</v>
      </c>
      <c r="D17" s="34">
        <f>HSDR!D19</f>
        <v>0.40436293659776001</v>
      </c>
      <c r="E17" s="34">
        <f>HSDR!E19</f>
        <v>0.42317892482749647</v>
      </c>
      <c r="F17" s="34">
        <f>HSDR!F19</f>
        <v>0.43951210416088371</v>
      </c>
      <c r="G17" s="34">
        <f>HSDR!G19</f>
        <v>0.49597707378731909</v>
      </c>
      <c r="H17" s="34">
        <f>HSDR!H19</f>
        <v>0.6159764957534315</v>
      </c>
      <c r="I17" s="34">
        <f>HSDR!I19</f>
        <v>0.5938536682866945</v>
      </c>
      <c r="J17" s="34">
        <f>HSDR!J19</f>
        <v>0.28759675706758142</v>
      </c>
      <c r="K17" s="34">
        <f>HSDR!K19</f>
        <v>-1.8660154151531536E-2</v>
      </c>
    </row>
    <row r="18" spans="1:11" x14ac:dyDescent="0.2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1" x14ac:dyDescent="0.2">
      <c r="A19" s="32">
        <v>13</v>
      </c>
      <c r="B19" s="34">
        <f>HSDR!B36</f>
        <v>-0.23472177802444921</v>
      </c>
      <c r="C19" s="34">
        <f>HSDR!C36</f>
        <v>4.6636132695309543E-2</v>
      </c>
      <c r="D19" s="34">
        <f>HSDR!D36</f>
        <v>7.4118813392744051E-2</v>
      </c>
      <c r="E19" s="34">
        <f>HSDR!E36</f>
        <v>0.10247714687203523</v>
      </c>
      <c r="F19" s="34">
        <f>HSDR!F36</f>
        <v>0.13336273848321728</v>
      </c>
      <c r="G19" s="34">
        <f>HSDR!G36</f>
        <v>0.16169271124923693</v>
      </c>
      <c r="H19" s="34">
        <f>HSDR!H36</f>
        <v>0.12238569517899196</v>
      </c>
      <c r="I19" s="34">
        <f>HSDR!I36</f>
        <v>5.4057070196311334E-2</v>
      </c>
      <c r="J19" s="34">
        <f>HSDR!J36</f>
        <v>-3.7694688127479885E-2</v>
      </c>
      <c r="K19" s="34">
        <f>HSDR!K36</f>
        <v>-0.16080628455762785</v>
      </c>
    </row>
    <row r="20" spans="1:11" x14ac:dyDescent="0.2">
      <c r="A20" s="32">
        <v>14</v>
      </c>
      <c r="B20" s="34">
        <f>HSDR!B37</f>
        <v>-0.26406959413166387</v>
      </c>
      <c r="C20" s="34">
        <f>HSDR!C37</f>
        <v>2.2391856987839083E-2</v>
      </c>
      <c r="D20" s="34">
        <f>HSDR!D37</f>
        <v>5.0806738919282814E-2</v>
      </c>
      <c r="E20" s="34">
        <f>HSDR!E37</f>
        <v>8.0081414310110233E-2</v>
      </c>
      <c r="F20" s="34">
        <f>HSDR!F37</f>
        <v>0.11189449567473925</v>
      </c>
      <c r="G20" s="34">
        <f>HSDR!G37</f>
        <v>0.1391647307435768</v>
      </c>
      <c r="H20" s="34">
        <f>HSDR!H37</f>
        <v>7.9507488494468148E-2</v>
      </c>
      <c r="I20" s="34">
        <f>HSDR!I37</f>
        <v>1.3277219463208478E-2</v>
      </c>
      <c r="J20" s="34">
        <f>HSDR!J37</f>
        <v>-7.516318944168382E-2</v>
      </c>
      <c r="K20" s="34">
        <f>HSDR!K37</f>
        <v>-0.1933035414076569</v>
      </c>
    </row>
    <row r="21" spans="1:11" x14ac:dyDescent="0.2">
      <c r="A21" s="32">
        <v>15</v>
      </c>
      <c r="B21" s="34">
        <f>HSDR!B38</f>
        <v>-0.29312934580507005</v>
      </c>
      <c r="C21" s="34">
        <f>HSDR!C38</f>
        <v>-1.2068474052636583E-4</v>
      </c>
      <c r="D21" s="34">
        <f>HSDR!D38</f>
        <v>2.9159812622497363E-2</v>
      </c>
      <c r="E21" s="34">
        <f>HSDR!E38</f>
        <v>5.9285376931179926E-2</v>
      </c>
      <c r="F21" s="34">
        <f>HSDR!F38</f>
        <v>9.1959698781152482E-2</v>
      </c>
      <c r="G21" s="34">
        <f>HSDR!G38</f>
        <v>0.11824589170260671</v>
      </c>
      <c r="H21" s="34">
        <f>HSDR!H38</f>
        <v>3.7028282279269235E-2</v>
      </c>
      <c r="I21" s="34">
        <f>HSDR!I38</f>
        <v>-2.7054780502901672E-2</v>
      </c>
      <c r="J21" s="34">
        <f>HSDR!J38</f>
        <v>-0.11218876868994289</v>
      </c>
      <c r="K21" s="34">
        <f>HSDR!K38</f>
        <v>-0.22543993358238781</v>
      </c>
    </row>
    <row r="22" spans="1:11" x14ac:dyDescent="0.2">
      <c r="A22" s="32">
        <v>16</v>
      </c>
      <c r="B22" s="34">
        <f>HSDR!B39</f>
        <v>-0.31409107314591783</v>
      </c>
      <c r="C22" s="34">
        <f>HSDR!C39</f>
        <v>-2.1025187774008566E-2</v>
      </c>
      <c r="D22" s="34">
        <f>HSDR!D39</f>
        <v>9.0590953469108244E-3</v>
      </c>
      <c r="E22" s="34">
        <f>HSDR!E39</f>
        <v>3.9974770793601705E-2</v>
      </c>
      <c r="F22" s="34">
        <f>HSDR!F39</f>
        <v>7.3448815951393354E-2</v>
      </c>
      <c r="G22" s="34">
        <f>HSDR!G39</f>
        <v>9.8821255450277368E-2</v>
      </c>
      <c r="H22" s="34">
        <f>HSDR!H39</f>
        <v>-4.8901571730158942E-3</v>
      </c>
      <c r="I22" s="34">
        <f>HSDR!I39</f>
        <v>-6.6794847920094103E-2</v>
      </c>
      <c r="J22" s="34">
        <f>HSDR!J39</f>
        <v>-0.14864353463007471</v>
      </c>
      <c r="K22" s="34">
        <f>HSDR!K39</f>
        <v>-0.25710121084742421</v>
      </c>
    </row>
    <row r="23" spans="1:11" x14ac:dyDescent="0.2">
      <c r="A23" s="32">
        <v>17</v>
      </c>
      <c r="B23" s="34">
        <f>HSDR!B40</f>
        <v>-0.30094774596936263</v>
      </c>
      <c r="C23" s="34">
        <f>HSDR!C40</f>
        <v>-4.9104358288916297E-4</v>
      </c>
      <c r="D23" s="34">
        <f>HSDR!D40</f>
        <v>2.8975282965620523E-2</v>
      </c>
      <c r="E23" s="34">
        <f>HSDR!E40</f>
        <v>5.9326275337164343E-2</v>
      </c>
      <c r="F23" s="34">
        <f>HSDR!F40</f>
        <v>9.1189077686774395E-2</v>
      </c>
      <c r="G23" s="34">
        <f>HSDR!G40</f>
        <v>0.12805214364549905</v>
      </c>
      <c r="H23" s="34">
        <f>HSDR!H40</f>
        <v>5.3823463716116654E-2</v>
      </c>
      <c r="I23" s="34">
        <f>HSDR!I40</f>
        <v>-7.2915398729642075E-2</v>
      </c>
      <c r="J23" s="34">
        <f>HSDR!J40</f>
        <v>-0.14978689218213323</v>
      </c>
      <c r="K23" s="34">
        <f>HSDR!K40</f>
        <v>-0.24941602102444038</v>
      </c>
    </row>
    <row r="24" spans="1:11" x14ac:dyDescent="0.2">
      <c r="A24" s="32">
        <v>18</v>
      </c>
      <c r="B24" s="34">
        <f>HSDR!B41</f>
        <v>-0.24150883119675959</v>
      </c>
      <c r="C24" s="34">
        <f>HSDR!C41</f>
        <v>0.12174190222088771</v>
      </c>
      <c r="D24" s="34">
        <f>HSDR!D41</f>
        <v>0.14830007284131119</v>
      </c>
      <c r="E24" s="34">
        <f>HSDR!E41</f>
        <v>0.17585443719748528</v>
      </c>
      <c r="F24" s="34">
        <f>HSDR!F41</f>
        <v>0.19956119497617719</v>
      </c>
      <c r="G24" s="34">
        <f>HSDR!G41</f>
        <v>0.28344391604689856</v>
      </c>
      <c r="H24" s="34">
        <f>HSDR!H41</f>
        <v>0.3995541673365518</v>
      </c>
      <c r="I24" s="34">
        <f>HSDR!I41</f>
        <v>0.10595134861912359</v>
      </c>
      <c r="J24" s="34">
        <f>HSDR!J41</f>
        <v>-0.10074430758041522</v>
      </c>
      <c r="K24" s="34">
        <f>HSDR!K41</f>
        <v>-0.20109793381277147</v>
      </c>
    </row>
    <row r="25" spans="1:11" x14ac:dyDescent="0.2">
      <c r="A25" s="32">
        <v>19</v>
      </c>
      <c r="B25" s="34">
        <f>HSDR!B42</f>
        <v>-1.8660154151531549E-2</v>
      </c>
      <c r="C25" s="34">
        <f>HSDR!C42</f>
        <v>0.38630468602058987</v>
      </c>
      <c r="D25" s="34">
        <f>HSDR!D42</f>
        <v>0.40436293659776001</v>
      </c>
      <c r="E25" s="34">
        <f>HSDR!E42</f>
        <v>0.42317892482749647</v>
      </c>
      <c r="F25" s="34">
        <f>HSDR!F42</f>
        <v>0.43951210416088371</v>
      </c>
      <c r="G25" s="34">
        <f>HSDR!G42</f>
        <v>0.49597707378731909</v>
      </c>
      <c r="H25" s="34">
        <f>HSDR!H42</f>
        <v>0.6159764957534315</v>
      </c>
      <c r="I25" s="34">
        <f>HSDR!I42</f>
        <v>0.5938536682866945</v>
      </c>
      <c r="J25" s="34">
        <f>HSDR!J42</f>
        <v>0.28759675706758142</v>
      </c>
      <c r="K25" s="34">
        <f>HSDR!K42</f>
        <v>-1.8660154151531536E-2</v>
      </c>
    </row>
    <row r="26" spans="1:11" x14ac:dyDescent="0.2">
      <c r="A26" s="32">
        <v>20</v>
      </c>
      <c r="B26" s="34">
        <f>HSDR!B43</f>
        <v>0.20418852289369649</v>
      </c>
      <c r="C26" s="34">
        <f>HSDR!C43</f>
        <v>0.63998657521683877</v>
      </c>
      <c r="D26" s="34">
        <f>HSDR!D43</f>
        <v>0.65027209425148136</v>
      </c>
      <c r="E26" s="34">
        <f>HSDR!E43</f>
        <v>0.66104996194807186</v>
      </c>
      <c r="F26" s="34">
        <f>HSDR!F43</f>
        <v>0.67035969063279999</v>
      </c>
      <c r="G26" s="34">
        <f>HSDR!G43</f>
        <v>0.70395857017134467</v>
      </c>
      <c r="H26" s="34">
        <f>HSDR!H43</f>
        <v>0.77322722653717491</v>
      </c>
      <c r="I26" s="34">
        <f>HSDR!I43</f>
        <v>0.79181515955189841</v>
      </c>
      <c r="J26" s="34">
        <f>HSDR!J43</f>
        <v>0.75835687080859626</v>
      </c>
      <c r="K26" s="34">
        <f>HSDR!K43</f>
        <v>0.43495775366292722</v>
      </c>
    </row>
    <row r="27" spans="1:11" x14ac:dyDescent="0.2">
      <c r="A27" s="32">
        <v>21</v>
      </c>
      <c r="B27" s="34">
        <f>IF(Rules!$B$3=Rules!$E$3,1.5,IF(Rules!$B$3=Rules!$F$3,1.2,1))</f>
        <v>1.5</v>
      </c>
      <c r="C27" s="34">
        <f>IF(Rules!$B$3=Rules!$E$3,1.5,IF(Rules!$B$3=Rules!$F$3,1.2,1))</f>
        <v>1.5</v>
      </c>
      <c r="D27" s="34">
        <f>IF(Rules!$B$3=Rules!$E$3,1.5,IF(Rules!$B$3=Rules!$F$3,1.2,1))</f>
        <v>1.5</v>
      </c>
      <c r="E27" s="34">
        <f>IF(Rules!$B$3=Rules!$E$3,1.5,IF(Rules!$B$3=Rules!$F$3,1.2,1))</f>
        <v>1.5</v>
      </c>
      <c r="F27" s="34">
        <f>IF(Rules!$B$3=Rules!$E$3,1.5,IF(Rules!$B$3=Rules!$F$3,1.2,1))</f>
        <v>1.5</v>
      </c>
      <c r="G27" s="34">
        <f>IF(Rules!$B$3=Rules!$E$3,1.5,IF(Rules!$B$3=Rules!$F$3,1.2,1))</f>
        <v>1.5</v>
      </c>
      <c r="H27" s="34">
        <f>IF(Rules!$B$3=Rules!$E$3,1.5,IF(Rules!$B$3=Rules!$F$3,1.2,1))</f>
        <v>1.5</v>
      </c>
      <c r="I27" s="34">
        <f>IF(Rules!$B$3=Rules!$E$3,1.5,IF(Rules!$B$3=Rules!$F$3,1.2,1))</f>
        <v>1.5</v>
      </c>
      <c r="J27" s="34">
        <f>IF(Rules!$B$3=Rules!$E$3,1.5,IF(Rules!$B$3=Rules!$F$3,1.2,1))</f>
        <v>1.5</v>
      </c>
      <c r="K27" s="34">
        <f>IF(Rules!$B$3=Rules!$E$3,1.5,IF(Rules!$B$3=Rules!$F$3,1.2,1))</f>
        <v>1.5</v>
      </c>
    </row>
    <row r="28" spans="1:11" x14ac:dyDescent="0.2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1" x14ac:dyDescent="0.2">
      <c r="A29" s="32" t="s">
        <v>1</v>
      </c>
      <c r="B29" s="34">
        <f>Pair!B54</f>
        <v>-0.11815715102876453</v>
      </c>
      <c r="C29" s="34">
        <f>Pair!C54</f>
        <v>0.47064092333946894</v>
      </c>
      <c r="D29" s="34">
        <f>Pair!D54</f>
        <v>0.51779525312221664</v>
      </c>
      <c r="E29" s="34">
        <f>Pair!E54</f>
        <v>0.56604055041797596</v>
      </c>
      <c r="F29" s="34">
        <f>Pair!F54</f>
        <v>0.61469901790902803</v>
      </c>
      <c r="G29" s="34">
        <f>Pair!G54</f>
        <v>0.66738009490756944</v>
      </c>
      <c r="H29" s="34">
        <f>Pair!H54</f>
        <v>0.46288894886429088</v>
      </c>
      <c r="I29" s="34">
        <f>Pair!I54</f>
        <v>0.35069259087031512</v>
      </c>
      <c r="J29" s="34">
        <f>Pair!J54</f>
        <v>0.22778342315245487</v>
      </c>
      <c r="K29" s="34">
        <f>Pair!K54</f>
        <v>5.9357641870643733E-2</v>
      </c>
    </row>
    <row r="30" spans="1:11" x14ac:dyDescent="0.2">
      <c r="A30" s="32">
        <v>2</v>
      </c>
      <c r="B30" s="34">
        <f>Pair!B55</f>
        <v>-0.38538530661686615</v>
      </c>
      <c r="C30" s="34">
        <f>Pair!C55</f>
        <v>-0.11491332761892134</v>
      </c>
      <c r="D30" s="34">
        <f>Pair!D55</f>
        <v>-8.2613314299744348E-2</v>
      </c>
      <c r="E30" s="34">
        <f>Pair!E55</f>
        <v>-4.4200824271668777E-2</v>
      </c>
      <c r="F30" s="34">
        <f>Pair!F55</f>
        <v>2.7460064569567143E-2</v>
      </c>
      <c r="G30" s="34">
        <f>Pair!G55</f>
        <v>7.7766823892602463E-2</v>
      </c>
      <c r="H30" s="34">
        <f>Pair!H55</f>
        <v>-5.4514042751724494E-2</v>
      </c>
      <c r="I30" s="34">
        <f>Pair!I55</f>
        <v>-0.15933415266020512</v>
      </c>
      <c r="J30" s="34">
        <f>Pair!J55</f>
        <v>-0.24066617915336547</v>
      </c>
      <c r="K30" s="34">
        <f>Pair!K55</f>
        <v>-0.33509986436351097</v>
      </c>
    </row>
    <row r="31" spans="1:11" x14ac:dyDescent="0.2">
      <c r="A31" s="32">
        <v>3</v>
      </c>
      <c r="B31" s="34">
        <f>Pair!B56</f>
        <v>-0.41968690347101079</v>
      </c>
      <c r="C31" s="34">
        <f>Pair!C56</f>
        <v>-0.14075911746001987</v>
      </c>
      <c r="D31" s="34">
        <f>Pair!D56</f>
        <v>-0.10729107800860835</v>
      </c>
      <c r="E31" s="34">
        <f>Pair!E56</f>
        <v>-7.2522581417810678E-2</v>
      </c>
      <c r="F31" s="34">
        <f>Pair!F56</f>
        <v>3.3991424279375615E-4</v>
      </c>
      <c r="G31" s="34">
        <f>Pair!G56</f>
        <v>4.8942606413118719E-2</v>
      </c>
      <c r="H31" s="34">
        <f>Pair!H56</f>
        <v>-0.11487517708071333</v>
      </c>
      <c r="I31" s="34">
        <f>Pair!I56</f>
        <v>-0.21724188132078476</v>
      </c>
      <c r="J31" s="34">
        <f>Pair!J56</f>
        <v>-0.29264070019772598</v>
      </c>
      <c r="K31" s="34">
        <f>Pair!K56</f>
        <v>-0.38050766229289529</v>
      </c>
    </row>
    <row r="32" spans="1:11" x14ac:dyDescent="0.2">
      <c r="A32" s="32">
        <v>4</v>
      </c>
      <c r="B32" s="34">
        <f>Pair!B57</f>
        <v>-0.33034033459070061</v>
      </c>
      <c r="C32" s="34">
        <f>Pair!C57</f>
        <v>-2.1798188008805671E-2</v>
      </c>
      <c r="D32" s="34">
        <f>Pair!D57</f>
        <v>8.0052625306546912E-3</v>
      </c>
      <c r="E32" s="34">
        <f>Pair!E57</f>
        <v>3.8784473277208804E-2</v>
      </c>
      <c r="F32" s="34">
        <f>Pair!F57</f>
        <v>7.0804635983033826E-2</v>
      </c>
      <c r="G32" s="34">
        <f>Pair!G57</f>
        <v>0.11496015009622321</v>
      </c>
      <c r="H32" s="34">
        <f>Pair!H57</f>
        <v>8.2207439363742862E-2</v>
      </c>
      <c r="I32" s="34">
        <f>Pair!I57</f>
        <v>-5.989827565865629E-2</v>
      </c>
      <c r="J32" s="34">
        <f>Pair!J57</f>
        <v>-0.2101863319982176</v>
      </c>
      <c r="K32" s="34">
        <f>Pair!K57</f>
        <v>-0.30177738614031369</v>
      </c>
    </row>
    <row r="33" spans="1:11" x14ac:dyDescent="0.2">
      <c r="A33" s="32">
        <v>5</v>
      </c>
      <c r="B33" s="34">
        <f>Pair!B58</f>
        <v>-0.14666789263035868</v>
      </c>
      <c r="C33" s="34">
        <f>Pair!C58</f>
        <v>0.3589394124422991</v>
      </c>
      <c r="D33" s="34">
        <f>Pair!D58</f>
        <v>0.40932067017593915</v>
      </c>
      <c r="E33" s="34">
        <f>Pair!E58</f>
        <v>0.460940243794354</v>
      </c>
      <c r="F33" s="34">
        <f>Pair!F58</f>
        <v>0.51251710900326775</v>
      </c>
      <c r="G33" s="34">
        <f>Pair!G58</f>
        <v>0.57559016859776857</v>
      </c>
      <c r="H33" s="34">
        <f>Pair!H58</f>
        <v>0.39241245528243773</v>
      </c>
      <c r="I33" s="34">
        <f>Pair!I58</f>
        <v>0.28663571688628381</v>
      </c>
      <c r="J33" s="34">
        <f>Pair!J58</f>
        <v>0.1443283683807712</v>
      </c>
      <c r="K33" s="34">
        <f>Pair!K58</f>
        <v>-4.4990260383613007E-2</v>
      </c>
    </row>
    <row r="34" spans="1:11" x14ac:dyDescent="0.2">
      <c r="A34" s="32">
        <v>6</v>
      </c>
      <c r="B34" s="34">
        <f>Pair!B59</f>
        <v>-0.46566058377683939</v>
      </c>
      <c r="C34" s="34">
        <f>Pair!C59</f>
        <v>-0.25338998596663809</v>
      </c>
      <c r="D34" s="34">
        <f>Pair!D59</f>
        <v>-0.2145821560172167</v>
      </c>
      <c r="E34" s="34">
        <f>Pair!E59</f>
        <v>-0.14583428385277461</v>
      </c>
      <c r="F34" s="34">
        <f>Pair!F59</f>
        <v>-6.9831946660204355E-2</v>
      </c>
      <c r="G34" s="34">
        <f>Pair!G59</f>
        <v>-2.6011671059748588E-2</v>
      </c>
      <c r="H34" s="34">
        <f>Pair!H59</f>
        <v>-0.21284771451731424</v>
      </c>
      <c r="I34" s="34">
        <f>Pair!I59</f>
        <v>-0.27157480502428616</v>
      </c>
      <c r="J34" s="34">
        <f>Pair!J59</f>
        <v>-0.3400132806089356</v>
      </c>
      <c r="K34" s="34">
        <f>Pair!K59</f>
        <v>-0.42069618899826788</v>
      </c>
    </row>
    <row r="35" spans="1:11" x14ac:dyDescent="0.2">
      <c r="A35" s="32">
        <v>7</v>
      </c>
      <c r="B35" s="34">
        <f>Pair!B60</f>
        <v>-0.53926856458309114</v>
      </c>
      <c r="C35" s="34">
        <f>Pair!C60</f>
        <v>-0.21836685573323267</v>
      </c>
      <c r="D35" s="34">
        <f>Pair!D60</f>
        <v>-0.15316596380892716</v>
      </c>
      <c r="E35" s="34">
        <f>Pair!E60</f>
        <v>-8.6043588008683752E-2</v>
      </c>
      <c r="F35" s="34">
        <f>Pair!F60</f>
        <v>-1.4542721805881769E-2</v>
      </c>
      <c r="G35" s="34">
        <f>Pair!G60</f>
        <v>5.8370684707721728E-2</v>
      </c>
      <c r="H35" s="34">
        <f>Pair!H60</f>
        <v>-0.13761559916085553</v>
      </c>
      <c r="I35" s="34">
        <f>Pair!I60</f>
        <v>-0.37191909208726714</v>
      </c>
      <c r="J35" s="34">
        <f>Pair!J60</f>
        <v>-0.43092981848423528</v>
      </c>
      <c r="K35" s="34">
        <f>Pair!K60</f>
        <v>-0.50049824459544523</v>
      </c>
    </row>
    <row r="36" spans="1:11" x14ac:dyDescent="0.2">
      <c r="A36" s="32">
        <v>8</v>
      </c>
      <c r="B36" s="34">
        <f>Pair!B61</f>
        <v>-0.57578184676460165</v>
      </c>
      <c r="C36" s="34">
        <f>Pair!C61</f>
        <v>-4.3596376017611342E-2</v>
      </c>
      <c r="D36" s="34">
        <f>Pair!D61</f>
        <v>1.6010525061309382E-2</v>
      </c>
      <c r="E36" s="34">
        <f>Pair!E61</f>
        <v>7.7568946554417609E-2</v>
      </c>
      <c r="F36" s="34">
        <f>Pair!F61</f>
        <v>0.14160927196606765</v>
      </c>
      <c r="G36" s="34">
        <f>Pair!G61</f>
        <v>0.22992030019244641</v>
      </c>
      <c r="H36" s="34">
        <f>Pair!H61</f>
        <v>0.16441487872748572</v>
      </c>
      <c r="I36" s="34">
        <f>Pair!I61</f>
        <v>-0.11979655131731258</v>
      </c>
      <c r="J36" s="34">
        <f>Pair!J61</f>
        <v>-0.42037266399643519</v>
      </c>
      <c r="K36" s="34">
        <f>Pair!K61</f>
        <v>-0.56930715988076652</v>
      </c>
    </row>
    <row r="37" spans="1:11" x14ac:dyDescent="0.2">
      <c r="A37" s="32">
        <v>9</v>
      </c>
      <c r="B37" s="34">
        <f>Pair!B62</f>
        <v>-0.24150883119675959</v>
      </c>
      <c r="C37" s="34">
        <f>Pair!C62</f>
        <v>0.14889207515268102</v>
      </c>
      <c r="D37" s="34">
        <f>Pair!D62</f>
        <v>0.20252940347775356</v>
      </c>
      <c r="E37" s="34">
        <f>Pair!E62</f>
        <v>0.25796176239148355</v>
      </c>
      <c r="F37" s="34">
        <f>Pair!F62</f>
        <v>0.31606371253303472</v>
      </c>
      <c r="G37" s="34">
        <f>Pair!G62</f>
        <v>0.39203767851455751</v>
      </c>
      <c r="H37" s="34">
        <f>Pair!H62</f>
        <v>0.3995541673365518</v>
      </c>
      <c r="I37" s="34">
        <f>Pair!I62</f>
        <v>0.19675243487078517</v>
      </c>
      <c r="J37" s="34">
        <f>Pair!J62</f>
        <v>-0.10435610692530338</v>
      </c>
      <c r="K37" s="34">
        <f>Pair!K62</f>
        <v>-0.24150883119675959</v>
      </c>
    </row>
    <row r="38" spans="1:11" x14ac:dyDescent="0.2">
      <c r="A38" s="32">
        <v>10</v>
      </c>
      <c r="B38" s="34">
        <f>Pair!B63</f>
        <v>0.20418852289369649</v>
      </c>
      <c r="C38" s="34">
        <f>Pair!C63</f>
        <v>0.63998657521683877</v>
      </c>
      <c r="D38" s="34">
        <f>Pair!D63</f>
        <v>0.65027209425148136</v>
      </c>
      <c r="E38" s="34">
        <f>Pair!E63</f>
        <v>0.66104996194807186</v>
      </c>
      <c r="F38" s="34">
        <f>Pair!F63</f>
        <v>0.67035969063279999</v>
      </c>
      <c r="G38" s="34">
        <f>Pair!G63</f>
        <v>0.70395857017134467</v>
      </c>
      <c r="H38" s="34">
        <f>Pair!H63</f>
        <v>0.77322722653717491</v>
      </c>
      <c r="I38" s="34">
        <f>Pair!I63</f>
        <v>0.79181515955189841</v>
      </c>
      <c r="J38" s="34">
        <f>Pair!J63</f>
        <v>0.75835687080859626</v>
      </c>
      <c r="K38" s="34">
        <f>Pair!K63</f>
        <v>0.43495775366292722</v>
      </c>
    </row>
    <row r="39" spans="1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1" x14ac:dyDescent="0.2">
      <c r="A40" s="37" t="s">
        <v>11</v>
      </c>
      <c r="B40" s="38"/>
      <c r="C40" s="39">
        <v>-1</v>
      </c>
    </row>
  </sheetData>
  <sheetProtection sheet="1" objects="1" scenarios="1"/>
  <mergeCells count="1">
    <mergeCell ref="A1:K1"/>
  </mergeCells>
  <phoneticPr fontId="16" type="noConversion"/>
  <conditionalFormatting sqref="B39:K39">
    <cfRule type="containsText" dxfId="966" priority="42" operator="containsText" text="R">
      <formula>NOT(ISERROR(SEARCH("R",B39)))</formula>
    </cfRule>
    <cfRule type="containsText" dxfId="965" priority="43" operator="containsText" text="D">
      <formula>NOT(ISERROR(SEARCH("D",B39)))</formula>
    </cfRule>
    <cfRule type="containsText" dxfId="964" priority="44" operator="containsText" text="S">
      <formula>NOT(ISERROR(SEARCH("S",B39)))</formula>
    </cfRule>
    <cfRule type="containsText" dxfId="963" priority="45" operator="containsText" text="H">
      <formula>NOT(ISERROR(SEARCH("H",B39)))</formula>
    </cfRule>
  </conditionalFormatting>
  <conditionalFormatting sqref="B39:K39">
    <cfRule type="containsText" dxfId="962" priority="41" operator="containsText" text="P">
      <formula>NOT(ISERROR(SEARCH("P",B39)))</formula>
    </cfRule>
  </conditionalFormatting>
  <conditionalFormatting sqref="B3:K17">
    <cfRule type="containsText" dxfId="961" priority="27" operator="containsText" text="R">
      <formula>NOT(ISERROR(SEARCH("R",B3)))</formula>
    </cfRule>
    <cfRule type="containsText" dxfId="960" priority="28" operator="containsText" text="D">
      <formula>NOT(ISERROR(SEARCH("D",B3)))</formula>
    </cfRule>
    <cfRule type="containsText" dxfId="959" priority="29" operator="containsText" text="S">
      <formula>NOT(ISERROR(SEARCH("S",B3)))</formula>
    </cfRule>
    <cfRule type="containsText" dxfId="958" priority="30" operator="containsText" text="H">
      <formula>NOT(ISERROR(SEARCH("H",B3)))</formula>
    </cfRule>
  </conditionalFormatting>
  <conditionalFormatting sqref="B3:K17">
    <cfRule type="containsText" dxfId="957" priority="26" operator="containsText" text="P">
      <formula>NOT(ISERROR(SEARCH("P",B3)))</formula>
    </cfRule>
  </conditionalFormatting>
  <conditionalFormatting sqref="B3:K17">
    <cfRule type="colorScale" priority="25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9:K27">
    <cfRule type="containsText" dxfId="956" priority="9" operator="containsText" text="R">
      <formula>NOT(ISERROR(SEARCH("R",B19)))</formula>
    </cfRule>
    <cfRule type="containsText" dxfId="955" priority="10" operator="containsText" text="D">
      <formula>NOT(ISERROR(SEARCH("D",B19)))</formula>
    </cfRule>
    <cfRule type="containsText" dxfId="954" priority="11" operator="containsText" text="S">
      <formula>NOT(ISERROR(SEARCH("S",B19)))</formula>
    </cfRule>
    <cfRule type="containsText" dxfId="953" priority="12" operator="containsText" text="H">
      <formula>NOT(ISERROR(SEARCH("H",B19)))</formula>
    </cfRule>
  </conditionalFormatting>
  <conditionalFormatting sqref="B19:K27">
    <cfRule type="containsText" dxfId="952" priority="8" operator="containsText" text="P">
      <formula>NOT(ISERROR(SEARCH("P",B19)))</formula>
    </cfRule>
  </conditionalFormatting>
  <conditionalFormatting sqref="B19:K27">
    <cfRule type="colorScale" priority="7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29:K38">
    <cfRule type="containsText" dxfId="951" priority="3" operator="containsText" text="R">
      <formula>NOT(ISERROR(SEARCH("R",B29)))</formula>
    </cfRule>
    <cfRule type="containsText" dxfId="950" priority="4" operator="containsText" text="D">
      <formula>NOT(ISERROR(SEARCH("D",B29)))</formula>
    </cfRule>
    <cfRule type="containsText" dxfId="949" priority="5" operator="containsText" text="S">
      <formula>NOT(ISERROR(SEARCH("S",B29)))</formula>
    </cfRule>
    <cfRule type="containsText" dxfId="948" priority="6" operator="containsText" text="H">
      <formula>NOT(ISERROR(SEARCH("H",B29)))</formula>
    </cfRule>
  </conditionalFormatting>
  <conditionalFormatting sqref="B29:K38">
    <cfRule type="containsText" dxfId="947" priority="2" operator="containsText" text="P">
      <formula>NOT(ISERROR(SEARCH("P",B29)))</formula>
    </cfRule>
  </conditionalFormatting>
  <conditionalFormatting sqref="B29:K38">
    <cfRule type="colorScale" priority="1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pageMargins left="0.25" right="0.25" top="0.75" bottom="0.75" header="0.3" footer="0.3"/>
  <pageSetup paperSize="9" scale="84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1:L38"/>
  <sheetViews>
    <sheetView workbookViewId="0">
      <selection activeCell="B32" sqref="B32:L38"/>
    </sheetView>
  </sheetViews>
  <sheetFormatPr baseColWidth="10" defaultColWidth="8.83203125" defaultRowHeight="16" x14ac:dyDescent="0.2"/>
  <cols>
    <col min="2" max="2" width="5.5" style="31" bestFit="1" customWidth="1"/>
    <col min="3" max="12" width="4" style="31" customWidth="1"/>
    <col min="14" max="14" width="24.5" customWidth="1"/>
  </cols>
  <sheetData>
    <row r="1" spans="2:12" ht="21" x14ac:dyDescent="0.25">
      <c r="B1" s="335" t="s">
        <v>23</v>
      </c>
      <c r="C1" s="335"/>
      <c r="D1" s="335"/>
      <c r="E1" s="335"/>
      <c r="F1" s="335"/>
      <c r="G1" s="335"/>
      <c r="H1" s="335"/>
      <c r="I1" s="335"/>
      <c r="J1" s="335"/>
      <c r="K1" s="335"/>
      <c r="L1" s="335"/>
    </row>
    <row r="2" spans="2:12" x14ac:dyDescent="0.2">
      <c r="B2" s="48" t="s">
        <v>9</v>
      </c>
      <c r="C2" s="48" t="s">
        <v>22</v>
      </c>
      <c r="D2" s="48">
        <v>2</v>
      </c>
      <c r="E2" s="48">
        <v>3</v>
      </c>
      <c r="F2" s="48">
        <v>4</v>
      </c>
      <c r="G2" s="48">
        <v>5</v>
      </c>
      <c r="H2" s="48">
        <v>6</v>
      </c>
      <c r="I2" s="48">
        <v>7</v>
      </c>
      <c r="J2" s="48">
        <v>8</v>
      </c>
      <c r="K2" s="48">
        <v>9</v>
      </c>
      <c r="L2" s="48">
        <v>10</v>
      </c>
    </row>
    <row r="3" spans="2:12" x14ac:dyDescent="0.2">
      <c r="B3" s="48" t="s">
        <v>20</v>
      </c>
      <c r="C3" s="49" t="str">
        <f>HSDR!O8</f>
        <v>H</v>
      </c>
      <c r="D3" s="49" t="str">
        <f>HSDR!P8</f>
        <v>H</v>
      </c>
      <c r="E3" s="49" t="str">
        <f>HSDR!Q8</f>
        <v>H</v>
      </c>
      <c r="F3" s="49" t="str">
        <f>HSDR!R8</f>
        <v>H</v>
      </c>
      <c r="G3" s="49" t="str">
        <f>HSDR!S8</f>
        <v>H</v>
      </c>
      <c r="H3" s="49" t="str">
        <f>HSDR!T8</f>
        <v>H</v>
      </c>
      <c r="I3" s="49" t="str">
        <f>HSDR!U8</f>
        <v>H</v>
      </c>
      <c r="J3" s="49" t="str">
        <f>HSDR!V8</f>
        <v>H</v>
      </c>
      <c r="K3" s="49" t="str">
        <f>HSDR!W8</f>
        <v>H</v>
      </c>
      <c r="L3" s="49" t="str">
        <f>HSDR!X8</f>
        <v>H</v>
      </c>
    </row>
    <row r="4" spans="2:12" x14ac:dyDescent="0.2">
      <c r="B4" s="48">
        <v>9</v>
      </c>
      <c r="C4" s="49" t="str">
        <f>HSDR!O9</f>
        <v>H</v>
      </c>
      <c r="D4" s="49" t="str">
        <f>HSDR!P9</f>
        <v>H</v>
      </c>
      <c r="E4" s="49" t="str">
        <f>HSDR!Q9</f>
        <v>D</v>
      </c>
      <c r="F4" s="49" t="str">
        <f>HSDR!R9</f>
        <v>D</v>
      </c>
      <c r="G4" s="49" t="str">
        <f>HSDR!S9</f>
        <v>D</v>
      </c>
      <c r="H4" s="49" t="str">
        <f>HSDR!T9</f>
        <v>D</v>
      </c>
      <c r="I4" s="49" t="str">
        <f>HSDR!U9</f>
        <v>H</v>
      </c>
      <c r="J4" s="49" t="str">
        <f>HSDR!V9</f>
        <v>H</v>
      </c>
      <c r="K4" s="49" t="str">
        <f>HSDR!W9</f>
        <v>H</v>
      </c>
      <c r="L4" s="49" t="str">
        <f>HSDR!X9</f>
        <v>H</v>
      </c>
    </row>
    <row r="5" spans="2:12" x14ac:dyDescent="0.2">
      <c r="B5" s="48">
        <v>10</v>
      </c>
      <c r="C5" s="49" t="str">
        <f>HSDR!O10</f>
        <v>H</v>
      </c>
      <c r="D5" s="49" t="str">
        <f>HSDR!P10</f>
        <v>D</v>
      </c>
      <c r="E5" s="49" t="str">
        <f>HSDR!Q10</f>
        <v>D</v>
      </c>
      <c r="F5" s="49" t="str">
        <f>HSDR!R10</f>
        <v>D</v>
      </c>
      <c r="G5" s="49" t="str">
        <f>HSDR!S10</f>
        <v>D</v>
      </c>
      <c r="H5" s="49" t="str">
        <f>HSDR!T10</f>
        <v>D</v>
      </c>
      <c r="I5" s="49" t="str">
        <f>HSDR!U10</f>
        <v>D</v>
      </c>
      <c r="J5" s="49" t="str">
        <f>HSDR!V10</f>
        <v>D</v>
      </c>
      <c r="K5" s="49" t="str">
        <f>HSDR!W10</f>
        <v>D</v>
      </c>
      <c r="L5" s="49" t="str">
        <f>HSDR!X10</f>
        <v>H</v>
      </c>
    </row>
    <row r="6" spans="2:12" x14ac:dyDescent="0.2">
      <c r="B6" s="48">
        <v>11</v>
      </c>
      <c r="C6" s="49" t="str">
        <f>HSDR!O11</f>
        <v>H</v>
      </c>
      <c r="D6" s="49" t="str">
        <f>HSDR!P11</f>
        <v>D</v>
      </c>
      <c r="E6" s="49" t="str">
        <f>HSDR!Q11</f>
        <v>D</v>
      </c>
      <c r="F6" s="49" t="str">
        <f>HSDR!R11</f>
        <v>D</v>
      </c>
      <c r="G6" s="49" t="str">
        <f>HSDR!S11</f>
        <v>D</v>
      </c>
      <c r="H6" s="49" t="str">
        <f>HSDR!T11</f>
        <v>D</v>
      </c>
      <c r="I6" s="49" t="str">
        <f>HSDR!U11</f>
        <v>D</v>
      </c>
      <c r="J6" s="49" t="str">
        <f>HSDR!V11</f>
        <v>D</v>
      </c>
      <c r="K6" s="49" t="str">
        <f>HSDR!W11</f>
        <v>D</v>
      </c>
      <c r="L6" s="49" t="str">
        <f>HSDR!X11</f>
        <v>H</v>
      </c>
    </row>
    <row r="7" spans="2:12" x14ac:dyDescent="0.2">
      <c r="B7" s="48">
        <v>12</v>
      </c>
      <c r="C7" s="49" t="str">
        <f>HSDR!O12</f>
        <v>H</v>
      </c>
      <c r="D7" s="49" t="str">
        <f>HSDR!P12</f>
        <v>H</v>
      </c>
      <c r="E7" s="49" t="str">
        <f>HSDR!Q12</f>
        <v>H</v>
      </c>
      <c r="F7" s="49" t="str">
        <f>HSDR!R12</f>
        <v>S</v>
      </c>
      <c r="G7" s="49" t="str">
        <f>HSDR!S12</f>
        <v>S</v>
      </c>
      <c r="H7" s="49" t="str">
        <f>HSDR!T12</f>
        <v>S</v>
      </c>
      <c r="I7" s="49" t="str">
        <f>HSDR!U12</f>
        <v>H</v>
      </c>
      <c r="J7" s="49" t="str">
        <f>HSDR!V12</f>
        <v>H</v>
      </c>
      <c r="K7" s="49" t="str">
        <f>HSDR!W12</f>
        <v>H</v>
      </c>
      <c r="L7" s="49" t="str">
        <f>HSDR!X12</f>
        <v>H</v>
      </c>
    </row>
    <row r="8" spans="2:12" x14ac:dyDescent="0.2">
      <c r="B8" s="48">
        <v>13</v>
      </c>
      <c r="C8" s="49" t="str">
        <f>HSDR!O13</f>
        <v>H</v>
      </c>
      <c r="D8" s="49" t="str">
        <f>HSDR!P13</f>
        <v>S</v>
      </c>
      <c r="E8" s="49" t="str">
        <f>HSDR!Q13</f>
        <v>S</v>
      </c>
      <c r="F8" s="49" t="str">
        <f>HSDR!R13</f>
        <v>S</v>
      </c>
      <c r="G8" s="49" t="str">
        <f>HSDR!S13</f>
        <v>S</v>
      </c>
      <c r="H8" s="49" t="str">
        <f>HSDR!T13</f>
        <v>S</v>
      </c>
      <c r="I8" s="49" t="str">
        <f>HSDR!U13</f>
        <v>H</v>
      </c>
      <c r="J8" s="49" t="str">
        <f>HSDR!V13</f>
        <v>H</v>
      </c>
      <c r="K8" s="49" t="str">
        <f>HSDR!W13</f>
        <v>H</v>
      </c>
      <c r="L8" s="49" t="str">
        <f>HSDR!X13</f>
        <v>H</v>
      </c>
    </row>
    <row r="9" spans="2:12" x14ac:dyDescent="0.2">
      <c r="B9" s="48">
        <v>14</v>
      </c>
      <c r="C9" s="49" t="str">
        <f>HSDR!O14</f>
        <v>H</v>
      </c>
      <c r="D9" s="49" t="str">
        <f>HSDR!P14</f>
        <v>S</v>
      </c>
      <c r="E9" s="49" t="str">
        <f>HSDR!Q14</f>
        <v>S</v>
      </c>
      <c r="F9" s="49" t="str">
        <f>HSDR!R14</f>
        <v>S</v>
      </c>
      <c r="G9" s="49" t="str">
        <f>HSDR!S14</f>
        <v>S</v>
      </c>
      <c r="H9" s="49" t="str">
        <f>HSDR!T14</f>
        <v>S</v>
      </c>
      <c r="I9" s="49" t="str">
        <f>HSDR!U14</f>
        <v>H</v>
      </c>
      <c r="J9" s="49" t="str">
        <f>HSDR!V14</f>
        <v>H</v>
      </c>
      <c r="K9" s="49" t="str">
        <f>HSDR!W14</f>
        <v>H</v>
      </c>
      <c r="L9" s="49" t="str">
        <f>HSDR!X14</f>
        <v>H</v>
      </c>
    </row>
    <row r="10" spans="2:12" x14ac:dyDescent="0.2">
      <c r="B10" s="48">
        <v>15</v>
      </c>
      <c r="C10" s="49" t="str">
        <f>HSDR!O15</f>
        <v>H</v>
      </c>
      <c r="D10" s="49" t="str">
        <f>HSDR!P15</f>
        <v>S</v>
      </c>
      <c r="E10" s="49" t="str">
        <f>HSDR!Q15</f>
        <v>S</v>
      </c>
      <c r="F10" s="49" t="str">
        <f>HSDR!R15</f>
        <v>S</v>
      </c>
      <c r="G10" s="49" t="str">
        <f>HSDR!S15</f>
        <v>S</v>
      </c>
      <c r="H10" s="49" t="str">
        <f>HSDR!T15</f>
        <v>S</v>
      </c>
      <c r="I10" s="49" t="str">
        <f>HSDR!U15</f>
        <v>H</v>
      </c>
      <c r="J10" s="49" t="str">
        <f>HSDR!V15</f>
        <v>H</v>
      </c>
      <c r="K10" s="49" t="str">
        <f>HSDR!W15</f>
        <v>H</v>
      </c>
      <c r="L10" s="49" t="str">
        <f>HSDR!X15</f>
        <v>H</v>
      </c>
    </row>
    <row r="11" spans="2:12" x14ac:dyDescent="0.2">
      <c r="B11" s="48">
        <v>16</v>
      </c>
      <c r="C11" s="49" t="str">
        <f>HSDR!O16</f>
        <v>S</v>
      </c>
      <c r="D11" s="49" t="str">
        <f>HSDR!P16</f>
        <v>S</v>
      </c>
      <c r="E11" s="49" t="str">
        <f>HSDR!Q16</f>
        <v>S</v>
      </c>
      <c r="F11" s="49" t="str">
        <f>HSDR!R16</f>
        <v>S</v>
      </c>
      <c r="G11" s="49" t="str">
        <f>HSDR!S16</f>
        <v>S</v>
      </c>
      <c r="H11" s="49" t="str">
        <f>HSDR!T16</f>
        <v>S</v>
      </c>
      <c r="I11" s="49" t="str">
        <f>HSDR!U16</f>
        <v>H</v>
      </c>
      <c r="J11" s="49" t="str">
        <f>HSDR!V16</f>
        <v>H</v>
      </c>
      <c r="K11" s="49" t="str">
        <f>HSDR!W16</f>
        <v>H</v>
      </c>
      <c r="L11" s="49" t="str">
        <f>HSDR!X16</f>
        <v>H</v>
      </c>
    </row>
    <row r="12" spans="2:12" x14ac:dyDescent="0.2">
      <c r="B12" s="48" t="s">
        <v>21</v>
      </c>
      <c r="C12" s="49" t="str">
        <f>HSDR!O17</f>
        <v>S</v>
      </c>
      <c r="D12" s="49" t="str">
        <f>HSDR!P17</f>
        <v>S</v>
      </c>
      <c r="E12" s="49" t="str">
        <f>HSDR!Q17</f>
        <v>S</v>
      </c>
      <c r="F12" s="49" t="str">
        <f>HSDR!R17</f>
        <v>S</v>
      </c>
      <c r="G12" s="49" t="str">
        <f>HSDR!S17</f>
        <v>S</v>
      </c>
      <c r="H12" s="49" t="str">
        <f>HSDR!T17</f>
        <v>S</v>
      </c>
      <c r="I12" s="49" t="str">
        <f>HSDR!U17</f>
        <v>S</v>
      </c>
      <c r="J12" s="49" t="str">
        <f>HSDR!V17</f>
        <v>S</v>
      </c>
      <c r="K12" s="49" t="str">
        <f>HSDR!W17</f>
        <v>S</v>
      </c>
      <c r="L12" s="49" t="str">
        <f>HSDR!X17</f>
        <v>S</v>
      </c>
    </row>
    <row r="13" spans="2:12" x14ac:dyDescent="0.2">
      <c r="B13" s="48" t="s">
        <v>4</v>
      </c>
      <c r="C13" s="48" t="s">
        <v>22</v>
      </c>
      <c r="D13" s="48">
        <v>2</v>
      </c>
      <c r="E13" s="48">
        <v>3</v>
      </c>
      <c r="F13" s="48">
        <v>4</v>
      </c>
      <c r="G13" s="48">
        <v>5</v>
      </c>
      <c r="H13" s="48">
        <v>6</v>
      </c>
      <c r="I13" s="48">
        <v>7</v>
      </c>
      <c r="J13" s="48">
        <v>8</v>
      </c>
      <c r="K13" s="48">
        <v>9</v>
      </c>
      <c r="L13" s="48">
        <v>10</v>
      </c>
    </row>
    <row r="14" spans="2:12" x14ac:dyDescent="0.2">
      <c r="B14" s="48">
        <v>13</v>
      </c>
      <c r="C14" s="49" t="str">
        <f>HSDR!O36</f>
        <v>H</v>
      </c>
      <c r="D14" s="49" t="str">
        <f>HSDR!P36</f>
        <v>H</v>
      </c>
      <c r="E14" s="49" t="str">
        <f>HSDR!Q36</f>
        <v>H</v>
      </c>
      <c r="F14" s="49" t="str">
        <f>HSDR!R36</f>
        <v>H</v>
      </c>
      <c r="G14" s="49" t="str">
        <f>HSDR!S36</f>
        <v>H</v>
      </c>
      <c r="H14" s="49" t="str">
        <f>HSDR!T36</f>
        <v>H</v>
      </c>
      <c r="I14" s="49" t="str">
        <f>HSDR!U36</f>
        <v>H</v>
      </c>
      <c r="J14" s="49" t="str">
        <f>HSDR!V36</f>
        <v>H</v>
      </c>
      <c r="K14" s="49" t="str">
        <f>HSDR!W36</f>
        <v>H</v>
      </c>
      <c r="L14" s="49" t="str">
        <f>HSDR!X36</f>
        <v>H</v>
      </c>
    </row>
    <row r="15" spans="2:12" x14ac:dyDescent="0.2">
      <c r="B15" s="48">
        <v>14</v>
      </c>
      <c r="C15" s="49" t="str">
        <f>HSDR!O37</f>
        <v>H</v>
      </c>
      <c r="D15" s="49" t="str">
        <f>HSDR!P37</f>
        <v>H</v>
      </c>
      <c r="E15" s="49" t="str">
        <f>HSDR!Q37</f>
        <v>H</v>
      </c>
      <c r="F15" s="49" t="str">
        <f>HSDR!R37</f>
        <v>H</v>
      </c>
      <c r="G15" s="49" t="str">
        <f>HSDR!S37</f>
        <v>H</v>
      </c>
      <c r="H15" s="49" t="str">
        <f>HSDR!T37</f>
        <v>H</v>
      </c>
      <c r="I15" s="49" t="str">
        <f>HSDR!U37</f>
        <v>H</v>
      </c>
      <c r="J15" s="49" t="str">
        <f>HSDR!V37</f>
        <v>H</v>
      </c>
      <c r="K15" s="49" t="str">
        <f>HSDR!W37</f>
        <v>H</v>
      </c>
      <c r="L15" s="49" t="str">
        <f>HSDR!X37</f>
        <v>H</v>
      </c>
    </row>
    <row r="16" spans="2:12" x14ac:dyDescent="0.2">
      <c r="B16" s="48">
        <v>15</v>
      </c>
      <c r="C16" s="49" t="str">
        <f>HSDR!O38</f>
        <v>H</v>
      </c>
      <c r="D16" s="49" t="str">
        <f>HSDR!P38</f>
        <v>H</v>
      </c>
      <c r="E16" s="49" t="str">
        <f>HSDR!Q38</f>
        <v>H</v>
      </c>
      <c r="F16" s="49" t="str">
        <f>HSDR!R38</f>
        <v>H</v>
      </c>
      <c r="G16" s="49" t="str">
        <f>HSDR!S38</f>
        <v>H</v>
      </c>
      <c r="H16" s="49" t="str">
        <f>HSDR!T38</f>
        <v>H</v>
      </c>
      <c r="I16" s="49" t="str">
        <f>HSDR!U38</f>
        <v>H</v>
      </c>
      <c r="J16" s="49" t="str">
        <f>HSDR!V38</f>
        <v>H</v>
      </c>
      <c r="K16" s="49" t="str">
        <f>HSDR!W38</f>
        <v>H</v>
      </c>
      <c r="L16" s="49" t="str">
        <f>HSDR!X38</f>
        <v>H</v>
      </c>
    </row>
    <row r="17" spans="2:12" x14ac:dyDescent="0.2">
      <c r="B17" s="48">
        <v>16</v>
      </c>
      <c r="C17" s="49" t="str">
        <f>HSDR!O39</f>
        <v>H</v>
      </c>
      <c r="D17" s="49" t="str">
        <f>HSDR!P39</f>
        <v>H</v>
      </c>
      <c r="E17" s="49" t="str">
        <f>HSDR!Q39</f>
        <v>H</v>
      </c>
      <c r="F17" s="49" t="str">
        <f>HSDR!R39</f>
        <v>H</v>
      </c>
      <c r="G17" s="49" t="str">
        <f>HSDR!S39</f>
        <v>H</v>
      </c>
      <c r="H17" s="49" t="str">
        <f>HSDR!T39</f>
        <v>H</v>
      </c>
      <c r="I17" s="49" t="str">
        <f>HSDR!U39</f>
        <v>H</v>
      </c>
      <c r="J17" s="49" t="str">
        <f>HSDR!V39</f>
        <v>H</v>
      </c>
      <c r="K17" s="49" t="str">
        <f>HSDR!W39</f>
        <v>H</v>
      </c>
      <c r="L17" s="49" t="str">
        <f>HSDR!X39</f>
        <v>H</v>
      </c>
    </row>
    <row r="18" spans="2:12" x14ac:dyDescent="0.2">
      <c r="B18" s="48">
        <v>17</v>
      </c>
      <c r="C18" s="49" t="str">
        <f>HSDR!O40</f>
        <v>H</v>
      </c>
      <c r="D18" s="49" t="str">
        <f>HSDR!P40</f>
        <v>H</v>
      </c>
      <c r="E18" s="49" t="str">
        <f>HSDR!Q40</f>
        <v>H</v>
      </c>
      <c r="F18" s="49" t="str">
        <f>HSDR!R40</f>
        <v>H</v>
      </c>
      <c r="G18" s="49" t="str">
        <f>HSDR!S40</f>
        <v>H</v>
      </c>
      <c r="H18" s="49" t="str">
        <f>HSDR!T40</f>
        <v>H</v>
      </c>
      <c r="I18" s="49" t="str">
        <f>HSDR!U40</f>
        <v>H</v>
      </c>
      <c r="J18" s="49" t="str">
        <f>HSDR!V40</f>
        <v>H</v>
      </c>
      <c r="K18" s="49" t="str">
        <f>HSDR!W40</f>
        <v>H</v>
      </c>
      <c r="L18" s="49" t="str">
        <f>HSDR!X40</f>
        <v>H</v>
      </c>
    </row>
    <row r="19" spans="2:12" x14ac:dyDescent="0.2">
      <c r="B19" s="48">
        <v>18</v>
      </c>
      <c r="C19" s="49" t="str">
        <f>HSDR!O41</f>
        <v>S</v>
      </c>
      <c r="D19" s="49" t="str">
        <f>HSDR!P41</f>
        <v>S</v>
      </c>
      <c r="E19" s="49" t="str">
        <f>HSDR!Q41</f>
        <v>S</v>
      </c>
      <c r="F19" s="49" t="str">
        <f>HSDR!R41</f>
        <v>S</v>
      </c>
      <c r="G19" s="49" t="str">
        <f>HSDR!S41</f>
        <v>S</v>
      </c>
      <c r="H19" s="49" t="str">
        <f>HSDR!T41</f>
        <v>S</v>
      </c>
      <c r="I19" s="49" t="str">
        <f>HSDR!U41</f>
        <v>S</v>
      </c>
      <c r="J19" s="49" t="str">
        <f>HSDR!V41</f>
        <v>S</v>
      </c>
      <c r="K19" s="49" t="str">
        <f>HSDR!W41</f>
        <v>H</v>
      </c>
      <c r="L19" s="49" t="str">
        <f>HSDR!X41</f>
        <v>H</v>
      </c>
    </row>
    <row r="20" spans="2:12" x14ac:dyDescent="0.2">
      <c r="B20" s="48">
        <v>19</v>
      </c>
      <c r="C20" s="49" t="str">
        <f>HSDR!O42</f>
        <v>S</v>
      </c>
      <c r="D20" s="49" t="str">
        <f>HSDR!P42</f>
        <v>S</v>
      </c>
      <c r="E20" s="49" t="str">
        <f>HSDR!Q42</f>
        <v>S</v>
      </c>
      <c r="F20" s="49" t="str">
        <f>HSDR!R42</f>
        <v>S</v>
      </c>
      <c r="G20" s="49" t="str">
        <f>HSDR!S42</f>
        <v>S</v>
      </c>
      <c r="H20" s="49" t="str">
        <f>HSDR!T42</f>
        <v>S</v>
      </c>
      <c r="I20" s="49" t="str">
        <f>HSDR!U42</f>
        <v>S</v>
      </c>
      <c r="J20" s="49" t="str">
        <f>HSDR!V42</f>
        <v>S</v>
      </c>
      <c r="K20" s="49" t="str">
        <f>HSDR!W42</f>
        <v>S</v>
      </c>
      <c r="L20" s="49" t="str">
        <f>HSDR!X42</f>
        <v>S</v>
      </c>
    </row>
    <row r="21" spans="2:12" x14ac:dyDescent="0.2">
      <c r="B21" s="48" t="s">
        <v>10</v>
      </c>
      <c r="C21" s="48" t="s">
        <v>22</v>
      </c>
      <c r="D21" s="48">
        <v>2</v>
      </c>
      <c r="E21" s="48">
        <v>3</v>
      </c>
      <c r="F21" s="48">
        <v>4</v>
      </c>
      <c r="G21" s="48">
        <v>5</v>
      </c>
      <c r="H21" s="48">
        <v>6</v>
      </c>
      <c r="I21" s="48">
        <v>7</v>
      </c>
      <c r="J21" s="48">
        <v>8</v>
      </c>
      <c r="K21" s="48">
        <v>9</v>
      </c>
      <c r="L21" s="48">
        <v>10</v>
      </c>
    </row>
    <row r="22" spans="2:12" x14ac:dyDescent="0.2">
      <c r="B22" s="48" t="s">
        <v>22</v>
      </c>
      <c r="C22" s="49" t="str">
        <f>Pair!O2</f>
        <v>P</v>
      </c>
      <c r="D22" s="49" t="str">
        <f>Pair!P2</f>
        <v>P</v>
      </c>
      <c r="E22" s="49" t="str">
        <f>Pair!Q2</f>
        <v>P</v>
      </c>
      <c r="F22" s="49" t="str">
        <f>Pair!R2</f>
        <v>P</v>
      </c>
      <c r="G22" s="49" t="str">
        <f>Pair!S2</f>
        <v>P</v>
      </c>
      <c r="H22" s="49" t="str">
        <f>Pair!T2</f>
        <v>P</v>
      </c>
      <c r="I22" s="49" t="str">
        <f>Pair!U2</f>
        <v>P</v>
      </c>
      <c r="J22" s="49" t="str">
        <f>Pair!V2</f>
        <v>P</v>
      </c>
      <c r="K22" s="49" t="str">
        <f>Pair!W2</f>
        <v>P</v>
      </c>
      <c r="L22" s="49" t="str">
        <f>Pair!X2</f>
        <v>P</v>
      </c>
    </row>
    <row r="23" spans="2:12" x14ac:dyDescent="0.2">
      <c r="B23" s="48">
        <v>2</v>
      </c>
      <c r="C23" s="49" t="str">
        <f>Pair!O3</f>
        <v>H</v>
      </c>
      <c r="D23" s="49" t="str">
        <f>Pair!P3</f>
        <v>H</v>
      </c>
      <c r="E23" s="49" t="str">
        <f>Pair!Q3</f>
        <v>H</v>
      </c>
      <c r="F23" s="49" t="str">
        <f>Pair!R3</f>
        <v>P</v>
      </c>
      <c r="G23" s="49" t="str">
        <f>Pair!S3</f>
        <v>P</v>
      </c>
      <c r="H23" s="49" t="str">
        <f>Pair!T3</f>
        <v>P</v>
      </c>
      <c r="I23" s="49" t="str">
        <f>Pair!U3</f>
        <v>P</v>
      </c>
      <c r="J23" s="49" t="str">
        <f>Pair!V3</f>
        <v>H</v>
      </c>
      <c r="K23" s="49" t="str">
        <f>Pair!W3</f>
        <v>H</v>
      </c>
      <c r="L23" s="49" t="str">
        <f>Pair!X3</f>
        <v>H</v>
      </c>
    </row>
    <row r="24" spans="2:12" x14ac:dyDescent="0.2">
      <c r="B24" s="48">
        <v>3</v>
      </c>
      <c r="C24" s="49" t="str">
        <f>Pair!O4</f>
        <v>H</v>
      </c>
      <c r="D24" s="49" t="str">
        <f>Pair!P4</f>
        <v>H</v>
      </c>
      <c r="E24" s="49" t="str">
        <f>Pair!Q4</f>
        <v>H</v>
      </c>
      <c r="F24" s="49" t="str">
        <f>Pair!R4</f>
        <v>P</v>
      </c>
      <c r="G24" s="49" t="str">
        <f>Pair!S4</f>
        <v>P</v>
      </c>
      <c r="H24" s="49" t="str">
        <f>Pair!T4</f>
        <v>P</v>
      </c>
      <c r="I24" s="49" t="str">
        <f>Pair!U4</f>
        <v>P</v>
      </c>
      <c r="J24" s="49" t="str">
        <f>Pair!V4</f>
        <v>H</v>
      </c>
      <c r="K24" s="49" t="str">
        <f>Pair!W4</f>
        <v>H</v>
      </c>
      <c r="L24" s="49" t="str">
        <f>Pair!X4</f>
        <v>H</v>
      </c>
    </row>
    <row r="25" spans="2:12" x14ac:dyDescent="0.2">
      <c r="B25" s="48">
        <v>4</v>
      </c>
      <c r="C25" s="49" t="str">
        <f>Pair!O5</f>
        <v>H</v>
      </c>
      <c r="D25" s="49" t="str">
        <f>Pair!P5</f>
        <v>H</v>
      </c>
      <c r="E25" s="49" t="str">
        <f>Pair!Q5</f>
        <v>H</v>
      </c>
      <c r="F25" s="49" t="str">
        <f>Pair!R5</f>
        <v>H</v>
      </c>
      <c r="G25" s="49" t="str">
        <f>Pair!S5</f>
        <v>H</v>
      </c>
      <c r="H25" s="49" t="str">
        <f>Pair!T5</f>
        <v>H</v>
      </c>
      <c r="I25" s="49" t="str">
        <f>Pair!U5</f>
        <v>H</v>
      </c>
      <c r="J25" s="49" t="str">
        <f>Pair!V5</f>
        <v>H</v>
      </c>
      <c r="K25" s="49" t="str">
        <f>Pair!W5</f>
        <v>H</v>
      </c>
      <c r="L25" s="49" t="str">
        <f>Pair!X5</f>
        <v>H</v>
      </c>
    </row>
    <row r="26" spans="2:12" x14ac:dyDescent="0.2">
      <c r="B26" s="48">
        <v>5</v>
      </c>
      <c r="C26" s="49" t="str">
        <f>Pair!O6</f>
        <v>H</v>
      </c>
      <c r="D26" s="49" t="str">
        <f>Pair!P6</f>
        <v>D</v>
      </c>
      <c r="E26" s="49" t="str">
        <f>Pair!Q6</f>
        <v>D</v>
      </c>
      <c r="F26" s="49" t="str">
        <f>Pair!R6</f>
        <v>D</v>
      </c>
      <c r="G26" s="49" t="str">
        <f>Pair!S6</f>
        <v>D</v>
      </c>
      <c r="H26" s="49" t="str">
        <f>Pair!T6</f>
        <v>D</v>
      </c>
      <c r="I26" s="49" t="str">
        <f>Pair!U6</f>
        <v>D</v>
      </c>
      <c r="J26" s="49" t="str">
        <f>Pair!V6</f>
        <v>D</v>
      </c>
      <c r="K26" s="49" t="str">
        <f>Pair!W6</f>
        <v>D</v>
      </c>
      <c r="L26" s="49" t="str">
        <f>Pair!X6</f>
        <v>H</v>
      </c>
    </row>
    <row r="27" spans="2:12" x14ac:dyDescent="0.2">
      <c r="B27" s="48">
        <v>6</v>
      </c>
      <c r="C27" s="49" t="str">
        <f>Pair!O7</f>
        <v>H</v>
      </c>
      <c r="D27" s="49" t="str">
        <f>Pair!P7</f>
        <v>H</v>
      </c>
      <c r="E27" s="49" t="str">
        <f>Pair!Q7</f>
        <v>P</v>
      </c>
      <c r="F27" s="49" t="str">
        <f>Pair!R7</f>
        <v>P</v>
      </c>
      <c r="G27" s="49" t="str">
        <f>Pair!S7</f>
        <v>P</v>
      </c>
      <c r="H27" s="49" t="str">
        <f>Pair!T7</f>
        <v>P</v>
      </c>
      <c r="I27" s="49" t="str">
        <f>Pair!U7</f>
        <v>H</v>
      </c>
      <c r="J27" s="49" t="str">
        <f>Pair!V7</f>
        <v>H</v>
      </c>
      <c r="K27" s="49" t="str">
        <f>Pair!W7</f>
        <v>H</v>
      </c>
      <c r="L27" s="49" t="str">
        <f>Pair!X7</f>
        <v>H</v>
      </c>
    </row>
    <row r="28" spans="2:12" x14ac:dyDescent="0.2">
      <c r="B28" s="48">
        <v>7</v>
      </c>
      <c r="C28" s="49" t="str">
        <f>Pair!O8</f>
        <v>H</v>
      </c>
      <c r="D28" s="49" t="str">
        <f>Pair!P8</f>
        <v>P</v>
      </c>
      <c r="E28" s="49" t="str">
        <f>Pair!Q8</f>
        <v>P</v>
      </c>
      <c r="F28" s="49" t="str">
        <f>Pair!R8</f>
        <v>P</v>
      </c>
      <c r="G28" s="49" t="str">
        <f>Pair!S8</f>
        <v>P</v>
      </c>
      <c r="H28" s="49" t="str">
        <f>Pair!T8</f>
        <v>P</v>
      </c>
      <c r="I28" s="49" t="str">
        <f>Pair!U8</f>
        <v>P</v>
      </c>
      <c r="J28" s="49" t="str">
        <f>Pair!V8</f>
        <v>H</v>
      </c>
      <c r="K28" s="49" t="str">
        <f>Pair!W8</f>
        <v>H</v>
      </c>
      <c r="L28" s="49" t="str">
        <f>Pair!X8</f>
        <v>H</v>
      </c>
    </row>
    <row r="29" spans="2:12" x14ac:dyDescent="0.2">
      <c r="B29" s="48">
        <v>8</v>
      </c>
      <c r="C29" s="49" t="str">
        <f>Pair!O9</f>
        <v>S</v>
      </c>
      <c r="D29" s="49" t="str">
        <f>Pair!P9</f>
        <v>P</v>
      </c>
      <c r="E29" s="49" t="str">
        <f>Pair!Q9</f>
        <v>P</v>
      </c>
      <c r="F29" s="49" t="str">
        <f>Pair!R9</f>
        <v>P</v>
      </c>
      <c r="G29" s="49" t="str">
        <f>Pair!S9</f>
        <v>P</v>
      </c>
      <c r="H29" s="49" t="str">
        <f>Pair!T9</f>
        <v>P</v>
      </c>
      <c r="I29" s="49" t="str">
        <f>Pair!U9</f>
        <v>P</v>
      </c>
      <c r="J29" s="49" t="str">
        <f>Pair!V9</f>
        <v>P</v>
      </c>
      <c r="K29" s="49" t="str">
        <f>Pair!W9</f>
        <v>P</v>
      </c>
      <c r="L29" s="49" t="str">
        <f>Pair!X9</f>
        <v>H</v>
      </c>
    </row>
    <row r="30" spans="2:12" x14ac:dyDescent="0.2">
      <c r="B30" s="48">
        <v>9</v>
      </c>
      <c r="C30" s="49" t="str">
        <f>Pair!O10</f>
        <v>S</v>
      </c>
      <c r="D30" s="49" t="str">
        <f>Pair!P10</f>
        <v>P</v>
      </c>
      <c r="E30" s="49" t="str">
        <f>Pair!Q10</f>
        <v>P</v>
      </c>
      <c r="F30" s="49" t="str">
        <f>Pair!R10</f>
        <v>P</v>
      </c>
      <c r="G30" s="49" t="str">
        <f>Pair!S10</f>
        <v>P</v>
      </c>
      <c r="H30" s="49" t="str">
        <f>Pair!T10</f>
        <v>P</v>
      </c>
      <c r="I30" s="49" t="str">
        <f>Pair!U10</f>
        <v>S</v>
      </c>
      <c r="J30" s="49" t="str">
        <f>Pair!V10</f>
        <v>P</v>
      </c>
      <c r="K30" s="49" t="str">
        <f>Pair!W10</f>
        <v>P</v>
      </c>
      <c r="L30" s="49" t="str">
        <f>Pair!X10</f>
        <v>S</v>
      </c>
    </row>
    <row r="31" spans="2:12" x14ac:dyDescent="0.2">
      <c r="B31" s="48">
        <v>10</v>
      </c>
      <c r="C31" s="49" t="str">
        <f>Pair!O11</f>
        <v>S</v>
      </c>
      <c r="D31" s="49" t="str">
        <f>Pair!P11</f>
        <v>S</v>
      </c>
      <c r="E31" s="49" t="str">
        <f>Pair!Q11</f>
        <v>S</v>
      </c>
      <c r="F31" s="49" t="str">
        <f>Pair!R11</f>
        <v>S</v>
      </c>
      <c r="G31" s="49" t="str">
        <f>Pair!S11</f>
        <v>S</v>
      </c>
      <c r="H31" s="49" t="str">
        <f>Pair!T11</f>
        <v>S</v>
      </c>
      <c r="I31" s="49" t="str">
        <f>Pair!U11</f>
        <v>S</v>
      </c>
      <c r="J31" s="49" t="str">
        <f>Pair!V11</f>
        <v>S</v>
      </c>
      <c r="K31" s="49" t="str">
        <f>Pair!W11</f>
        <v>S</v>
      </c>
      <c r="L31" s="49" t="str">
        <f>Pair!X11</f>
        <v>S</v>
      </c>
    </row>
    <row r="32" spans="2:12" x14ac:dyDescent="0.2">
      <c r="B32" s="321" t="str">
        <f>"EV = " &amp; EV!$H$46</f>
        <v>EV = -0.0322153307097501</v>
      </c>
      <c r="C32" s="321"/>
      <c r="D32" s="321"/>
      <c r="E32" s="321"/>
      <c r="F32" s="321"/>
      <c r="G32" s="321"/>
      <c r="H32" s="321"/>
      <c r="I32" s="321"/>
      <c r="J32" s="321"/>
      <c r="K32" s="321"/>
      <c r="L32" s="321"/>
    </row>
    <row r="33" spans="2:12" x14ac:dyDescent="0.2">
      <c r="B33" s="321" t="str">
        <f>"EV = " &amp; EV!H46*100 &amp; " %"</f>
        <v>EV = -3.22153307097501 %</v>
      </c>
      <c r="C33" s="321"/>
      <c r="D33" s="321"/>
      <c r="E33" s="321"/>
      <c r="F33" s="321"/>
      <c r="G33" s="321"/>
      <c r="H33" s="321"/>
      <c r="I33" s="321"/>
      <c r="J33" s="321"/>
      <c r="K33" s="321"/>
      <c r="L33" s="321"/>
    </row>
    <row r="34" spans="2:12" x14ac:dyDescent="0.2">
      <c r="B34" s="325" t="s">
        <v>24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2:12" x14ac:dyDescent="0.2">
      <c r="B35" s="326" t="s">
        <v>25</v>
      </c>
      <c r="C35" s="326"/>
      <c r="D35" s="326"/>
      <c r="E35" s="326"/>
      <c r="F35" s="326"/>
      <c r="G35" s="326"/>
      <c r="H35" s="326"/>
      <c r="I35" s="326"/>
      <c r="J35" s="326"/>
      <c r="K35" s="326"/>
      <c r="L35" s="326"/>
    </row>
    <row r="36" spans="2:12" x14ac:dyDescent="0.2">
      <c r="B36" s="322" t="s">
        <v>26</v>
      </c>
      <c r="C36" s="322"/>
      <c r="D36" s="322"/>
      <c r="E36" s="322"/>
      <c r="F36" s="322"/>
      <c r="G36" s="322"/>
      <c r="H36" s="322"/>
      <c r="I36" s="322"/>
      <c r="J36" s="322"/>
      <c r="K36" s="322"/>
      <c r="L36" s="322"/>
    </row>
    <row r="37" spans="2:12" x14ac:dyDescent="0.2">
      <c r="B37" s="323" t="s">
        <v>27</v>
      </c>
      <c r="C37" s="323"/>
      <c r="D37" s="323"/>
      <c r="E37" s="323"/>
      <c r="F37" s="323"/>
      <c r="G37" s="323"/>
      <c r="H37" s="323"/>
      <c r="I37" s="323"/>
      <c r="J37" s="323"/>
      <c r="K37" s="323"/>
      <c r="L37" s="323"/>
    </row>
    <row r="38" spans="2:12" x14ac:dyDescent="0.2">
      <c r="B38" s="321" t="s">
        <v>28</v>
      </c>
      <c r="C38" s="321"/>
      <c r="D38" s="321"/>
      <c r="E38" s="321"/>
      <c r="F38" s="321"/>
      <c r="G38" s="321"/>
      <c r="H38" s="321"/>
      <c r="I38" s="321"/>
      <c r="J38" s="321"/>
      <c r="K38" s="321"/>
      <c r="L38" s="321"/>
    </row>
  </sheetData>
  <sheetProtection sheet="1" objects="1" scenarios="1"/>
  <mergeCells count="8">
    <mergeCell ref="B37:L37"/>
    <mergeCell ref="B38:L38"/>
    <mergeCell ref="B1:L1"/>
    <mergeCell ref="B32:L32"/>
    <mergeCell ref="B34:L34"/>
    <mergeCell ref="B35:L35"/>
    <mergeCell ref="B36:L36"/>
    <mergeCell ref="B33:L33"/>
  </mergeCells>
  <phoneticPr fontId="16" type="noConversion"/>
  <conditionalFormatting sqref="C3:L12 C22:L31 C14:L20">
    <cfRule type="containsText" dxfId="946" priority="4" operator="containsText" text="S">
      <formula>NOT(ISERROR(SEARCH("S",C3)))</formula>
    </cfRule>
    <cfRule type="containsText" dxfId="945" priority="5" operator="containsText" text="H">
      <formula>NOT(ISERROR(SEARCH("H",C3)))</formula>
    </cfRule>
  </conditionalFormatting>
  <conditionalFormatting sqref="C3:L12 C22:L31 C14:L20">
    <cfRule type="containsText" dxfId="944" priority="3" operator="containsText" text="D">
      <formula>NOT(ISERROR(SEARCH("D",C3)))</formula>
    </cfRule>
  </conditionalFormatting>
  <conditionalFormatting sqref="C3:L12 C22:L31 C14:L20">
    <cfRule type="containsText" dxfId="943" priority="2" operator="containsText" text="R">
      <formula>NOT(ISERROR(SEARCH("R",C3)))</formula>
    </cfRule>
  </conditionalFormatting>
  <conditionalFormatting sqref="C3:L12 C22:L31 C14:L20">
    <cfRule type="containsText" dxfId="942" priority="1" operator="containsText" text="P">
      <formula>NOT(ISERROR(SEARCH("P",C3)))</formula>
    </cfRule>
  </conditionalFormatting>
  <pageMargins left="0.25" right="0.25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L47"/>
  <sheetViews>
    <sheetView topLeftCell="A21" workbookViewId="0">
      <selection activeCell="L45" sqref="L45"/>
    </sheetView>
  </sheetViews>
  <sheetFormatPr baseColWidth="10" defaultColWidth="8.83203125" defaultRowHeight="15" x14ac:dyDescent="0.2"/>
  <cols>
    <col min="1" max="1" width="5" style="33" bestFit="1" customWidth="1"/>
    <col min="2" max="12" width="11.6640625" style="33" customWidth="1"/>
    <col min="13" max="16384" width="8.83203125" style="33"/>
  </cols>
  <sheetData>
    <row r="1" spans="1:12" ht="22" thickBot="1" x14ac:dyDescent="0.3">
      <c r="A1" s="336" t="s">
        <v>131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8"/>
    </row>
    <row r="2" spans="1:12" x14ac:dyDescent="0.2">
      <c r="A2" s="42" t="s">
        <v>9</v>
      </c>
      <c r="B2" s="43" t="s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  <c r="K2" s="44">
        <v>10</v>
      </c>
      <c r="L2" s="44" t="s">
        <v>2</v>
      </c>
    </row>
    <row r="3" spans="1:12" x14ac:dyDescent="0.2">
      <c r="A3" s="45">
        <v>5</v>
      </c>
      <c r="B3" s="34">
        <f>Prob!B3*ER!B3</f>
        <v>-2.5607651825935876E-4</v>
      </c>
      <c r="C3" s="34">
        <f>Prob!C3*ER!C3</f>
        <v>-1.1671876837846834E-4</v>
      </c>
      <c r="D3" s="34">
        <f>Prob!D3*ER!D3</f>
        <v>-8.6763975659071366E-5</v>
      </c>
      <c r="E3" s="34">
        <f>Prob!E3*ER!E3</f>
        <v>-5.5966740281924667E-5</v>
      </c>
      <c r="F3" s="34">
        <f>Prob!F3*ER!F3</f>
        <v>-2.1828830579753868E-5</v>
      </c>
      <c r="G3" s="34">
        <f>Prob!G3*ER!G3</f>
        <v>-1.0799616189714724E-6</v>
      </c>
      <c r="H3" s="34">
        <f>Prob!H3*ER!H3</f>
        <v>-1.0873686106886531E-4</v>
      </c>
      <c r="I3" s="34">
        <f>Prob!I3*ER!I3</f>
        <v>-1.7122740455456095E-4</v>
      </c>
      <c r="J3" s="34">
        <f>Prob!J3*ER!J3</f>
        <v>-2.4270828708052711E-4</v>
      </c>
      <c r="K3" s="46">
        <f>Prob!K3*ER!K3</f>
        <v>-1.2024568974393825E-3</v>
      </c>
      <c r="L3" s="46">
        <f>SUM(B3:K3)</f>
        <v>-2.2635642449208844E-3</v>
      </c>
    </row>
    <row r="4" spans="1:12" x14ac:dyDescent="0.2">
      <c r="A4" s="45">
        <v>6</v>
      </c>
      <c r="B4" s="34">
        <f>Prob!B4*ER!B4</f>
        <v>-2.6449929142810806E-4</v>
      </c>
      <c r="C4" s="34">
        <f>Prob!C4*ER!C4</f>
        <v>-1.2813756710060984E-4</v>
      </c>
      <c r="D4" s="34">
        <f>Prob!D4*ER!D4</f>
        <v>-9.7670530731550632E-5</v>
      </c>
      <c r="E4" s="34">
        <f>Prob!E4*ER!E4</f>
        <v>-6.6378827425022589E-5</v>
      </c>
      <c r="F4" s="34">
        <f>Prob!F4*ER!F4</f>
        <v>-3.17851373055095E-5</v>
      </c>
      <c r="G4" s="34">
        <f>Prob!G4*ER!G4</f>
        <v>-1.1839631797791804E-5</v>
      </c>
      <c r="H4" s="34">
        <f>Prob!H4*ER!H4</f>
        <v>-1.3830924646035455E-4</v>
      </c>
      <c r="I4" s="34">
        <f>Prob!I4*ER!I4</f>
        <v>-1.9776229523967663E-4</v>
      </c>
      <c r="J4" s="34">
        <f>Prob!J4*ER!J4</f>
        <v>-2.6640027327967777E-4</v>
      </c>
      <c r="K4" s="46">
        <f>Prob!K4*ER!K4</f>
        <v>-1.2789725702922851E-3</v>
      </c>
      <c r="L4" s="46">
        <f t="shared" ref="L4:L38" si="0">SUM(B4:K4)</f>
        <v>-2.4817553710605863E-3</v>
      </c>
    </row>
    <row r="5" spans="1:12" x14ac:dyDescent="0.2">
      <c r="A5" s="45">
        <v>7</v>
      </c>
      <c r="B5" s="34">
        <f>Prob!B5*ER!B5</f>
        <v>-5.0381897742112934E-4</v>
      </c>
      <c r="C5" s="34">
        <f>Prob!C5*ER!C5</f>
        <v>-1.9878639575169113E-4</v>
      </c>
      <c r="D5" s="34">
        <f>Prob!D5*ER!D5</f>
        <v>-1.3943191971682039E-4</v>
      </c>
      <c r="E5" s="34">
        <f>Prob!E5*ER!E5</f>
        <v>-7.8328254900941066E-5</v>
      </c>
      <c r="F5" s="34">
        <f>Prob!F5*ER!F5</f>
        <v>-1.3238708972127238E-5</v>
      </c>
      <c r="G5" s="34">
        <f>Prob!G5*ER!G5</f>
        <v>5.3136717986091704E-5</v>
      </c>
      <c r="H5" s="34">
        <f>Prob!H5*ER!H5</f>
        <v>-1.252759209475244E-4</v>
      </c>
      <c r="I5" s="34">
        <f>Prob!I5*ER!I5</f>
        <v>-3.8344063491005858E-4</v>
      </c>
      <c r="J5" s="34">
        <f>Prob!J5*ER!J5</f>
        <v>-5.1955473916591108E-4</v>
      </c>
      <c r="K5" s="46">
        <f>Prob!K5*ER!K5</f>
        <v>-2.4542192727522775E-3</v>
      </c>
      <c r="L5" s="46">
        <f t="shared" si="0"/>
        <v>-4.3629581065523886E-3</v>
      </c>
    </row>
    <row r="6" spans="1:12" x14ac:dyDescent="0.2">
      <c r="A6" s="45">
        <v>8</v>
      </c>
      <c r="B6" s="34">
        <f>Prob!B6*ER!B6</f>
        <v>-4.1638080057649322E-4</v>
      </c>
      <c r="C6" s="34">
        <f>Prob!C6*ER!C6</f>
        <v>-3.96871879996462E-5</v>
      </c>
      <c r="D6" s="34">
        <f>Prob!D6*ER!D6</f>
        <v>1.4574897643431392E-5</v>
      </c>
      <c r="E6" s="34">
        <f>Prob!E6*ER!E6</f>
        <v>7.0613515297603656E-5</v>
      </c>
      <c r="F6" s="34">
        <f>Prob!F6*ER!F6</f>
        <v>1.2891149018303839E-4</v>
      </c>
      <c r="G6" s="34">
        <f>Prob!G6*ER!G6</f>
        <v>2.0930386908734315E-4</v>
      </c>
      <c r="H6" s="34">
        <f>Prob!H6*ER!H6</f>
        <v>1.4967216998405621E-4</v>
      </c>
      <c r="I6" s="34">
        <f>Prob!I6*ER!I6</f>
        <v>-1.0905466665208247E-4</v>
      </c>
      <c r="J6" s="34">
        <f>Prob!J6*ER!J6</f>
        <v>-3.8267880199948588E-4</v>
      </c>
      <c r="K6" s="46">
        <f>Prob!K6*ER!K6</f>
        <v>-2.0286845047071266E-3</v>
      </c>
      <c r="L6" s="46">
        <f t="shared" si="0"/>
        <v>-2.4034100197393615E-3</v>
      </c>
    </row>
    <row r="7" spans="1:12" x14ac:dyDescent="0.2">
      <c r="A7" s="45">
        <v>9</v>
      </c>
      <c r="B7" s="34">
        <f>Prob!B7*ER!B7</f>
        <v>-4.7631165350018988E-4</v>
      </c>
      <c r="C7" s="34">
        <f>Prob!C7*ER!C7</f>
        <v>2.0331189142377929E-4</v>
      </c>
      <c r="D7" s="34">
        <f>Prob!D7*ER!D7</f>
        <v>3.29949076003632E-4</v>
      </c>
      <c r="E7" s="34">
        <f>Prob!E7*ER!E7</f>
        <v>4.9690195917821115E-4</v>
      </c>
      <c r="F7" s="34">
        <f>Prob!F7*ER!F7</f>
        <v>6.6378850670833784E-4</v>
      </c>
      <c r="G7" s="34">
        <f>Prob!G7*ER!G7</f>
        <v>8.6587550032316875E-4</v>
      </c>
      <c r="H7" s="34">
        <f>Prob!H7*ER!H7</f>
        <v>4.6937057788881025E-4</v>
      </c>
      <c r="I7" s="34">
        <f>Prob!I7*ER!I7</f>
        <v>2.6866513637339811E-4</v>
      </c>
      <c r="J7" s="34">
        <f>Prob!J7*ER!J7</f>
        <v>-1.4249809775872108E-4</v>
      </c>
      <c r="K7" s="46">
        <f>Prob!K7*ER!K7</f>
        <v>-2.1521769833981628E-3</v>
      </c>
      <c r="L7" s="46">
        <f t="shared" si="0"/>
        <v>5.268759132422635E-4</v>
      </c>
    </row>
    <row r="8" spans="1:12" x14ac:dyDescent="0.2">
      <c r="A8" s="45">
        <v>10</v>
      </c>
      <c r="B8" s="34">
        <f>Prob!B8*ER!B8</f>
        <v>-2.7730353286087214E-4</v>
      </c>
      <c r="C8" s="34">
        <f>Prob!C8*ER!C8</f>
        <v>9.8026239174046187E-4</v>
      </c>
      <c r="D8" s="34">
        <f>Prob!D8*ER!D8</f>
        <v>1.1178534460881363E-3</v>
      </c>
      <c r="E8" s="34">
        <f>Prob!E8*ER!E8</f>
        <v>1.2588263371716543E-3</v>
      </c>
      <c r="F8" s="34">
        <f>Prob!F8*ER!F8</f>
        <v>1.3996825917249008E-3</v>
      </c>
      <c r="G8" s="34">
        <f>Prob!G8*ER!G8</f>
        <v>1.5719349165164371E-3</v>
      </c>
      <c r="H8" s="34">
        <f>Prob!H8*ER!H8</f>
        <v>1.0716771650863116E-3</v>
      </c>
      <c r="I8" s="34">
        <f>Prob!I8*ER!I8</f>
        <v>7.8280122954834004E-4</v>
      </c>
      <c r="J8" s="34">
        <f>Prob!J8*ER!J8</f>
        <v>3.9416031419418635E-4</v>
      </c>
      <c r="K8" s="46">
        <f>Prob!K8*ER!K8</f>
        <v>-4.5366741327266375E-4</v>
      </c>
      <c r="L8" s="46">
        <f t="shared" si="0"/>
        <v>7.8462274459368923E-3</v>
      </c>
    </row>
    <row r="9" spans="1:12" x14ac:dyDescent="0.2">
      <c r="A9" s="45">
        <v>11</v>
      </c>
      <c r="B9" s="34">
        <f>Prob!B9*ER!B9</f>
        <v>-1.0584546278570462E-4</v>
      </c>
      <c r="C9" s="34">
        <f>Prob!C9*ER!C9</f>
        <v>1.71375848280189E-3</v>
      </c>
      <c r="D9" s="34">
        <f>Prob!D9*ER!D9</f>
        <v>1.8854629153289646E-3</v>
      </c>
      <c r="E9" s="34">
        <f>Prob!E9*ER!E9</f>
        <v>2.0611399195920844E-3</v>
      </c>
      <c r="F9" s="34">
        <f>Prob!F9*ER!F9</f>
        <v>2.2383214125044266E-3</v>
      </c>
      <c r="G9" s="34">
        <f>Prob!G9*ER!G9</f>
        <v>2.4301505504144547E-3</v>
      </c>
      <c r="H9" s="34">
        <f>Prob!H9*ER!H9</f>
        <v>1.6855309926783464E-3</v>
      </c>
      <c r="I9" s="34">
        <f>Prob!I9*ER!I9</f>
        <v>1.2769871310707882E-3</v>
      </c>
      <c r="J9" s="34">
        <f>Prob!J9*ER!J9</f>
        <v>8.2943440383233475E-4</v>
      </c>
      <c r="K9" s="46">
        <f>Prob!K9*ER!K9</f>
        <v>8.0253721445667006E-4</v>
      </c>
      <c r="L9" s="46">
        <f t="shared" si="0"/>
        <v>1.4817477559894255E-2</v>
      </c>
    </row>
    <row r="10" spans="1:12" x14ac:dyDescent="0.2">
      <c r="A10" s="45">
        <v>12</v>
      </c>
      <c r="B10" s="34">
        <f>Prob!B10*ER!B10</f>
        <v>-2.0543129987003876E-3</v>
      </c>
      <c r="C10" s="34">
        <f>Prob!C10*ER!C10</f>
        <v>-1.6146835701105753E-3</v>
      </c>
      <c r="D10" s="34">
        <f>Prob!D10*ER!D10</f>
        <v>-1.4891545731330056E-3</v>
      </c>
      <c r="E10" s="34">
        <f>Prob!E10*ER!E10</f>
        <v>-1.3449629157618579E-3</v>
      </c>
      <c r="F10" s="34">
        <f>Prob!F10*ER!F10</f>
        <v>-1.0654061227567838E-3</v>
      </c>
      <c r="G10" s="34">
        <f>Prob!G10*ER!G10</f>
        <v>-9.7942021921714308E-4</v>
      </c>
      <c r="H10" s="34">
        <f>Prob!H10*ER!H10</f>
        <v>-1.3563350037516613E-3</v>
      </c>
      <c r="I10" s="34">
        <f>Prob!I10*ER!I10</f>
        <v>-1.7305631635594024E-3</v>
      </c>
      <c r="J10" s="34">
        <f>Prob!J10*ER!J10</f>
        <v>-2.1666754340123346E-3</v>
      </c>
      <c r="K10" s="46">
        <f>Prob!K10*ER!K10</f>
        <v>-9.8983872765952205E-3</v>
      </c>
      <c r="L10" s="46">
        <f t="shared" si="0"/>
        <v>-2.369990127759837E-2</v>
      </c>
    </row>
    <row r="11" spans="1:12" x14ac:dyDescent="0.2">
      <c r="A11" s="45">
        <v>13</v>
      </c>
      <c r="B11" s="34">
        <f>Prob!B11*ER!B11</f>
        <v>-2.2226913729172723E-3</v>
      </c>
      <c r="C11" s="34">
        <f>Prob!C11*ER!C11</f>
        <v>-1.8657133276877025E-3</v>
      </c>
      <c r="D11" s="34">
        <f>Prob!D11*ER!D11</f>
        <v>-1.6074206687755985E-3</v>
      </c>
      <c r="E11" s="34">
        <f>Prob!E11*ER!E11</f>
        <v>-1.3449629157618579E-3</v>
      </c>
      <c r="F11" s="34">
        <f>Prob!F11*ER!F11</f>
        <v>-1.0654061227567838E-3</v>
      </c>
      <c r="G11" s="34">
        <f>Prob!G11*ER!G11</f>
        <v>-9.7942021921714308E-4</v>
      </c>
      <c r="H11" s="34">
        <f>Prob!H11*ER!H11</f>
        <v>-1.7146200676946227E-3</v>
      </c>
      <c r="I11" s="34">
        <f>Prob!I11*ER!I11</f>
        <v>-2.0621176446589534E-3</v>
      </c>
      <c r="J11" s="34">
        <f>Prob!J11*ER!J11</f>
        <v>-2.4670790386509623E-3</v>
      </c>
      <c r="K11" s="46">
        <f>Prob!K11*ER!K11</f>
        <v>-1.0871973037881E-2</v>
      </c>
      <c r="L11" s="46">
        <f t="shared" si="0"/>
        <v>-2.6201404416001897E-2</v>
      </c>
    </row>
    <row r="12" spans="1:12" x14ac:dyDescent="0.2">
      <c r="A12" s="45">
        <v>14</v>
      </c>
      <c r="B12" s="34">
        <f>Prob!B12*ER!B12</f>
        <v>-2.0391794746323255E-3</v>
      </c>
      <c r="C12" s="34">
        <f>Prob!C12*ER!C12</f>
        <v>-1.5991828523037449E-3</v>
      </c>
      <c r="D12" s="34">
        <f>Prob!D12*ER!D12</f>
        <v>-1.3777891446647985E-3</v>
      </c>
      <c r="E12" s="34">
        <f>Prob!E12*ER!E12</f>
        <v>-1.1528253563673067E-3</v>
      </c>
      <c r="F12" s="34">
        <f>Prob!F12*ER!F12</f>
        <v>-9.1320524807724315E-4</v>
      </c>
      <c r="G12" s="34">
        <f>Prob!G12*ER!G12</f>
        <v>-8.3950304504326557E-4</v>
      </c>
      <c r="H12" s="34">
        <f>Prob!H12*ER!H12</f>
        <v>-1.7548400068765231E-3</v>
      </c>
      <c r="I12" s="34">
        <f>Prob!I12*ER!I12</f>
        <v>-2.0314197109909905E-3</v>
      </c>
      <c r="J12" s="34">
        <f>Prob!J12*ER!J12</f>
        <v>-2.3537359225356508E-3</v>
      </c>
      <c r="K12" s="46">
        <f>Prob!K12*ER!K12</f>
        <v>-1.0093728822064232E-2</v>
      </c>
      <c r="L12" s="46">
        <f t="shared" si="0"/>
        <v>-2.4155409583556081E-2</v>
      </c>
    </row>
    <row r="13" spans="1:12" x14ac:dyDescent="0.2">
      <c r="A13" s="45">
        <v>15</v>
      </c>
      <c r="B13" s="34">
        <f>Prob!B13*ER!B13</f>
        <v>-2.1636223838567576E-3</v>
      </c>
      <c r="C13" s="34">
        <f>Prob!C13*ER!C13</f>
        <v>-1.5991828523037449E-3</v>
      </c>
      <c r="D13" s="34">
        <f>Prob!D13*ER!D13</f>
        <v>-1.3777891446647985E-3</v>
      </c>
      <c r="E13" s="34">
        <f>Prob!E13*ER!E13</f>
        <v>-1.1528253563673067E-3</v>
      </c>
      <c r="F13" s="34">
        <f>Prob!F13*ER!F13</f>
        <v>-9.1320524807724315E-4</v>
      </c>
      <c r="G13" s="34">
        <f>Prob!G13*ER!G13</f>
        <v>-8.3950304504326557E-4</v>
      </c>
      <c r="H13" s="34">
        <f>Prob!H13*ER!H13</f>
        <v>-2.0196366940763502E-3</v>
      </c>
      <c r="I13" s="34">
        <f>Prob!I13*ER!I13</f>
        <v>-2.276460705039784E-3</v>
      </c>
      <c r="J13" s="34">
        <f>Prob!J13*ER!J13</f>
        <v>-2.5757543300455399E-3</v>
      </c>
      <c r="K13" s="46">
        <f>Prob!K13*ER!K13</f>
        <v>-1.0813273983830836E-2</v>
      </c>
      <c r="L13" s="46">
        <f t="shared" si="0"/>
        <v>-2.5731253743305628E-2</v>
      </c>
    </row>
    <row r="14" spans="1:12" x14ac:dyDescent="0.2">
      <c r="A14" s="45">
        <v>16</v>
      </c>
      <c r="B14" s="34">
        <f>Prob!B14*ER!B14</f>
        <v>-1.8143750642069308E-3</v>
      </c>
      <c r="C14" s="34">
        <f>Prob!C14*ER!C14</f>
        <v>-1.3326523769197874E-3</v>
      </c>
      <c r="D14" s="34">
        <f>Prob!D14*ER!D14</f>
        <v>-1.1481576205539987E-3</v>
      </c>
      <c r="E14" s="34">
        <f>Prob!E14*ER!E14</f>
        <v>-9.6068779697275558E-4</v>
      </c>
      <c r="F14" s="34">
        <f>Prob!F14*ER!F14</f>
        <v>-7.6100437339770254E-4</v>
      </c>
      <c r="G14" s="34">
        <f>Prob!G14*ER!G14</f>
        <v>-6.9958587086938785E-4</v>
      </c>
      <c r="H14" s="34">
        <f>Prob!H14*ER!H14</f>
        <v>-1.887932776825396E-3</v>
      </c>
      <c r="I14" s="34">
        <f>Prob!I14*ER!I14</f>
        <v>-2.0866656424518627E-3</v>
      </c>
      <c r="J14" s="34">
        <f>Prob!J14*ER!J14</f>
        <v>-2.3182618998967928E-3</v>
      </c>
      <c r="K14" s="46">
        <f>Prob!K14*ER!K14</f>
        <v>-9.5678525521784227E-3</v>
      </c>
      <c r="L14" s="46">
        <f t="shared" si="0"/>
        <v>-2.2577175974273035E-2</v>
      </c>
    </row>
    <row r="15" spans="1:12" x14ac:dyDescent="0.2">
      <c r="A15" s="45">
        <v>17</v>
      </c>
      <c r="B15" s="34">
        <f>Prob!B15*ER!B15</f>
        <v>-1.4632602409502076E-3</v>
      </c>
      <c r="C15" s="34">
        <f>Prob!C15*ER!C15</f>
        <v>-6.9628851926054644E-4</v>
      </c>
      <c r="D15" s="34">
        <f>Prob!D15*ER!D15</f>
        <v>-5.3352863643410867E-4</v>
      </c>
      <c r="E15" s="34">
        <f>Prob!E15*ER!E15</f>
        <v>-3.66742708899937E-4</v>
      </c>
      <c r="F15" s="34">
        <f>Prob!F15*ER!F15</f>
        <v>-2.0455792246210493E-4</v>
      </c>
      <c r="G15" s="34">
        <f>Prob!G15*ER!G15</f>
        <v>5.3432683993363013E-5</v>
      </c>
      <c r="H15" s="34">
        <f>Prob!H15*ER!H15</f>
        <v>-4.8615834994399044E-4</v>
      </c>
      <c r="I15" s="34">
        <f>Prob!I15*ER!I15</f>
        <v>-1.7385114749587944E-3</v>
      </c>
      <c r="J15" s="34">
        <f>Prob!J15*ER!J15</f>
        <v>-1.9260548003878807E-3</v>
      </c>
      <c r="K15" s="46">
        <f>Prob!K15*ER!K15</f>
        <v>-7.8040546184011093E-3</v>
      </c>
      <c r="L15" s="46">
        <f t="shared" si="0"/>
        <v>-1.5165724587705317E-2</v>
      </c>
    </row>
    <row r="16" spans="1:12" x14ac:dyDescent="0.2">
      <c r="A16" s="45">
        <v>18</v>
      </c>
      <c r="B16" s="34">
        <f>Prob!B16*ER!B16</f>
        <v>-6.0882447554940974E-4</v>
      </c>
      <c r="C16" s="34">
        <f>Prob!C16*ER!C16</f>
        <v>4.4330232943427485E-4</v>
      </c>
      <c r="D16" s="34">
        <f>Prob!D16*ER!D16</f>
        <v>5.4000936856189795E-4</v>
      </c>
      <c r="E16" s="34">
        <f>Prob!E16*ER!E16</f>
        <v>6.4034387691392009E-4</v>
      </c>
      <c r="F16" s="34">
        <f>Prob!F16*ER!F16</f>
        <v>7.266679835272725E-4</v>
      </c>
      <c r="G16" s="34">
        <f>Prob!G16*ER!G16</f>
        <v>1.0321125755007687E-3</v>
      </c>
      <c r="H16" s="34">
        <f>Prob!H16*ER!H16</f>
        <v>1.4549082106019185E-3</v>
      </c>
      <c r="I16" s="34">
        <f>Prob!I16*ER!I16</f>
        <v>3.8580372733408683E-4</v>
      </c>
      <c r="J16" s="34">
        <f>Prob!J16*ER!J16</f>
        <v>-6.6695805798246089E-4</v>
      </c>
      <c r="K16" s="46">
        <f>Prob!K16*ER!K16</f>
        <v>-3.2470638695968525E-3</v>
      </c>
      <c r="L16" s="46">
        <f t="shared" si="0"/>
        <v>7.0030166874541534E-4</v>
      </c>
    </row>
    <row r="17" spans="1:12" x14ac:dyDescent="0.2">
      <c r="A17" s="45">
        <v>19</v>
      </c>
      <c r="B17" s="34">
        <f>Prob!B17*ER!B17</f>
        <v>-4.7040758338653121E-5</v>
      </c>
      <c r="C17" s="34">
        <f>Prob!C17*ER!C17</f>
        <v>1.4066624889234043E-3</v>
      </c>
      <c r="D17" s="34">
        <f>Prob!D17*ER!D17</f>
        <v>1.472418521976368E-3</v>
      </c>
      <c r="E17" s="34">
        <f>Prob!E17*ER!E17</f>
        <v>1.5409337271825091E-3</v>
      </c>
      <c r="F17" s="34">
        <f>Prob!F17*ER!F17</f>
        <v>1.6004082081415886E-3</v>
      </c>
      <c r="G17" s="34">
        <f>Prob!G17*ER!G17</f>
        <v>1.8060157443325231E-3</v>
      </c>
      <c r="H17" s="34">
        <f>Prob!H17*ER!H17</f>
        <v>2.2429731297348441E-3</v>
      </c>
      <c r="I17" s="34">
        <f>Prob!I17*ER!I17</f>
        <v>2.1624166346352102E-3</v>
      </c>
      <c r="J17" s="34">
        <f>Prob!J17*ER!J17</f>
        <v>1.0472344362952443E-3</v>
      </c>
      <c r="K17" s="46">
        <f>Prob!K17*ER!K17</f>
        <v>-2.5088404447281648E-4</v>
      </c>
      <c r="L17" s="46">
        <f t="shared" si="0"/>
        <v>1.2981138088410222E-2</v>
      </c>
    </row>
    <row r="18" spans="1:12" x14ac:dyDescent="0.2">
      <c r="A18" s="45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47">
        <v>10</v>
      </c>
      <c r="L18" s="47" t="s">
        <v>2</v>
      </c>
    </row>
    <row r="19" spans="1:12" x14ac:dyDescent="0.2">
      <c r="A19" s="45">
        <v>13</v>
      </c>
      <c r="B19" s="34">
        <f>Prob!B19*ER!B19</f>
        <v>-1.4792871413606267E-4</v>
      </c>
      <c r="C19" s="34">
        <f>Prob!C19*ER!C19</f>
        <v>4.2454376600190761E-5</v>
      </c>
      <c r="D19" s="34">
        <f>Prob!D19*ER!D19</f>
        <v>6.7472747740322317E-5</v>
      </c>
      <c r="E19" s="34">
        <f>Prob!E19*ER!E19</f>
        <v>9.328825386621324E-5</v>
      </c>
      <c r="F19" s="34">
        <f>Prob!F19*ER!F19</f>
        <v>1.2140440462741674E-4</v>
      </c>
      <c r="G19" s="34">
        <f>Prob!G19*ER!G19</f>
        <v>1.471940930807801E-4</v>
      </c>
      <c r="H19" s="34">
        <f>Prob!H19*ER!H19</f>
        <v>1.114116478643532E-4</v>
      </c>
      <c r="I19" s="34">
        <f>Prob!I19*ER!I19</f>
        <v>4.920989549049735E-5</v>
      </c>
      <c r="J19" s="34">
        <f>Prob!J19*ER!J19</f>
        <v>-3.4314691058242955E-5</v>
      </c>
      <c r="K19" s="46">
        <f>Prob!K19*ER!K19</f>
        <v>-5.405064009499764E-4</v>
      </c>
      <c r="L19" s="46">
        <f t="shared" si="0"/>
        <v>-9.0314386874508316E-5</v>
      </c>
    </row>
    <row r="20" spans="1:12" x14ac:dyDescent="0.2">
      <c r="A20" s="45">
        <v>14</v>
      </c>
      <c r="B20" s="34">
        <f>Prob!B20*ER!B20</f>
        <v>-1.6642458927803474E-4</v>
      </c>
      <c r="C20" s="34">
        <f>Prob!C20*ER!C20</f>
        <v>2.0384030029894478E-5</v>
      </c>
      <c r="D20" s="34">
        <f>Prob!D20*ER!D20</f>
        <v>4.6251014036670753E-5</v>
      </c>
      <c r="E20" s="34">
        <f>Prob!E20*ER!E20</f>
        <v>7.2900695776158622E-5</v>
      </c>
      <c r="F20" s="34">
        <f>Prob!F20*ER!F20</f>
        <v>1.0186117039120552E-4</v>
      </c>
      <c r="G20" s="34">
        <f>Prob!G20*ER!G20</f>
        <v>1.266861454197331E-4</v>
      </c>
      <c r="H20" s="34">
        <f>Prob!H20*ER!H20</f>
        <v>7.2378232584859498E-5</v>
      </c>
      <c r="I20" s="34">
        <f>Prob!I20*ER!I20</f>
        <v>1.2086681350212545E-5</v>
      </c>
      <c r="J20" s="34">
        <f>Prob!J20*ER!J20</f>
        <v>-6.8423476961023064E-5</v>
      </c>
      <c r="K20" s="46">
        <f>Prob!K20*ER!K20</f>
        <v>-6.4973705315412862E-4</v>
      </c>
      <c r="L20" s="46">
        <f t="shared" si="0"/>
        <v>-4.3203714980445191E-4</v>
      </c>
    </row>
    <row r="21" spans="1:12" x14ac:dyDescent="0.2">
      <c r="A21" s="45">
        <v>15</v>
      </c>
      <c r="B21" s="34">
        <f>Prob!B21*ER!B21</f>
        <v>-1.8473891756210431E-4</v>
      </c>
      <c r="C21" s="34">
        <f>Prob!C21*ER!C21</f>
        <v>-1.0986321395208543E-7</v>
      </c>
      <c r="D21" s="34">
        <f>Prob!D21*ER!D21</f>
        <v>2.6545118454708574E-5</v>
      </c>
      <c r="E21" s="34">
        <f>Prob!E21*ER!E21</f>
        <v>5.3969391835393658E-5</v>
      </c>
      <c r="F21" s="34">
        <f>Prob!F21*ER!F21</f>
        <v>8.3713881457580784E-5</v>
      </c>
      <c r="G21" s="34">
        <f>Prob!G21*ER!G21</f>
        <v>1.0764305116304663E-4</v>
      </c>
      <c r="H21" s="34">
        <f>Prob!H21*ER!H21</f>
        <v>3.3708040308847741E-5</v>
      </c>
      <c r="I21" s="34">
        <f>Prob!I21*ER!I21</f>
        <v>-2.4628839784161744E-5</v>
      </c>
      <c r="J21" s="34">
        <f>Prob!J21*ER!J21</f>
        <v>-1.0212905661351197E-4</v>
      </c>
      <c r="K21" s="46">
        <f>Prob!K21*ER!K21</f>
        <v>-7.5775475732324624E-4</v>
      </c>
      <c r="L21" s="46">
        <f t="shared" si="0"/>
        <v>-7.6378195127739892E-4</v>
      </c>
    </row>
    <row r="22" spans="1:12" x14ac:dyDescent="0.2">
      <c r="A22" s="45">
        <v>16</v>
      </c>
      <c r="B22" s="34">
        <f>Prob!B22*ER!B22</f>
        <v>-1.9794962769603732E-4</v>
      </c>
      <c r="C22" s="34">
        <f>Prob!C22*ER!C22</f>
        <v>-1.9139906940381036E-5</v>
      </c>
      <c r="D22" s="34">
        <f>Prob!D22*ER!D22</f>
        <v>8.2467868428865046E-6</v>
      </c>
      <c r="E22" s="34">
        <f>Prob!E22*ER!E22</f>
        <v>3.639032389039755E-5</v>
      </c>
      <c r="F22" s="34">
        <f>Prob!F22*ER!F22</f>
        <v>6.6862827447786407E-5</v>
      </c>
      <c r="G22" s="34">
        <f>Prob!G22*ER!G22</f>
        <v>8.9960177924694928E-5</v>
      </c>
      <c r="H22" s="34">
        <f>Prob!H22*ER!H22</f>
        <v>-4.4516678862229355E-6</v>
      </c>
      <c r="I22" s="34">
        <f>Prob!I22*ER!I22</f>
        <v>-6.0805505616835785E-5</v>
      </c>
      <c r="J22" s="34">
        <f>Prob!J22*ER!J22</f>
        <v>-1.3531500649073712E-4</v>
      </c>
      <c r="K22" s="46">
        <f>Prob!K22*ER!K22</f>
        <v>-8.6417549250210877E-4</v>
      </c>
      <c r="L22" s="46">
        <f t="shared" si="0"/>
        <v>-1.0803770910265576E-3</v>
      </c>
    </row>
    <row r="23" spans="1:12" x14ac:dyDescent="0.2">
      <c r="A23" s="45">
        <v>17</v>
      </c>
      <c r="B23" s="34">
        <f>Prob!B23*ER!B23</f>
        <v>-1.8966630816317804E-4</v>
      </c>
      <c r="C23" s="34">
        <f>Prob!C23*ER!C23</f>
        <v>-4.4701282010847796E-7</v>
      </c>
      <c r="D23" s="34">
        <f>Prob!D23*ER!D23</f>
        <v>2.6377135153045539E-5</v>
      </c>
      <c r="E23" s="34">
        <f>Prob!E23*ER!E23</f>
        <v>5.4006622974205145E-5</v>
      </c>
      <c r="F23" s="34">
        <f>Prob!F23*ER!F23</f>
        <v>8.3012360206440058E-5</v>
      </c>
      <c r="G23" s="34">
        <f>Prob!G23*ER!G23</f>
        <v>1.1656999876695408E-4</v>
      </c>
      <c r="H23" s="34">
        <f>Prob!H23*ER!H23</f>
        <v>4.8997235972796233E-5</v>
      </c>
      <c r="I23" s="34">
        <f>Prob!I23*ER!I23</f>
        <v>-6.6377240536770221E-5</v>
      </c>
      <c r="J23" s="34">
        <f>Prob!J23*ER!J23</f>
        <v>-1.3635584176798656E-4</v>
      </c>
      <c r="K23" s="46">
        <f>Prob!K23*ER!K23</f>
        <v>-8.3834382613866049E-4</v>
      </c>
      <c r="L23" s="46">
        <f t="shared" si="0"/>
        <v>-9.0222687635326275E-4</v>
      </c>
    </row>
    <row r="24" spans="1:12" x14ac:dyDescent="0.2">
      <c r="A24" s="45">
        <v>18</v>
      </c>
      <c r="B24" s="34">
        <f>Prob!B24*ER!B24</f>
        <v>-1.5220611888735244E-4</v>
      </c>
      <c r="C24" s="34">
        <f>Prob!C24*ER!C24</f>
        <v>1.1082558235856871E-4</v>
      </c>
      <c r="D24" s="34">
        <f>Prob!D24*ER!D24</f>
        <v>1.3500234214047449E-4</v>
      </c>
      <c r="E24" s="34">
        <f>Prob!E24*ER!E24</f>
        <v>1.6008596922848002E-4</v>
      </c>
      <c r="F24" s="34">
        <f>Prob!F24*ER!F24</f>
        <v>1.8166699588181812E-4</v>
      </c>
      <c r="G24" s="34">
        <f>Prob!G24*ER!G24</f>
        <v>2.5802814387519219E-4</v>
      </c>
      <c r="H24" s="34">
        <f>Prob!H24*ER!H24</f>
        <v>3.6372705265047962E-4</v>
      </c>
      <c r="I24" s="34">
        <f>Prob!I24*ER!I24</f>
        <v>9.6450931833521708E-5</v>
      </c>
      <c r="J24" s="34">
        <f>Prob!J24*ER!J24</f>
        <v>-9.171079433811128E-5</v>
      </c>
      <c r="K24" s="46">
        <f>Prob!K24*ER!K24</f>
        <v>-6.7593577416848378E-4</v>
      </c>
      <c r="L24" s="46">
        <f t="shared" si="0"/>
        <v>3.8593433057458734E-4</v>
      </c>
    </row>
    <row r="25" spans="1:12" x14ac:dyDescent="0.2">
      <c r="A25" s="45">
        <v>19</v>
      </c>
      <c r="B25" s="34">
        <f>Prob!B25*ER!B25</f>
        <v>-1.176018958466328E-5</v>
      </c>
      <c r="C25" s="34">
        <f>Prob!C25*ER!C25</f>
        <v>3.5166562223085107E-4</v>
      </c>
      <c r="D25" s="34">
        <f>Prob!D25*ER!D25</f>
        <v>3.6810463049409201E-4</v>
      </c>
      <c r="E25" s="34">
        <f>Prob!E25*ER!E25</f>
        <v>3.8523343179562726E-4</v>
      </c>
      <c r="F25" s="34">
        <f>Prob!F25*ER!F25</f>
        <v>4.0010205203539715E-4</v>
      </c>
      <c r="G25" s="34">
        <f>Prob!G25*ER!G25</f>
        <v>4.5150393608313079E-4</v>
      </c>
      <c r="H25" s="34">
        <f>Prob!H25*ER!H25</f>
        <v>5.6074328243371102E-4</v>
      </c>
      <c r="I25" s="34">
        <f>Prob!I25*ER!I25</f>
        <v>5.4060415865880254E-4</v>
      </c>
      <c r="J25" s="34">
        <f>Prob!J25*ER!J25</f>
        <v>2.6180860907381106E-4</v>
      </c>
      <c r="K25" s="46">
        <f>Prob!K25*ER!K25</f>
        <v>-6.272101111820412E-5</v>
      </c>
      <c r="L25" s="46">
        <f t="shared" si="0"/>
        <v>3.2452845221025554E-3</v>
      </c>
    </row>
    <row r="26" spans="1:12" x14ac:dyDescent="0.2">
      <c r="A26" s="45">
        <v>20</v>
      </c>
      <c r="B26" s="34">
        <f>Prob!B26*ER!B26</f>
        <v>1.2868573971802589E-4</v>
      </c>
      <c r="C26" s="34">
        <f>Prob!C26*ER!C26</f>
        <v>5.8260043260522428E-4</v>
      </c>
      <c r="D26" s="34">
        <f>Prob!D26*ER!D26</f>
        <v>5.9196367250931401E-4</v>
      </c>
      <c r="E26" s="34">
        <f>Prob!E26*ER!E26</f>
        <v>6.0177511328909602E-4</v>
      </c>
      <c r="F26" s="34">
        <f>Prob!F26*ER!F26</f>
        <v>6.1025005974765594E-4</v>
      </c>
      <c r="G26" s="34">
        <f>Prob!G26*ER!G26</f>
        <v>6.4083620407040943E-4</v>
      </c>
      <c r="H26" s="34">
        <f>Prob!H26*ER!H26</f>
        <v>7.0389369734836138E-4</v>
      </c>
      <c r="I26" s="34">
        <f>Prob!I26*ER!I26</f>
        <v>7.2081489262803688E-4</v>
      </c>
      <c r="J26" s="34">
        <f>Prob!J26*ER!J26</f>
        <v>6.9035673264323746E-4</v>
      </c>
      <c r="K26" s="46">
        <f>Prob!K26*ER!K26</f>
        <v>1.4619916792703695E-3</v>
      </c>
      <c r="L26" s="46">
        <f t="shared" si="0"/>
        <v>6.7331682238297311E-3</v>
      </c>
    </row>
    <row r="27" spans="1:12" x14ac:dyDescent="0.2">
      <c r="A27" s="45">
        <v>21</v>
      </c>
      <c r="B27" s="34">
        <f>Prob!B27*ER!B27</f>
        <v>3.781380203774378E-3</v>
      </c>
      <c r="C27" s="34">
        <f>Prob!C27*ER!C27</f>
        <v>5.461993627674102E-3</v>
      </c>
      <c r="D27" s="34">
        <f>Prob!D27*ER!D27</f>
        <v>5.461993627674102E-3</v>
      </c>
      <c r="E27" s="34">
        <f>Prob!E27*ER!E27</f>
        <v>5.461993627674102E-3</v>
      </c>
      <c r="F27" s="34">
        <f>Prob!F27*ER!F27</f>
        <v>5.461993627674102E-3</v>
      </c>
      <c r="G27" s="34">
        <f>Prob!G27*ER!G27</f>
        <v>5.461993627674102E-3</v>
      </c>
      <c r="H27" s="34">
        <f>Prob!H27*ER!H27</f>
        <v>5.461993627674102E-3</v>
      </c>
      <c r="I27" s="34">
        <f>Prob!I27*ER!I27</f>
        <v>5.461993627674102E-3</v>
      </c>
      <c r="J27" s="34">
        <f>Prob!J27*ER!J27</f>
        <v>5.461993627674102E-3</v>
      </c>
      <c r="K27" s="46">
        <f>Prob!K27*ER!K27</f>
        <v>2.0167361086796686E-2</v>
      </c>
      <c r="L27" s="46">
        <f t="shared" si="0"/>
        <v>6.7644690311963893E-2</v>
      </c>
    </row>
    <row r="28" spans="1:12" x14ac:dyDescent="0.2">
      <c r="A28" s="45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47">
        <v>10</v>
      </c>
      <c r="L28" s="47" t="s">
        <v>2</v>
      </c>
    </row>
    <row r="29" spans="1:12" x14ac:dyDescent="0.2">
      <c r="A29" s="45" t="s">
        <v>1</v>
      </c>
      <c r="B29" s="34">
        <f>Prob!B29*ER!B29</f>
        <v>-3.7233092652879131E-5</v>
      </c>
      <c r="C29" s="34">
        <f>Prob!C29*ER!C29</f>
        <v>2.1421981035023624E-4</v>
      </c>
      <c r="D29" s="34">
        <f>Prob!D29*ER!D29</f>
        <v>2.3568286441612049E-4</v>
      </c>
      <c r="E29" s="34">
        <f>Prob!E29*ER!E29</f>
        <v>2.5764248994901049E-4</v>
      </c>
      <c r="F29" s="34">
        <f>Prob!F29*ER!F29</f>
        <v>2.7979017656305332E-4</v>
      </c>
      <c r="G29" s="34">
        <f>Prob!G29*ER!G29</f>
        <v>3.0376881880180679E-4</v>
      </c>
      <c r="H29" s="34">
        <f>Prob!H29*ER!H29</f>
        <v>2.1069137408479333E-4</v>
      </c>
      <c r="I29" s="34">
        <f>Prob!I29*ER!I29</f>
        <v>1.5962339138384852E-4</v>
      </c>
      <c r="J29" s="34">
        <f>Prob!J29*ER!J29</f>
        <v>1.0367930047904183E-4</v>
      </c>
      <c r="K29" s="46">
        <f>Prob!K29*ER!K29</f>
        <v>9.9757249738836165E-5</v>
      </c>
      <c r="L29" s="46">
        <f t="shared" si="0"/>
        <v>1.827622383113868E-3</v>
      </c>
    </row>
    <row r="30" spans="1:12" x14ac:dyDescent="0.2">
      <c r="A30" s="45">
        <v>2</v>
      </c>
      <c r="B30" s="34">
        <f>Prob!B30*ER!B30</f>
        <v>-1.2144069743887804E-4</v>
      </c>
      <c r="C30" s="34">
        <f>Prob!C30*ER!C30</f>
        <v>-5.230465526578123E-5</v>
      </c>
      <c r="D30" s="34">
        <f>Prob!D30*ER!D30</f>
        <v>-3.760278302218678E-5</v>
      </c>
      <c r="E30" s="34">
        <f>Prob!E30*ER!E30</f>
        <v>-2.0118718375816471E-5</v>
      </c>
      <c r="F30" s="34">
        <f>Prob!F30*ER!F30</f>
        <v>1.2498891474541259E-5</v>
      </c>
      <c r="G30" s="34">
        <f>Prob!G30*ER!G30</f>
        <v>3.5396824712154062E-5</v>
      </c>
      <c r="H30" s="34">
        <f>Prob!H30*ER!H30</f>
        <v>-2.4812946177389394E-5</v>
      </c>
      <c r="I30" s="34">
        <f>Prob!I30*ER!I30</f>
        <v>-7.2523510541741069E-5</v>
      </c>
      <c r="J30" s="34">
        <f>Prob!J30*ER!J30</f>
        <v>-1.0954309474436299E-4</v>
      </c>
      <c r="K30" s="46">
        <f>Prob!K30*ER!K30</f>
        <v>-5.6317333039629315E-4</v>
      </c>
      <c r="L30" s="46">
        <f t="shared" si="0"/>
        <v>-9.5362401977575376E-4</v>
      </c>
    </row>
    <row r="31" spans="1:12" x14ac:dyDescent="0.2">
      <c r="A31" s="45">
        <v>3</v>
      </c>
      <c r="B31" s="34">
        <f>Prob!B31*ER!B31</f>
        <v>-1.3224964571405403E-4</v>
      </c>
      <c r="C31" s="34">
        <f>Prob!C31*ER!C31</f>
        <v>-6.4068783550304918E-5</v>
      </c>
      <c r="D31" s="34">
        <f>Prob!D31*ER!D31</f>
        <v>-4.8835265365775316E-5</v>
      </c>
      <c r="E31" s="34">
        <f>Prob!E31*ER!E31</f>
        <v>-3.3009823130546513E-5</v>
      </c>
      <c r="F31" s="34">
        <f>Prob!F31*ER!F31</f>
        <v>1.5471745234126364E-7</v>
      </c>
      <c r="G31" s="34">
        <f>Prob!G31*ER!G31</f>
        <v>2.2277017029184673E-5</v>
      </c>
      <c r="H31" s="34">
        <f>Prob!H31*ER!H31</f>
        <v>-5.228729043273252E-5</v>
      </c>
      <c r="I31" s="34">
        <f>Prob!I31*ER!I31</f>
        <v>-9.8881147619838314E-5</v>
      </c>
      <c r="J31" s="34">
        <f>Prob!J31*ER!J31</f>
        <v>-1.3320013663983889E-4</v>
      </c>
      <c r="K31" s="46">
        <f>Prob!K31*ER!K31</f>
        <v>-6.3948628514614257E-4</v>
      </c>
      <c r="L31" s="46">
        <f t="shared" si="0"/>
        <v>-1.1795866431177071E-3</v>
      </c>
    </row>
    <row r="32" spans="1:12" x14ac:dyDescent="0.2">
      <c r="A32" s="45">
        <v>4</v>
      </c>
      <c r="B32" s="34">
        <f>Prob!B32*ER!B32</f>
        <v>-1.0409520014412331E-4</v>
      </c>
      <c r="C32" s="34">
        <f>Prob!C32*ER!C32</f>
        <v>-9.92179699991155E-6</v>
      </c>
      <c r="D32" s="34">
        <f>Prob!D32*ER!D32</f>
        <v>3.6437244108578481E-6</v>
      </c>
      <c r="E32" s="34">
        <f>Prob!E32*ER!E32</f>
        <v>1.7653378824400914E-5</v>
      </c>
      <c r="F32" s="34">
        <f>Prob!F32*ER!F32</f>
        <v>3.2227872545759598E-5</v>
      </c>
      <c r="G32" s="34">
        <f>Prob!G32*ER!G32</f>
        <v>5.2325967271835787E-5</v>
      </c>
      <c r="H32" s="34">
        <f>Prob!H32*ER!H32</f>
        <v>3.7418042496014052E-5</v>
      </c>
      <c r="I32" s="34">
        <f>Prob!I32*ER!I32</f>
        <v>-2.7263666663020618E-5</v>
      </c>
      <c r="J32" s="34">
        <f>Prob!J32*ER!J32</f>
        <v>-9.5669700499871469E-5</v>
      </c>
      <c r="K32" s="46">
        <f>Prob!K32*ER!K32</f>
        <v>-5.0717112617678164E-4</v>
      </c>
      <c r="L32" s="46">
        <f t="shared" si="0"/>
        <v>-6.0085250493484039E-4</v>
      </c>
    </row>
    <row r="33" spans="1:12" x14ac:dyDescent="0.2">
      <c r="A33" s="45">
        <v>5</v>
      </c>
      <c r="B33" s="34">
        <f>Prob!B33*ER!B33</f>
        <v>-4.6217255476812023E-5</v>
      </c>
      <c r="C33" s="34">
        <f>Prob!C33*ER!C33</f>
        <v>1.6337706529007698E-4</v>
      </c>
      <c r="D33" s="34">
        <f>Prob!D33*ER!D33</f>
        <v>1.8630890768135604E-4</v>
      </c>
      <c r="E33" s="34">
        <f>Prob!E33*ER!E33</f>
        <v>2.0980438952860903E-4</v>
      </c>
      <c r="F33" s="34">
        <f>Prob!F33*ER!F33</f>
        <v>2.3328043195415012E-4</v>
      </c>
      <c r="G33" s="34">
        <f>Prob!G33*ER!G33</f>
        <v>2.6198915275273951E-4</v>
      </c>
      <c r="H33" s="34">
        <f>Prob!H33*ER!H33</f>
        <v>1.7861286084771861E-4</v>
      </c>
      <c r="I33" s="34">
        <f>Prob!I33*ER!I33</f>
        <v>1.3046687159139E-4</v>
      </c>
      <c r="J33" s="34">
        <f>Prob!J33*ER!J33</f>
        <v>6.5693385699031059E-5</v>
      </c>
      <c r="K33" s="46">
        <f>Prob!K33*ER!K33</f>
        <v>-7.5611235545443954E-5</v>
      </c>
      <c r="L33" s="46">
        <f t="shared" si="0"/>
        <v>1.3077045743228152E-3</v>
      </c>
    </row>
    <row r="34" spans="1:12" x14ac:dyDescent="0.2">
      <c r="A34" s="45">
        <v>6</v>
      </c>
      <c r="B34" s="34">
        <f>Prob!B34*ER!B34</f>
        <v>-1.4673664276431339E-4</v>
      </c>
      <c r="C34" s="34">
        <f>Prob!C34*ER!C34</f>
        <v>-1.1533454072218394E-4</v>
      </c>
      <c r="D34" s="34">
        <f>Prob!D34*ER!D34</f>
        <v>-9.7670530731550632E-5</v>
      </c>
      <c r="E34" s="34">
        <f>Prob!E34*ER!E34</f>
        <v>-6.6378827425022589E-5</v>
      </c>
      <c r="F34" s="34">
        <f>Prob!F34*ER!F34</f>
        <v>-3.17851373055095E-5</v>
      </c>
      <c r="G34" s="34">
        <f>Prob!G34*ER!G34</f>
        <v>-1.1839631797791804E-5</v>
      </c>
      <c r="H34" s="34">
        <f>Prob!H34*ER!H34</f>
        <v>-9.6881071696547228E-5</v>
      </c>
      <c r="I34" s="34">
        <f>Prob!I34*ER!I34</f>
        <v>-1.2361165453995732E-4</v>
      </c>
      <c r="J34" s="34">
        <f>Prob!J34*ER!J34</f>
        <v>-1.5476253100088104E-4</v>
      </c>
      <c r="K34" s="46">
        <f>Prob!K34*ER!K34</f>
        <v>-7.0702766261394434E-4</v>
      </c>
      <c r="L34" s="46">
        <f t="shared" si="0"/>
        <v>-1.552028230597702E-3</v>
      </c>
    </row>
    <row r="35" spans="1:12" x14ac:dyDescent="0.2">
      <c r="A35" s="45">
        <v>7</v>
      </c>
      <c r="B35" s="34">
        <f>Prob!B35*ER!B35</f>
        <v>-1.6993162288602714E-4</v>
      </c>
      <c r="C35" s="34">
        <f>Prob!C35*ER!C35</f>
        <v>-9.9393197875845567E-5</v>
      </c>
      <c r="D35" s="34">
        <f>Prob!D35*ER!D35</f>
        <v>-6.9715959858410195E-5</v>
      </c>
      <c r="E35" s="34">
        <f>Prob!E35*ER!E35</f>
        <v>-3.9164127450470533E-5</v>
      </c>
      <c r="F35" s="34">
        <f>Prob!F35*ER!F35</f>
        <v>-6.6193544860636189E-6</v>
      </c>
      <c r="G35" s="34">
        <f>Prob!G35*ER!G35</f>
        <v>2.6568358993045852E-5</v>
      </c>
      <c r="H35" s="34">
        <f>Prob!H35*ER!H35</f>
        <v>-6.26379604737622E-5</v>
      </c>
      <c r="I35" s="34">
        <f>Prob!I35*ER!I35</f>
        <v>-1.6928497591591588E-4</v>
      </c>
      <c r="J35" s="34">
        <f>Prob!J35*ER!J35</f>
        <v>-1.961446602113042E-4</v>
      </c>
      <c r="K35" s="46">
        <f>Prob!K35*ER!K35</f>
        <v>-8.4114406850535259E-4</v>
      </c>
      <c r="L35" s="46">
        <f t="shared" si="0"/>
        <v>-1.6274675686701061E-3</v>
      </c>
    </row>
    <row r="36" spans="1:12" x14ac:dyDescent="0.2">
      <c r="A36" s="45">
        <v>8</v>
      </c>
      <c r="B36" s="34">
        <f>Prob!B36*ER!B36</f>
        <v>-1.8143750642069309E-4</v>
      </c>
      <c r="C36" s="34">
        <f>Prob!C36*ER!C36</f>
        <v>-1.98435939998231E-5</v>
      </c>
      <c r="D36" s="34">
        <f>Prob!D36*ER!D36</f>
        <v>7.2874488217156961E-6</v>
      </c>
      <c r="E36" s="34">
        <f>Prob!E36*ER!E36</f>
        <v>3.5306757648801828E-5</v>
      </c>
      <c r="F36" s="34">
        <f>Prob!F36*ER!F36</f>
        <v>6.4455745091519196E-5</v>
      </c>
      <c r="G36" s="34">
        <f>Prob!G36*ER!G36</f>
        <v>1.0465193454367157E-4</v>
      </c>
      <c r="H36" s="34">
        <f>Prob!H36*ER!H36</f>
        <v>7.4836084992028104E-5</v>
      </c>
      <c r="I36" s="34">
        <f>Prob!I36*ER!I36</f>
        <v>-5.4527333326041236E-5</v>
      </c>
      <c r="J36" s="34">
        <f>Prob!J36*ER!J36</f>
        <v>-1.9133940099974294E-4</v>
      </c>
      <c r="K36" s="46">
        <f>Prob!K36*ER!K36</f>
        <v>-9.5678525521784245E-4</v>
      </c>
      <c r="L36" s="46">
        <f t="shared" si="0"/>
        <v>-1.1173951188664065E-3</v>
      </c>
    </row>
    <row r="37" spans="1:12" x14ac:dyDescent="0.2">
      <c r="A37" s="45">
        <v>9</v>
      </c>
      <c r="B37" s="34">
        <f>Prob!B37*ER!B37</f>
        <v>-7.6103059443676218E-5</v>
      </c>
      <c r="C37" s="34">
        <f>Prob!C37*ER!C37</f>
        <v>6.7770630474593102E-5</v>
      </c>
      <c r="D37" s="34">
        <f>Prob!D37*ER!D37</f>
        <v>9.2184525934343911E-5</v>
      </c>
      <c r="E37" s="34">
        <f>Prob!E37*ER!E37</f>
        <v>1.1741545853048866E-4</v>
      </c>
      <c r="F37" s="34">
        <f>Prob!F37*ER!F37</f>
        <v>1.438614986495379E-4</v>
      </c>
      <c r="G37" s="34">
        <f>Prob!G37*ER!G37</f>
        <v>1.784422751545551E-4</v>
      </c>
      <c r="H37" s="34">
        <f>Prob!H37*ER!H37</f>
        <v>1.8186352632523981E-4</v>
      </c>
      <c r="I37" s="34">
        <f>Prob!I37*ER!I37</f>
        <v>8.9555045457799355E-5</v>
      </c>
      <c r="J37" s="34">
        <f>Prob!J37*ER!J37</f>
        <v>-4.7499365919573688E-5</v>
      </c>
      <c r="K37" s="46">
        <f>Prob!K37*ER!K37</f>
        <v>-4.0588298369960657E-4</v>
      </c>
      <c r="L37" s="46">
        <f t="shared" si="0"/>
        <v>3.4160755146370127E-4</v>
      </c>
    </row>
    <row r="38" spans="1:12" ht="16" thickBot="1" x14ac:dyDescent="0.25">
      <c r="A38" s="67">
        <v>10</v>
      </c>
      <c r="B38" s="68">
        <f>Prob!B38*ER!B38</f>
        <v>1.0294859177442071E-3</v>
      </c>
      <c r="C38" s="68">
        <f>Prob!C38*ER!C38</f>
        <v>4.6608034608417942E-3</v>
      </c>
      <c r="D38" s="68">
        <f>Prob!D38*ER!D38</f>
        <v>4.7357093800745121E-3</v>
      </c>
      <c r="E38" s="68">
        <f>Prob!E38*ER!E38</f>
        <v>4.8142009063127681E-3</v>
      </c>
      <c r="F38" s="68">
        <f>Prob!F38*ER!F38</f>
        <v>4.8820004779812475E-3</v>
      </c>
      <c r="G38" s="68">
        <f>Prob!G38*ER!G38</f>
        <v>5.1266896325632754E-3</v>
      </c>
      <c r="H38" s="68">
        <f>Prob!H38*ER!H38</f>
        <v>5.631149578786891E-3</v>
      </c>
      <c r="I38" s="68">
        <f>Prob!I38*ER!I38</f>
        <v>5.766519141024295E-3</v>
      </c>
      <c r="J38" s="68">
        <f>Prob!J38*ER!J38</f>
        <v>5.5228538611458997E-3</v>
      </c>
      <c r="K38" s="161">
        <f>Prob!K38*ER!K38</f>
        <v>1.1695933434162956E-2</v>
      </c>
      <c r="L38" s="161">
        <f t="shared" si="0"/>
        <v>5.3865345790637849E-2</v>
      </c>
    </row>
    <row r="39" spans="1:12" ht="16" thickBot="1" x14ac:dyDescent="0.25">
      <c r="A39" s="162" t="s">
        <v>2</v>
      </c>
      <c r="B39" s="69">
        <f>SUM(B3:B17,B19:B27,B29:B38)</f>
        <v>-1.1840110332996083E-2</v>
      </c>
      <c r="C39" s="69">
        <f t="shared" ref="C39:K39" si="1">SUM(C3:C17,C19:C27,C29:C38)</f>
        <v>6.851795453574532E-3</v>
      </c>
      <c r="D39" s="69">
        <f t="shared" si="1"/>
        <v>9.2415113986752777E-3</v>
      </c>
      <c r="E39" s="69">
        <f t="shared" si="1"/>
        <v>1.1758073777338968E-2</v>
      </c>
      <c r="F39" s="69">
        <f t="shared" si="1"/>
        <v>1.4488875177794293E-2</v>
      </c>
      <c r="G39" s="69">
        <f t="shared" si="1"/>
        <v>1.7172296293429704E-2</v>
      </c>
      <c r="H39" s="69">
        <f t="shared" si="1"/>
        <v>1.0912640666032539E-2</v>
      </c>
      <c r="I39" s="69">
        <f t="shared" si="1"/>
        <v>4.418871278493882E-3</v>
      </c>
      <c r="J39" s="69">
        <f t="shared" si="1"/>
        <v>-3.1475527690042445E-3</v>
      </c>
      <c r="K39" s="70">
        <f t="shared" si="1"/>
        <v>-4.6975271445113077E-2</v>
      </c>
      <c r="L39" s="70">
        <f>SUM(L3:L17,L19:L27,L29:L38)</f>
        <v>1.2881129498225806E-2</v>
      </c>
    </row>
    <row r="40" spans="1:12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2" x14ac:dyDescent="0.2">
      <c r="F41" s="339" t="s">
        <v>11</v>
      </c>
      <c r="G41" s="340"/>
      <c r="H41" s="39">
        <f>Blackjack!C3*ER!C40</f>
        <v>-4.5096460207975919E-2</v>
      </c>
    </row>
    <row r="42" spans="1:12" ht="16" thickBot="1" x14ac:dyDescent="0.25"/>
    <row r="43" spans="1:12" x14ac:dyDescent="0.2">
      <c r="B43" s="344" t="s">
        <v>16</v>
      </c>
      <c r="C43" s="345"/>
      <c r="D43" s="115">
        <f>SUM(B3:K17)</f>
        <v>-0.11217053664848446</v>
      </c>
      <c r="F43" s="158" t="s">
        <v>29</v>
      </c>
      <c r="G43" s="159"/>
      <c r="H43" s="50">
        <f>H41</f>
        <v>-4.5096460207975919E-2</v>
      </c>
      <c r="J43" s="341">
        <f>SUM(D43:D45)</f>
        <v>1.2881129498225841E-2</v>
      </c>
      <c r="K43" s="112" t="s">
        <v>69</v>
      </c>
      <c r="L43" s="115">
        <f>SUMIF($B$3:$K$17,"&gt;0")+SUMIF($B$19:$K$27,"&gt;0")+ SUMIF($B$29:$K$38,"&gt;0")</f>
        <v>0.18546216804632948</v>
      </c>
    </row>
    <row r="44" spans="1:12" ht="16" thickBot="1" x14ac:dyDescent="0.25">
      <c r="B44" s="346" t="s">
        <v>17</v>
      </c>
      <c r="C44" s="347"/>
      <c r="D44" s="160">
        <f>SUM(B19:K27)</f>
        <v>7.4740339933134586E-2</v>
      </c>
      <c r="F44" s="147" t="s">
        <v>115</v>
      </c>
      <c r="G44" s="148"/>
      <c r="H44" s="50">
        <f>IF(Rules!$B$15=Rules!$E$15,'Three 7 Cards'!$D$2,IF(Rules!$B$15=Rules!$F$15,2*'Three 7 Cards'!$D$2,0))</f>
        <v>0</v>
      </c>
      <c r="J44" s="342"/>
      <c r="K44" s="113" t="s">
        <v>70</v>
      </c>
      <c r="L44" s="116">
        <f>SUMIF($B$3:$K$17,"&lt;0")+SUMIF($B$19:$K$27,"&lt;0")+ SUMIF($B$29:$K$38,"&lt;0")+H41</f>
        <v>-0.2176774987560795</v>
      </c>
    </row>
    <row r="45" spans="1:12" ht="16" thickBot="1" x14ac:dyDescent="0.25">
      <c r="B45" s="348" t="s">
        <v>18</v>
      </c>
      <c r="C45" s="349"/>
      <c r="D45" s="116">
        <f>SUM(B29:K38)</f>
        <v>5.0311326213575716E-2</v>
      </c>
      <c r="F45" s="147" t="s">
        <v>112</v>
      </c>
      <c r="G45" s="148"/>
      <c r="H45" s="50">
        <f>IF(Rules!$B$16=Rules!$E$16,'5 Cards'!$G$122,IF(Rules!$B$16=Rules!$F$16,2*'5 Cards'!$G$122,0))</f>
        <v>0</v>
      </c>
      <c r="J45" s="343"/>
      <c r="K45" s="113" t="s">
        <v>2</v>
      </c>
      <c r="L45" s="116">
        <f>L43+L44</f>
        <v>-3.2215330709750023E-2</v>
      </c>
    </row>
    <row r="46" spans="1:12" ht="16" thickBot="1" x14ac:dyDescent="0.25">
      <c r="F46" s="156" t="s">
        <v>19</v>
      </c>
      <c r="G46" s="157"/>
      <c r="H46" s="51">
        <f>SUM(D43:D45,H43:H45)</f>
        <v>-3.2215330709750079E-2</v>
      </c>
    </row>
    <row r="47" spans="1:12" ht="16" thickBot="1" x14ac:dyDescent="0.25">
      <c r="H47" s="92">
        <f>H46</f>
        <v>-3.2215330709750079E-2</v>
      </c>
    </row>
  </sheetData>
  <sheetProtection sheet="1" objects="1" scenarios="1"/>
  <mergeCells count="6">
    <mergeCell ref="A1:L1"/>
    <mergeCell ref="F41:G41"/>
    <mergeCell ref="J43:J45"/>
    <mergeCell ref="B43:C43"/>
    <mergeCell ref="B44:C44"/>
    <mergeCell ref="B45:C45"/>
  </mergeCells>
  <phoneticPr fontId="16" type="noConversion"/>
  <conditionalFormatting sqref="B29:K40 B19:L27 L29:L39 B3:L17">
    <cfRule type="containsText" dxfId="941" priority="15" operator="containsText" text="R">
      <formula>NOT(ISERROR(SEARCH("R",B3)))</formula>
    </cfRule>
    <cfRule type="containsText" dxfId="940" priority="16" operator="containsText" text="D">
      <formula>NOT(ISERROR(SEARCH("D",B3)))</formula>
    </cfRule>
    <cfRule type="containsText" dxfId="939" priority="17" operator="containsText" text="S">
      <formula>NOT(ISERROR(SEARCH("S",B3)))</formula>
    </cfRule>
    <cfRule type="containsText" dxfId="938" priority="18" operator="containsText" text="H">
      <formula>NOT(ISERROR(SEARCH("H",B3)))</formula>
    </cfRule>
  </conditionalFormatting>
  <conditionalFormatting sqref="B29:K40 B19:L27 L29:L39 B3:L17">
    <cfRule type="containsText" dxfId="937" priority="14" operator="containsText" text="P">
      <formula>NOT(ISERROR(SEARCH("P",B3)))</formula>
    </cfRule>
  </conditionalFormatting>
  <conditionalFormatting sqref="B3:L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7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S48"/>
  <sheetViews>
    <sheetView workbookViewId="0">
      <selection activeCell="P23" sqref="P23"/>
    </sheetView>
  </sheetViews>
  <sheetFormatPr baseColWidth="10" defaultColWidth="8.83203125" defaultRowHeight="15" x14ac:dyDescent="0.2"/>
  <cols>
    <col min="1" max="2" width="8.83203125" style="33"/>
    <col min="3" max="3" width="8.83203125" style="33" customWidth="1"/>
    <col min="4" max="15" width="8.83203125" style="33"/>
    <col min="16" max="16" width="9.6640625" style="33" bestFit="1" customWidth="1"/>
    <col min="17" max="17" width="8.6640625" style="33" bestFit="1" customWidth="1"/>
    <col min="18" max="16384" width="8.83203125" style="33"/>
  </cols>
  <sheetData>
    <row r="1" spans="1:19" ht="16" thickBot="1" x14ac:dyDescent="0.25">
      <c r="A1" s="42" t="s">
        <v>9</v>
      </c>
      <c r="B1" s="43" t="s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4">
        <v>10</v>
      </c>
    </row>
    <row r="2" spans="1:19" ht="16" thickBot="1" x14ac:dyDescent="0.25">
      <c r="A2" s="45">
        <v>5</v>
      </c>
      <c r="B2" s="34">
        <f>IF(EV!B3&lt;0,-Prob!B3,Prob!B3)</f>
        <v>-6.3023003396239633E-4</v>
      </c>
      <c r="C2" s="34">
        <f>IF(EV!C3&lt;0,-Prob!C3,Prob!C3)</f>
        <v>-9.1033227127901696E-4</v>
      </c>
      <c r="D2" s="34">
        <f>IF(EV!D3&lt;0,-Prob!D3,Prob!D3)</f>
        <v>-9.1033227127901696E-4</v>
      </c>
      <c r="E2" s="34">
        <f>IF(EV!E3&lt;0,-Prob!E3,Prob!E3)</f>
        <v>-9.1033227127901696E-4</v>
      </c>
      <c r="F2" s="34">
        <f>IF(EV!F3&lt;0,-Prob!F3,Prob!F3)</f>
        <v>-9.1033227127901696E-4</v>
      </c>
      <c r="G2" s="34">
        <f>IF(EV!G3&lt;0,-Prob!G3,Prob!G3)</f>
        <v>-9.1033227127901696E-4</v>
      </c>
      <c r="H2" s="34">
        <f>IF(EV!H3&lt;0,-Prob!H3,Prob!H3)</f>
        <v>-9.1033227127901696E-4</v>
      </c>
      <c r="I2" s="34">
        <f>IF(EV!I3&lt;0,-Prob!I3,Prob!I3)</f>
        <v>-9.1033227127901696E-4</v>
      </c>
      <c r="J2" s="34">
        <f>IF(EV!J3&lt;0,-Prob!J3,Prob!J3)</f>
        <v>-9.1033227127901696E-4</v>
      </c>
      <c r="K2" s="34">
        <f>IF(EV!K3&lt;0,-Prob!K3,Prob!K3)</f>
        <v>-3.3612268477994475E-3</v>
      </c>
      <c r="M2" s="354" t="s">
        <v>185</v>
      </c>
      <c r="N2" s="355"/>
      <c r="O2" s="355"/>
      <c r="P2" s="355"/>
      <c r="Q2" s="355"/>
      <c r="R2" s="356"/>
    </row>
    <row r="3" spans="1:19" ht="16" customHeight="1" thickBot="1" x14ac:dyDescent="0.25">
      <c r="A3" s="45">
        <v>6</v>
      </c>
      <c r="B3" s="34">
        <f>IF(EV!B4&lt;0,-Prob!B4,Prob!B4)</f>
        <v>-6.3023003396239633E-4</v>
      </c>
      <c r="C3" s="34">
        <f>IF(EV!C4&lt;0,-Prob!C4,Prob!C4)</f>
        <v>-9.1033227127901696E-4</v>
      </c>
      <c r="D3" s="34">
        <f>IF(EV!D4&lt;0,-Prob!D4,Prob!D4)</f>
        <v>-9.1033227127901696E-4</v>
      </c>
      <c r="E3" s="34">
        <f>IF(EV!E4&lt;0,-Prob!E4,Prob!E4)</f>
        <v>-9.1033227127901696E-4</v>
      </c>
      <c r="F3" s="34">
        <f>IF(EV!F4&lt;0,-Prob!F4,Prob!F4)</f>
        <v>-9.1033227127901696E-4</v>
      </c>
      <c r="G3" s="34">
        <f>IF(EV!G4&lt;0,-Prob!G4,Prob!G4)</f>
        <v>-9.1033227127901696E-4</v>
      </c>
      <c r="H3" s="34">
        <f>IF(EV!H4&lt;0,-Prob!H4,Prob!H4)</f>
        <v>-9.1033227127901696E-4</v>
      </c>
      <c r="I3" s="34">
        <f>IF(EV!I4&lt;0,-Prob!I4,Prob!I4)</f>
        <v>-9.1033227127901696E-4</v>
      </c>
      <c r="J3" s="34">
        <f>IF(EV!J4&lt;0,-Prob!J4,Prob!J4)</f>
        <v>-9.1033227127901696E-4</v>
      </c>
      <c r="K3" s="34">
        <f>IF(EV!K4&lt;0,-Prob!K4,Prob!K4)</f>
        <v>-3.3612268477994475E-3</v>
      </c>
      <c r="M3" s="360"/>
      <c r="N3" s="361"/>
      <c r="O3" s="228" t="s">
        <v>8</v>
      </c>
      <c r="P3" s="229" t="s">
        <v>37</v>
      </c>
      <c r="Q3" s="229" t="s">
        <v>36</v>
      </c>
      <c r="R3" s="230" t="s">
        <v>38</v>
      </c>
    </row>
    <row r="4" spans="1:19" x14ac:dyDescent="0.2">
      <c r="A4" s="45">
        <v>7</v>
      </c>
      <c r="B4" s="34">
        <f>IF(EV!B5&lt;0,-Prob!B5,Prob!B5)</f>
        <v>-1.2604600679247927E-3</v>
      </c>
      <c r="C4" s="34">
        <f>IF(EV!C5&lt;0,-Prob!C5,Prob!C5)</f>
        <v>-1.8206645425580339E-3</v>
      </c>
      <c r="D4" s="34">
        <f>IF(EV!D5&lt;0,-Prob!D5,Prob!D5)</f>
        <v>-1.8206645425580339E-3</v>
      </c>
      <c r="E4" s="34">
        <f>IF(EV!E5&lt;0,-Prob!E5,Prob!E5)</f>
        <v>-1.8206645425580339E-3</v>
      </c>
      <c r="F4" s="34">
        <f>IF(EV!F5&lt;0,-Prob!F5,Prob!F5)</f>
        <v>-1.8206645425580339E-3</v>
      </c>
      <c r="G4" s="34">
        <f>IF(EV!G5&lt;0,-Prob!G5,Prob!G5)</f>
        <v>1.8206645425580339E-3</v>
      </c>
      <c r="H4" s="34">
        <f>IF(EV!H5&lt;0,-Prob!H5,Prob!H5)</f>
        <v>-1.8206645425580339E-3</v>
      </c>
      <c r="I4" s="34">
        <f>IF(EV!I5&lt;0,-Prob!I5,Prob!I5)</f>
        <v>-1.8206645425580339E-3</v>
      </c>
      <c r="J4" s="34">
        <f>IF(EV!J5&lt;0,-Prob!J5,Prob!J5)</f>
        <v>-1.8206645425580339E-3</v>
      </c>
      <c r="K4" s="34">
        <f>IF(EV!K5&lt;0,-Prob!K5,Prob!K5)</f>
        <v>-6.7224536955988951E-3</v>
      </c>
      <c r="M4" s="362" t="s">
        <v>35</v>
      </c>
      <c r="N4" s="363"/>
      <c r="O4" s="231">
        <f>-(SUMIF(B2:K16,"&lt;0")+SUMIF(B18:K26,"&lt;0")+SUMIF(B28:K37,"&lt;0")+C46)</f>
        <v>0.64167921291271257</v>
      </c>
      <c r="P4" s="232">
        <f>O4</f>
        <v>0.64167921291271257</v>
      </c>
      <c r="Q4" s="233">
        <f>O4</f>
        <v>0.64167921291271257</v>
      </c>
      <c r="R4" s="234">
        <f>ROUND(Q4*10,0)</f>
        <v>6</v>
      </c>
    </row>
    <row r="5" spans="1:19" ht="16" thickBot="1" x14ac:dyDescent="0.25">
      <c r="A5" s="45">
        <v>8</v>
      </c>
      <c r="B5" s="34">
        <f>IF(EV!B6&lt;0,-Prob!B6,Prob!B6)</f>
        <v>-1.2604600679247927E-3</v>
      </c>
      <c r="C5" s="34">
        <f>IF(EV!C6&lt;0,-Prob!C6,Prob!C6)</f>
        <v>-1.8206645425580339E-3</v>
      </c>
      <c r="D5" s="34">
        <f>IF(EV!D6&lt;0,-Prob!D6,Prob!D6)</f>
        <v>1.8206645425580339E-3</v>
      </c>
      <c r="E5" s="34">
        <f>IF(EV!E6&lt;0,-Prob!E6,Prob!E6)</f>
        <v>1.8206645425580339E-3</v>
      </c>
      <c r="F5" s="34">
        <f>IF(EV!F6&lt;0,-Prob!F6,Prob!F6)</f>
        <v>1.8206645425580339E-3</v>
      </c>
      <c r="G5" s="34">
        <f>IF(EV!G6&lt;0,-Prob!G6,Prob!G6)</f>
        <v>1.8206645425580339E-3</v>
      </c>
      <c r="H5" s="34">
        <f>IF(EV!H6&lt;0,-Prob!H6,Prob!H6)</f>
        <v>1.8206645425580339E-3</v>
      </c>
      <c r="I5" s="34">
        <f>IF(EV!I6&lt;0,-Prob!I6,Prob!I6)</f>
        <v>-1.8206645425580339E-3</v>
      </c>
      <c r="J5" s="34">
        <f>IF(EV!J6&lt;0,-Prob!J6,Prob!J6)</f>
        <v>-1.8206645425580339E-3</v>
      </c>
      <c r="K5" s="34">
        <f>IF(EV!K6&lt;0,-Prob!K6,Prob!K6)</f>
        <v>-6.7224536955988951E-3</v>
      </c>
      <c r="M5" s="364" t="s">
        <v>34</v>
      </c>
      <c r="N5" s="365"/>
      <c r="O5" s="235">
        <f>SUMIF(B2:K16,"&gt;0")+SUMIF(B18:K26,"&gt;0")+SUMIF(B28:K37,"&gt;0")</f>
        <v>0.35832078708728698</v>
      </c>
      <c r="P5" s="236">
        <f>O5</f>
        <v>0.35832078708728698</v>
      </c>
      <c r="Q5" s="237">
        <f>O5</f>
        <v>0.35832078708728698</v>
      </c>
      <c r="R5" s="238">
        <f>ROUND(Q5*10,0)</f>
        <v>4</v>
      </c>
    </row>
    <row r="6" spans="1:19" ht="16" thickBot="1" x14ac:dyDescent="0.25">
      <c r="A6" s="45">
        <v>9</v>
      </c>
      <c r="B6" s="34">
        <f>IF(EV!B7&lt;0,-Prob!B7,Prob!B7)</f>
        <v>-1.890690101887189E-3</v>
      </c>
      <c r="C6" s="34">
        <f>IF(EV!C7&lt;0,-Prob!C7,Prob!C7)</f>
        <v>2.730996813837051E-3</v>
      </c>
      <c r="D6" s="34">
        <f>IF(EV!D7&lt;0,-Prob!D7,Prob!D7)</f>
        <v>2.730996813837051E-3</v>
      </c>
      <c r="E6" s="34">
        <f>IF(EV!E7&lt;0,-Prob!E7,Prob!E7)</f>
        <v>2.730996813837051E-3</v>
      </c>
      <c r="F6" s="34">
        <f>IF(EV!F7&lt;0,-Prob!F7,Prob!F7)</f>
        <v>2.730996813837051E-3</v>
      </c>
      <c r="G6" s="34">
        <f>IF(EV!G7&lt;0,-Prob!G7,Prob!G7)</f>
        <v>2.730996813837051E-3</v>
      </c>
      <c r="H6" s="34">
        <f>IF(EV!H7&lt;0,-Prob!H7,Prob!H7)</f>
        <v>2.730996813837051E-3</v>
      </c>
      <c r="I6" s="34">
        <f>IF(EV!I7&lt;0,-Prob!I7,Prob!I7)</f>
        <v>2.730996813837051E-3</v>
      </c>
      <c r="J6" s="34">
        <f>IF(EV!J7&lt;0,-Prob!J7,Prob!J7)</f>
        <v>-2.730996813837051E-3</v>
      </c>
      <c r="K6" s="34">
        <f>IF(EV!K7&lt;0,-Prob!K7,Prob!K7)</f>
        <v>-1.0083680543398343E-2</v>
      </c>
      <c r="M6" s="350" t="s">
        <v>2</v>
      </c>
      <c r="N6" s="351"/>
      <c r="O6" s="239">
        <f>SUM(O4:O5)</f>
        <v>0.99999999999999956</v>
      </c>
      <c r="P6" s="240">
        <f>O6</f>
        <v>0.99999999999999956</v>
      </c>
      <c r="Q6" s="241">
        <f>O6</f>
        <v>0.99999999999999956</v>
      </c>
      <c r="R6" s="242">
        <f>ROUND(Q6*10,0)</f>
        <v>10</v>
      </c>
    </row>
    <row r="7" spans="1:19" ht="16" thickBot="1" x14ac:dyDescent="0.25">
      <c r="A7" s="45">
        <v>10</v>
      </c>
      <c r="B7" s="34">
        <f>IF(EV!B8&lt;0,-Prob!B8,Prob!B8)</f>
        <v>-1.890690101887189E-3</v>
      </c>
      <c r="C7" s="34">
        <f>IF(EV!C8&lt;0,-Prob!C8,Prob!C8)</f>
        <v>2.730996813837051E-3</v>
      </c>
      <c r="D7" s="34">
        <f>IF(EV!D8&lt;0,-Prob!D8,Prob!D8)</f>
        <v>2.730996813837051E-3</v>
      </c>
      <c r="E7" s="34">
        <f>IF(EV!E8&lt;0,-Prob!E8,Prob!E8)</f>
        <v>2.730996813837051E-3</v>
      </c>
      <c r="F7" s="34">
        <f>IF(EV!F8&lt;0,-Prob!F8,Prob!F8)</f>
        <v>2.730996813837051E-3</v>
      </c>
      <c r="G7" s="34">
        <f>IF(EV!G8&lt;0,-Prob!G8,Prob!G8)</f>
        <v>2.730996813837051E-3</v>
      </c>
      <c r="H7" s="34">
        <f>IF(EV!H8&lt;0,-Prob!H8,Prob!H8)</f>
        <v>2.730996813837051E-3</v>
      </c>
      <c r="I7" s="34">
        <f>IF(EV!I8&lt;0,-Prob!I8,Prob!I8)</f>
        <v>2.730996813837051E-3</v>
      </c>
      <c r="J7" s="34">
        <f>IF(EV!J8&lt;0,-Prob!J8,Prob!J8)</f>
        <v>2.730996813837051E-3</v>
      </c>
      <c r="K7" s="34">
        <f>IF(EV!K8&lt;0,-Prob!K8,Prob!K8)</f>
        <v>-1.0083680543398343E-2</v>
      </c>
      <c r="M7" s="352" t="s">
        <v>39</v>
      </c>
      <c r="N7" s="353"/>
      <c r="O7" s="243">
        <f>O5-O4</f>
        <v>-0.28335842582542559</v>
      </c>
      <c r="P7" s="244">
        <f>P5-P4</f>
        <v>-0.28335842582542559</v>
      </c>
      <c r="Q7" s="245"/>
      <c r="R7" s="246"/>
    </row>
    <row r="8" spans="1:19" x14ac:dyDescent="0.2">
      <c r="A8" s="45">
        <v>11</v>
      </c>
      <c r="B8" s="34">
        <f>IF(EV!B9&lt;0,-Prob!B9,Prob!B9)</f>
        <v>-2.5209201358495858E-3</v>
      </c>
      <c r="C8" s="34">
        <f>IF(EV!C9&lt;0,-Prob!C9,Prob!C9)</f>
        <v>3.6413290851160683E-3</v>
      </c>
      <c r="D8" s="34">
        <f>IF(EV!D9&lt;0,-Prob!D9,Prob!D9)</f>
        <v>3.6413290851160683E-3</v>
      </c>
      <c r="E8" s="34">
        <f>IF(EV!E9&lt;0,-Prob!E9,Prob!E9)</f>
        <v>3.6413290851160683E-3</v>
      </c>
      <c r="F8" s="34">
        <f>IF(EV!F9&lt;0,-Prob!F9,Prob!F9)</f>
        <v>3.6413290851160683E-3</v>
      </c>
      <c r="G8" s="34">
        <f>IF(EV!G9&lt;0,-Prob!G9,Prob!G9)</f>
        <v>3.6413290851160683E-3</v>
      </c>
      <c r="H8" s="34">
        <f>IF(EV!H9&lt;0,-Prob!H9,Prob!H9)</f>
        <v>3.6413290851160683E-3</v>
      </c>
      <c r="I8" s="34">
        <f>IF(EV!I9&lt;0,-Prob!I9,Prob!I9)</f>
        <v>3.6413290851160683E-3</v>
      </c>
      <c r="J8" s="34">
        <f>IF(EV!J9&lt;0,-Prob!J9,Prob!J9)</f>
        <v>3.6413290851160683E-3</v>
      </c>
      <c r="K8" s="34">
        <f>IF(EV!K9&lt;0,-Prob!K9,Prob!K9)</f>
        <v>1.3444907391197792E-2</v>
      </c>
    </row>
    <row r="9" spans="1:19" x14ac:dyDescent="0.2">
      <c r="A9" s="45">
        <v>12</v>
      </c>
      <c r="B9" s="34">
        <f>IF(EV!B10&lt;0,-Prob!B10,Prob!B10)</f>
        <v>-4.4116102377367745E-3</v>
      </c>
      <c r="C9" s="34">
        <f>IF(EV!C10&lt;0,-Prob!C10,Prob!C10)</f>
        <v>-6.3723258989531193E-3</v>
      </c>
      <c r="D9" s="34">
        <f>IF(EV!D10&lt;0,-Prob!D10,Prob!D10)</f>
        <v>-6.3723258989531193E-3</v>
      </c>
      <c r="E9" s="34">
        <f>IF(EV!E10&lt;0,-Prob!E10,Prob!E10)</f>
        <v>-6.3723258989531193E-3</v>
      </c>
      <c r="F9" s="34">
        <f>IF(EV!F10&lt;0,-Prob!F10,Prob!F10)</f>
        <v>-6.3723258989531193E-3</v>
      </c>
      <c r="G9" s="34">
        <f>IF(EV!G10&lt;0,-Prob!G10,Prob!G10)</f>
        <v>-6.3723258989531193E-3</v>
      </c>
      <c r="H9" s="34">
        <f>IF(EV!H10&lt;0,-Prob!H10,Prob!H10)</f>
        <v>-6.3723258989531193E-3</v>
      </c>
      <c r="I9" s="34">
        <f>IF(EV!I10&lt;0,-Prob!I10,Prob!I10)</f>
        <v>-6.3723258989531193E-3</v>
      </c>
      <c r="J9" s="34">
        <f>IF(EV!J10&lt;0,-Prob!J10,Prob!J10)</f>
        <v>-6.3723258989531193E-3</v>
      </c>
      <c r="K9" s="34">
        <f>IF(EV!K10&lt;0,-Prob!K10,Prob!K10)</f>
        <v>-2.3528587934596133E-2</v>
      </c>
    </row>
    <row r="10" spans="1:19" x14ac:dyDescent="0.2">
      <c r="A10" s="45">
        <v>13</v>
      </c>
      <c r="B10" s="34">
        <f>IF(EV!B11&lt;0,-Prob!B11,Prob!B11)</f>
        <v>-4.4116102377367745E-3</v>
      </c>
      <c r="C10" s="34">
        <f>IF(EV!C11&lt;0,-Prob!C11,Prob!C11)</f>
        <v>-6.3723258989531193E-3</v>
      </c>
      <c r="D10" s="34">
        <f>IF(EV!D11&lt;0,-Prob!D11,Prob!D11)</f>
        <v>-6.3723258989531193E-3</v>
      </c>
      <c r="E10" s="34">
        <f>IF(EV!E11&lt;0,-Prob!E11,Prob!E11)</f>
        <v>-6.3723258989531193E-3</v>
      </c>
      <c r="F10" s="34">
        <f>IF(EV!F11&lt;0,-Prob!F11,Prob!F11)</f>
        <v>-6.3723258989531193E-3</v>
      </c>
      <c r="G10" s="34">
        <f>IF(EV!G11&lt;0,-Prob!G11,Prob!G11)</f>
        <v>-6.3723258989531193E-3</v>
      </c>
      <c r="H10" s="34">
        <f>IF(EV!H11&lt;0,-Prob!H11,Prob!H11)</f>
        <v>-6.3723258989531193E-3</v>
      </c>
      <c r="I10" s="34">
        <f>IF(EV!I11&lt;0,-Prob!I11,Prob!I11)</f>
        <v>-6.3723258989531193E-3</v>
      </c>
      <c r="J10" s="34">
        <f>IF(EV!J11&lt;0,-Prob!J11,Prob!J11)</f>
        <v>-6.3723258989531193E-3</v>
      </c>
      <c r="K10" s="34">
        <f>IF(EV!K11&lt;0,-Prob!K11,Prob!K11)</f>
        <v>-2.3528587934596133E-2</v>
      </c>
    </row>
    <row r="11" spans="1:19" ht="16" thickBot="1" x14ac:dyDescent="0.25">
      <c r="A11" s="45">
        <v>14</v>
      </c>
      <c r="B11" s="34">
        <f>IF(EV!B12&lt;0,-Prob!B12,Prob!B12)</f>
        <v>-3.781380203774378E-3</v>
      </c>
      <c r="C11" s="34">
        <f>IF(EV!C12&lt;0,-Prob!C12,Prob!C12)</f>
        <v>-5.461993627674102E-3</v>
      </c>
      <c r="D11" s="34">
        <f>IF(EV!D12&lt;0,-Prob!D12,Prob!D12)</f>
        <v>-5.461993627674102E-3</v>
      </c>
      <c r="E11" s="34">
        <f>IF(EV!E12&lt;0,-Prob!E12,Prob!E12)</f>
        <v>-5.461993627674102E-3</v>
      </c>
      <c r="F11" s="34">
        <f>IF(EV!F12&lt;0,-Prob!F12,Prob!F12)</f>
        <v>-5.461993627674102E-3</v>
      </c>
      <c r="G11" s="34">
        <f>IF(EV!G12&lt;0,-Prob!G12,Prob!G12)</f>
        <v>-5.461993627674102E-3</v>
      </c>
      <c r="H11" s="34">
        <f>IF(EV!H12&lt;0,-Prob!H12,Prob!H12)</f>
        <v>-5.461993627674102E-3</v>
      </c>
      <c r="I11" s="34">
        <f>IF(EV!I12&lt;0,-Prob!I12,Prob!I12)</f>
        <v>-5.461993627674102E-3</v>
      </c>
      <c r="J11" s="34">
        <f>IF(EV!J12&lt;0,-Prob!J12,Prob!J12)</f>
        <v>-5.461993627674102E-3</v>
      </c>
      <c r="K11" s="34">
        <f>IF(EV!K12&lt;0,-Prob!K12,Prob!K12)</f>
        <v>-2.0167361086796686E-2</v>
      </c>
    </row>
    <row r="12" spans="1:19" ht="16.5" customHeight="1" thickBot="1" x14ac:dyDescent="0.25">
      <c r="A12" s="45">
        <v>15</v>
      </c>
      <c r="B12" s="34">
        <f>IF(EV!B13&lt;0,-Prob!B13,Prob!B13)</f>
        <v>-3.781380203774378E-3</v>
      </c>
      <c r="C12" s="34">
        <f>IF(EV!C13&lt;0,-Prob!C13,Prob!C13)</f>
        <v>-5.461993627674102E-3</v>
      </c>
      <c r="D12" s="34">
        <f>IF(EV!D13&lt;0,-Prob!D13,Prob!D13)</f>
        <v>-5.461993627674102E-3</v>
      </c>
      <c r="E12" s="34">
        <f>IF(EV!E13&lt;0,-Prob!E13,Prob!E13)</f>
        <v>-5.461993627674102E-3</v>
      </c>
      <c r="F12" s="34">
        <f>IF(EV!F13&lt;0,-Prob!F13,Prob!F13)</f>
        <v>-5.461993627674102E-3</v>
      </c>
      <c r="G12" s="34">
        <f>IF(EV!G13&lt;0,-Prob!G13,Prob!G13)</f>
        <v>-5.461993627674102E-3</v>
      </c>
      <c r="H12" s="34">
        <f>IF(EV!H13&lt;0,-Prob!H13,Prob!H13)</f>
        <v>-5.461993627674102E-3</v>
      </c>
      <c r="I12" s="34">
        <f>IF(EV!I13&lt;0,-Prob!I13,Prob!I13)</f>
        <v>-5.461993627674102E-3</v>
      </c>
      <c r="J12" s="34">
        <f>IF(EV!J13&lt;0,-Prob!J13,Prob!J13)</f>
        <v>-5.461993627674102E-3</v>
      </c>
      <c r="K12" s="34">
        <f>IF(EV!K13&lt;0,-Prob!K13,Prob!K13)</f>
        <v>-2.0167361086796686E-2</v>
      </c>
      <c r="M12" s="357" t="s">
        <v>181</v>
      </c>
      <c r="N12" s="358"/>
      <c r="O12" s="358"/>
      <c r="P12" s="358"/>
      <c r="Q12" s="358"/>
      <c r="R12" s="358"/>
      <c r="S12" s="359"/>
    </row>
    <row r="13" spans="1:19" ht="16" thickBot="1" x14ac:dyDescent="0.25">
      <c r="A13" s="45">
        <v>16</v>
      </c>
      <c r="B13" s="34">
        <f>IF(EV!B14&lt;0,-Prob!B14,Prob!B14)</f>
        <v>-3.1511501698119814E-3</v>
      </c>
      <c r="C13" s="34">
        <f>IF(EV!C14&lt;0,-Prob!C14,Prob!C14)</f>
        <v>-4.5516613563950847E-3</v>
      </c>
      <c r="D13" s="34">
        <f>IF(EV!D14&lt;0,-Prob!D14,Prob!D14)</f>
        <v>-4.5516613563950847E-3</v>
      </c>
      <c r="E13" s="34">
        <f>IF(EV!E14&lt;0,-Prob!E14,Prob!E14)</f>
        <v>-4.5516613563950847E-3</v>
      </c>
      <c r="F13" s="34">
        <f>IF(EV!F14&lt;0,-Prob!F14,Prob!F14)</f>
        <v>-4.5516613563950847E-3</v>
      </c>
      <c r="G13" s="34">
        <f>IF(EV!G14&lt;0,-Prob!G14,Prob!G14)</f>
        <v>-4.5516613563950847E-3</v>
      </c>
      <c r="H13" s="34">
        <f>IF(EV!H14&lt;0,-Prob!H14,Prob!H14)</f>
        <v>-4.5516613563950847E-3</v>
      </c>
      <c r="I13" s="34">
        <f>IF(EV!I14&lt;0,-Prob!I14,Prob!I14)</f>
        <v>-4.5516613563950847E-3</v>
      </c>
      <c r="J13" s="34">
        <f>IF(EV!J14&lt;0,-Prob!J14,Prob!J14)</f>
        <v>-4.5516613563950847E-3</v>
      </c>
      <c r="K13" s="34">
        <f>IF(EV!K14&lt;0,-Prob!K14,Prob!K14)</f>
        <v>-1.6806134238997236E-2</v>
      </c>
      <c r="M13" s="272" t="s">
        <v>19</v>
      </c>
      <c r="N13" s="200">
        <f>P13+R13</f>
        <v>-3.2215330709750023E-2</v>
      </c>
      <c r="O13" s="268" t="s">
        <v>46</v>
      </c>
      <c r="P13" s="273">
        <f>EV!L43</f>
        <v>0.18546216804632948</v>
      </c>
      <c r="Q13" s="268" t="s">
        <v>182</v>
      </c>
      <c r="R13" s="200">
        <f>EV!L44</f>
        <v>-0.2176774987560795</v>
      </c>
      <c r="S13" s="216"/>
    </row>
    <row r="14" spans="1:19" ht="16" thickBot="1" x14ac:dyDescent="0.25">
      <c r="A14" s="45">
        <v>17</v>
      </c>
      <c r="B14" s="34">
        <f>IF(EV!B15&lt;0,-Prob!B15,Prob!B15)</f>
        <v>-3.1511501698119814E-3</v>
      </c>
      <c r="C14" s="34">
        <f>IF(EV!C15&lt;0,-Prob!C15,Prob!C15)</f>
        <v>-4.5516613563950847E-3</v>
      </c>
      <c r="D14" s="34">
        <f>IF(EV!D15&lt;0,-Prob!D15,Prob!D15)</f>
        <v>-4.5516613563950847E-3</v>
      </c>
      <c r="E14" s="34">
        <f>IF(EV!E15&lt;0,-Prob!E15,Prob!E15)</f>
        <v>-4.5516613563950847E-3</v>
      </c>
      <c r="F14" s="34">
        <f>IF(EV!F15&lt;0,-Prob!F15,Prob!F15)</f>
        <v>-4.5516613563950847E-3</v>
      </c>
      <c r="G14" s="34">
        <f>IF(EV!G15&lt;0,-Prob!G15,Prob!G15)</f>
        <v>4.5516613563950847E-3</v>
      </c>
      <c r="H14" s="34">
        <f>IF(EV!H15&lt;0,-Prob!H15,Prob!H15)</f>
        <v>-4.5516613563950847E-3</v>
      </c>
      <c r="I14" s="34">
        <f>IF(EV!I15&lt;0,-Prob!I15,Prob!I15)</f>
        <v>-4.5516613563950847E-3</v>
      </c>
      <c r="J14" s="34">
        <f>IF(EV!J15&lt;0,-Prob!J15,Prob!J15)</f>
        <v>-4.5516613563950847E-3</v>
      </c>
      <c r="K14" s="34">
        <f>IF(EV!K15&lt;0,-Prob!K15,Prob!K15)</f>
        <v>-1.6806134238997236E-2</v>
      </c>
      <c r="M14" s="198"/>
      <c r="N14" s="201"/>
      <c r="O14" s="270" t="s">
        <v>47</v>
      </c>
      <c r="P14" s="196">
        <f>ER!N3</f>
        <v>58.639357099169686</v>
      </c>
      <c r="Q14" s="270" t="s">
        <v>155</v>
      </c>
      <c r="R14" s="197">
        <f>ER!N4</f>
        <v>-42.077013244733351</v>
      </c>
      <c r="S14" s="271" t="s">
        <v>2</v>
      </c>
    </row>
    <row r="15" spans="1:19" ht="16" thickBot="1" x14ac:dyDescent="0.25">
      <c r="A15" s="45">
        <v>18</v>
      </c>
      <c r="B15" s="34">
        <f>IF(EV!B16&lt;0,-Prob!B16,Prob!B16)</f>
        <v>-2.5209201358495853E-3</v>
      </c>
      <c r="C15" s="34">
        <f>IF(EV!C16&lt;0,-Prob!C16,Prob!C16)</f>
        <v>3.6413290851160678E-3</v>
      </c>
      <c r="D15" s="34">
        <f>IF(EV!D16&lt;0,-Prob!D16,Prob!D16)</f>
        <v>3.6413290851160678E-3</v>
      </c>
      <c r="E15" s="34">
        <f>IF(EV!E16&lt;0,-Prob!E16,Prob!E16)</f>
        <v>3.6413290851160678E-3</v>
      </c>
      <c r="F15" s="34">
        <f>IF(EV!F16&lt;0,-Prob!F16,Prob!F16)</f>
        <v>3.6413290851160678E-3</v>
      </c>
      <c r="G15" s="34">
        <f>IF(EV!G16&lt;0,-Prob!G16,Prob!G16)</f>
        <v>3.6413290851160678E-3</v>
      </c>
      <c r="H15" s="34">
        <f>IF(EV!H16&lt;0,-Prob!H16,Prob!H16)</f>
        <v>3.6413290851160678E-3</v>
      </c>
      <c r="I15" s="34">
        <f>IF(EV!I16&lt;0,-Prob!I16,Prob!I16)</f>
        <v>3.6413290851160678E-3</v>
      </c>
      <c r="J15" s="34">
        <f>IF(EV!J16&lt;0,-Prob!J16,Prob!J16)</f>
        <v>-3.6413290851160678E-3</v>
      </c>
      <c r="K15" s="34">
        <f>IF(EV!K16&lt;0,-Prob!K16,Prob!K16)</f>
        <v>-1.344490739119779E-2</v>
      </c>
      <c r="M15" s="193"/>
      <c r="N15" s="202"/>
      <c r="O15" s="269" t="s">
        <v>41</v>
      </c>
      <c r="P15" s="266">
        <f>(N13-R14)/(P14-R14)</f>
        <v>0.41745743785701095</v>
      </c>
      <c r="Q15" s="269" t="s">
        <v>42</v>
      </c>
      <c r="R15" s="264">
        <f>(N13-P14)/(R14-P14)</f>
        <v>0.58254256214298905</v>
      </c>
      <c r="S15" s="221">
        <f>P15+R15</f>
        <v>1</v>
      </c>
    </row>
    <row r="16" spans="1:19" ht="16" thickBot="1" x14ac:dyDescent="0.25">
      <c r="A16" s="45">
        <v>19</v>
      </c>
      <c r="B16" s="34">
        <f>IF(EV!B17&lt;0,-Prob!B17,Prob!B17)</f>
        <v>-2.5209201358495853E-3</v>
      </c>
      <c r="C16" s="34">
        <f>IF(EV!C17&lt;0,-Prob!C17,Prob!C17)</f>
        <v>3.6413290851160678E-3</v>
      </c>
      <c r="D16" s="34">
        <f>IF(EV!D17&lt;0,-Prob!D17,Prob!D17)</f>
        <v>3.6413290851160678E-3</v>
      </c>
      <c r="E16" s="34">
        <f>IF(EV!E17&lt;0,-Prob!E17,Prob!E17)</f>
        <v>3.6413290851160678E-3</v>
      </c>
      <c r="F16" s="34">
        <f>IF(EV!F17&lt;0,-Prob!F17,Prob!F17)</f>
        <v>3.6413290851160678E-3</v>
      </c>
      <c r="G16" s="34">
        <f>IF(EV!G17&lt;0,-Prob!G17,Prob!G17)</f>
        <v>3.6413290851160678E-3</v>
      </c>
      <c r="H16" s="34">
        <f>IF(EV!H17&lt;0,-Prob!H17,Prob!H17)</f>
        <v>3.6413290851160678E-3</v>
      </c>
      <c r="I16" s="34">
        <f>IF(EV!I17&lt;0,-Prob!I17,Prob!I17)</f>
        <v>3.6413290851160678E-3</v>
      </c>
      <c r="J16" s="34">
        <f>IF(EV!J17&lt;0,-Prob!J17,Prob!J17)</f>
        <v>3.6413290851160678E-3</v>
      </c>
      <c r="K16" s="34">
        <f>IF(EV!K17&lt;0,-Prob!K17,Prob!K17)</f>
        <v>-1.344490739119779E-2</v>
      </c>
      <c r="M16" s="194"/>
      <c r="N16" s="203"/>
      <c r="O16" s="268" t="s">
        <v>41</v>
      </c>
      <c r="P16" s="267">
        <f>P15</f>
        <v>0.41745743785701095</v>
      </c>
      <c r="Q16" s="268" t="s">
        <v>42</v>
      </c>
      <c r="R16" s="265">
        <f>R15</f>
        <v>0.58254256214298905</v>
      </c>
      <c r="S16" s="222">
        <f>P16+R16</f>
        <v>1</v>
      </c>
    </row>
    <row r="17" spans="1:11" x14ac:dyDescent="0.2">
      <c r="A17" s="45" t="s">
        <v>4</v>
      </c>
      <c r="B17" s="32" t="s">
        <v>1</v>
      </c>
      <c r="C17" s="35">
        <v>2</v>
      </c>
      <c r="D17" s="35">
        <v>3</v>
      </c>
      <c r="E17" s="35">
        <v>4</v>
      </c>
      <c r="F17" s="35">
        <v>5</v>
      </c>
      <c r="G17" s="35">
        <v>6</v>
      </c>
      <c r="H17" s="35">
        <v>7</v>
      </c>
      <c r="I17" s="35">
        <v>8</v>
      </c>
      <c r="J17" s="35">
        <v>9</v>
      </c>
      <c r="K17" s="47">
        <v>10</v>
      </c>
    </row>
    <row r="18" spans="1:11" x14ac:dyDescent="0.2">
      <c r="A18" s="45">
        <v>13</v>
      </c>
      <c r="B18" s="34">
        <f>IF(EV!B19&lt;0,-Prob!B19,Prob!B19)</f>
        <v>-6.3023003396239633E-4</v>
      </c>
      <c r="C18" s="34">
        <f>IF(EV!C19&lt;0,-Prob!C19,Prob!C19)</f>
        <v>9.1033227127901696E-4</v>
      </c>
      <c r="D18" s="34">
        <f>IF(EV!D19&lt;0,-Prob!D19,Prob!D19)</f>
        <v>9.1033227127901696E-4</v>
      </c>
      <c r="E18" s="34">
        <f>IF(EV!E19&lt;0,-Prob!E19,Prob!E19)</f>
        <v>9.1033227127901696E-4</v>
      </c>
      <c r="F18" s="34">
        <f>IF(EV!F19&lt;0,-Prob!F19,Prob!F19)</f>
        <v>9.1033227127901696E-4</v>
      </c>
      <c r="G18" s="34">
        <f>IF(EV!G19&lt;0,-Prob!G19,Prob!G19)</f>
        <v>9.1033227127901696E-4</v>
      </c>
      <c r="H18" s="34">
        <f>IF(EV!H19&lt;0,-Prob!H19,Prob!H19)</f>
        <v>9.1033227127901696E-4</v>
      </c>
      <c r="I18" s="34">
        <f>IF(EV!I19&lt;0,-Prob!I19,Prob!I19)</f>
        <v>9.1033227127901696E-4</v>
      </c>
      <c r="J18" s="34">
        <f>IF(EV!J19&lt;0,-Prob!J19,Prob!J19)</f>
        <v>-9.1033227127901696E-4</v>
      </c>
      <c r="K18" s="34">
        <f>IF(EV!K19&lt;0,-Prob!K19,Prob!K19)</f>
        <v>-3.3612268477994475E-3</v>
      </c>
    </row>
    <row r="19" spans="1:11" x14ac:dyDescent="0.2">
      <c r="A19" s="45">
        <v>14</v>
      </c>
      <c r="B19" s="34">
        <f>IF(EV!B20&lt;0,-Prob!B20,Prob!B20)</f>
        <v>-6.3023003396239633E-4</v>
      </c>
      <c r="C19" s="34">
        <f>IF(EV!C20&lt;0,-Prob!C20,Prob!C20)</f>
        <v>9.1033227127901696E-4</v>
      </c>
      <c r="D19" s="34">
        <f>IF(EV!D20&lt;0,-Prob!D20,Prob!D20)</f>
        <v>9.1033227127901696E-4</v>
      </c>
      <c r="E19" s="34">
        <f>IF(EV!E20&lt;0,-Prob!E20,Prob!E20)</f>
        <v>9.1033227127901696E-4</v>
      </c>
      <c r="F19" s="34">
        <f>IF(EV!F20&lt;0,-Prob!F20,Prob!F20)</f>
        <v>9.1033227127901696E-4</v>
      </c>
      <c r="G19" s="34">
        <f>IF(EV!G20&lt;0,-Prob!G20,Prob!G20)</f>
        <v>9.1033227127901696E-4</v>
      </c>
      <c r="H19" s="34">
        <f>IF(EV!H20&lt;0,-Prob!H20,Prob!H20)</f>
        <v>9.1033227127901696E-4</v>
      </c>
      <c r="I19" s="34">
        <f>IF(EV!I20&lt;0,-Prob!I20,Prob!I20)</f>
        <v>9.1033227127901696E-4</v>
      </c>
      <c r="J19" s="34">
        <f>IF(EV!J20&lt;0,-Prob!J20,Prob!J20)</f>
        <v>-9.1033227127901696E-4</v>
      </c>
      <c r="K19" s="34">
        <f>IF(EV!K20&lt;0,-Prob!K20,Prob!K20)</f>
        <v>-3.3612268477994475E-3</v>
      </c>
    </row>
    <row r="20" spans="1:11" x14ac:dyDescent="0.2">
      <c r="A20" s="45">
        <v>15</v>
      </c>
      <c r="B20" s="34">
        <f>IF(EV!B21&lt;0,-Prob!B21,Prob!B21)</f>
        <v>-6.3023003396239633E-4</v>
      </c>
      <c r="C20" s="34">
        <f>IF(EV!C21&lt;0,-Prob!C21,Prob!C21)</f>
        <v>-9.1033227127901696E-4</v>
      </c>
      <c r="D20" s="34">
        <f>IF(EV!D21&lt;0,-Prob!D21,Prob!D21)</f>
        <v>9.1033227127901696E-4</v>
      </c>
      <c r="E20" s="34">
        <f>IF(EV!E21&lt;0,-Prob!E21,Prob!E21)</f>
        <v>9.1033227127901696E-4</v>
      </c>
      <c r="F20" s="34">
        <f>IF(EV!F21&lt;0,-Prob!F21,Prob!F21)</f>
        <v>9.1033227127901696E-4</v>
      </c>
      <c r="G20" s="34">
        <f>IF(EV!G21&lt;0,-Prob!G21,Prob!G21)</f>
        <v>9.1033227127901696E-4</v>
      </c>
      <c r="H20" s="34">
        <f>IF(EV!H21&lt;0,-Prob!H21,Prob!H21)</f>
        <v>9.1033227127901696E-4</v>
      </c>
      <c r="I20" s="34">
        <f>IF(EV!I21&lt;0,-Prob!I21,Prob!I21)</f>
        <v>-9.1033227127901696E-4</v>
      </c>
      <c r="J20" s="34">
        <f>IF(EV!J21&lt;0,-Prob!J21,Prob!J21)</f>
        <v>-9.1033227127901696E-4</v>
      </c>
      <c r="K20" s="34">
        <f>IF(EV!K21&lt;0,-Prob!K21,Prob!K21)</f>
        <v>-3.3612268477994475E-3</v>
      </c>
    </row>
    <row r="21" spans="1:11" x14ac:dyDescent="0.2">
      <c r="A21" s="45">
        <v>16</v>
      </c>
      <c r="B21" s="34">
        <f>IF(EV!B22&lt;0,-Prob!B22,Prob!B22)</f>
        <v>-6.3023003396239633E-4</v>
      </c>
      <c r="C21" s="34">
        <f>IF(EV!C22&lt;0,-Prob!C22,Prob!C22)</f>
        <v>-9.1033227127901696E-4</v>
      </c>
      <c r="D21" s="34">
        <f>IF(EV!D22&lt;0,-Prob!D22,Prob!D22)</f>
        <v>9.1033227127901696E-4</v>
      </c>
      <c r="E21" s="34">
        <f>IF(EV!E22&lt;0,-Prob!E22,Prob!E22)</f>
        <v>9.1033227127901696E-4</v>
      </c>
      <c r="F21" s="34">
        <f>IF(EV!F22&lt;0,-Prob!F22,Prob!F22)</f>
        <v>9.1033227127901696E-4</v>
      </c>
      <c r="G21" s="34">
        <f>IF(EV!G22&lt;0,-Prob!G22,Prob!G22)</f>
        <v>9.1033227127901696E-4</v>
      </c>
      <c r="H21" s="34">
        <f>IF(EV!H22&lt;0,-Prob!H22,Prob!H22)</f>
        <v>-9.1033227127901696E-4</v>
      </c>
      <c r="I21" s="34">
        <f>IF(EV!I22&lt;0,-Prob!I22,Prob!I22)</f>
        <v>-9.1033227127901696E-4</v>
      </c>
      <c r="J21" s="34">
        <f>IF(EV!J22&lt;0,-Prob!J22,Prob!J22)</f>
        <v>-9.1033227127901696E-4</v>
      </c>
      <c r="K21" s="34">
        <f>IF(EV!K22&lt;0,-Prob!K22,Prob!K22)</f>
        <v>-3.3612268477994475E-3</v>
      </c>
    </row>
    <row r="22" spans="1:11" x14ac:dyDescent="0.2">
      <c r="A22" s="45">
        <v>17</v>
      </c>
      <c r="B22" s="34">
        <f>IF(EV!B23&lt;0,-Prob!B23,Prob!B23)</f>
        <v>-6.3023003396239633E-4</v>
      </c>
      <c r="C22" s="34">
        <f>IF(EV!C23&lt;0,-Prob!C23,Prob!C23)</f>
        <v>-9.1033227127901696E-4</v>
      </c>
      <c r="D22" s="34">
        <f>IF(EV!D23&lt;0,-Prob!D23,Prob!D23)</f>
        <v>9.1033227127901696E-4</v>
      </c>
      <c r="E22" s="34">
        <f>IF(EV!E23&lt;0,-Prob!E23,Prob!E23)</f>
        <v>9.1033227127901696E-4</v>
      </c>
      <c r="F22" s="34">
        <f>IF(EV!F23&lt;0,-Prob!F23,Prob!F23)</f>
        <v>9.1033227127901696E-4</v>
      </c>
      <c r="G22" s="34">
        <f>IF(EV!G23&lt;0,-Prob!G23,Prob!G23)</f>
        <v>9.1033227127901696E-4</v>
      </c>
      <c r="H22" s="34">
        <f>IF(EV!H23&lt;0,-Prob!H23,Prob!H23)</f>
        <v>9.1033227127901696E-4</v>
      </c>
      <c r="I22" s="34">
        <f>IF(EV!I23&lt;0,-Prob!I23,Prob!I23)</f>
        <v>-9.1033227127901696E-4</v>
      </c>
      <c r="J22" s="34">
        <f>IF(EV!J23&lt;0,-Prob!J23,Prob!J23)</f>
        <v>-9.1033227127901696E-4</v>
      </c>
      <c r="K22" s="34">
        <f>IF(EV!K23&lt;0,-Prob!K23,Prob!K23)</f>
        <v>-3.3612268477994475E-3</v>
      </c>
    </row>
    <row r="23" spans="1:11" x14ac:dyDescent="0.2">
      <c r="A23" s="45">
        <v>18</v>
      </c>
      <c r="B23" s="34">
        <f>IF(EV!B24&lt;0,-Prob!B24,Prob!B24)</f>
        <v>-6.3023003396239633E-4</v>
      </c>
      <c r="C23" s="34">
        <f>IF(EV!C24&lt;0,-Prob!C24,Prob!C24)</f>
        <v>9.1033227127901696E-4</v>
      </c>
      <c r="D23" s="34">
        <f>IF(EV!D24&lt;0,-Prob!D24,Prob!D24)</f>
        <v>9.1033227127901696E-4</v>
      </c>
      <c r="E23" s="34">
        <f>IF(EV!E24&lt;0,-Prob!E24,Prob!E24)</f>
        <v>9.1033227127901696E-4</v>
      </c>
      <c r="F23" s="34">
        <f>IF(EV!F24&lt;0,-Prob!F24,Prob!F24)</f>
        <v>9.1033227127901696E-4</v>
      </c>
      <c r="G23" s="34">
        <f>IF(EV!G24&lt;0,-Prob!G24,Prob!G24)</f>
        <v>9.1033227127901696E-4</v>
      </c>
      <c r="H23" s="34">
        <f>IF(EV!H24&lt;0,-Prob!H24,Prob!H24)</f>
        <v>9.1033227127901696E-4</v>
      </c>
      <c r="I23" s="34">
        <f>IF(EV!I24&lt;0,-Prob!I24,Prob!I24)</f>
        <v>9.1033227127901696E-4</v>
      </c>
      <c r="J23" s="34">
        <f>IF(EV!J24&lt;0,-Prob!J24,Prob!J24)</f>
        <v>-9.1033227127901696E-4</v>
      </c>
      <c r="K23" s="34">
        <f>IF(EV!K24&lt;0,-Prob!K24,Prob!K24)</f>
        <v>-3.3612268477994475E-3</v>
      </c>
    </row>
    <row r="24" spans="1:11" x14ac:dyDescent="0.2">
      <c r="A24" s="45">
        <v>19</v>
      </c>
      <c r="B24" s="34">
        <f>IF(EV!B25&lt;0,-Prob!B25,Prob!B25)</f>
        <v>-6.3023003396239633E-4</v>
      </c>
      <c r="C24" s="34">
        <f>IF(EV!C25&lt;0,-Prob!C25,Prob!C25)</f>
        <v>9.1033227127901696E-4</v>
      </c>
      <c r="D24" s="34">
        <f>IF(EV!D25&lt;0,-Prob!D25,Prob!D25)</f>
        <v>9.1033227127901696E-4</v>
      </c>
      <c r="E24" s="34">
        <f>IF(EV!E25&lt;0,-Prob!E25,Prob!E25)</f>
        <v>9.1033227127901696E-4</v>
      </c>
      <c r="F24" s="34">
        <f>IF(EV!F25&lt;0,-Prob!F25,Prob!F25)</f>
        <v>9.1033227127901696E-4</v>
      </c>
      <c r="G24" s="34">
        <f>IF(EV!G25&lt;0,-Prob!G25,Prob!G25)</f>
        <v>9.1033227127901696E-4</v>
      </c>
      <c r="H24" s="34">
        <f>IF(EV!H25&lt;0,-Prob!H25,Prob!H25)</f>
        <v>9.1033227127901696E-4</v>
      </c>
      <c r="I24" s="34">
        <f>IF(EV!I25&lt;0,-Prob!I25,Prob!I25)</f>
        <v>9.1033227127901696E-4</v>
      </c>
      <c r="J24" s="34">
        <f>IF(EV!J25&lt;0,-Prob!J25,Prob!J25)</f>
        <v>9.1033227127901696E-4</v>
      </c>
      <c r="K24" s="34">
        <f>IF(EV!K25&lt;0,-Prob!K25,Prob!K25)</f>
        <v>-3.3612268477994475E-3</v>
      </c>
    </row>
    <row r="25" spans="1:11" x14ac:dyDescent="0.2">
      <c r="A25" s="45">
        <v>20</v>
      </c>
      <c r="B25" s="34">
        <f>IF(EV!B26&lt;0,-Prob!B26,Prob!B26)</f>
        <v>6.3023003396239633E-4</v>
      </c>
      <c r="C25" s="34">
        <f>IF(EV!C26&lt;0,-Prob!C26,Prob!C26)</f>
        <v>9.1033227127901696E-4</v>
      </c>
      <c r="D25" s="34">
        <f>IF(EV!D26&lt;0,-Prob!D26,Prob!D26)</f>
        <v>9.1033227127901696E-4</v>
      </c>
      <c r="E25" s="34">
        <f>IF(EV!E26&lt;0,-Prob!E26,Prob!E26)</f>
        <v>9.1033227127901696E-4</v>
      </c>
      <c r="F25" s="34">
        <f>IF(EV!F26&lt;0,-Prob!F26,Prob!F26)</f>
        <v>9.1033227127901696E-4</v>
      </c>
      <c r="G25" s="34">
        <f>IF(EV!G26&lt;0,-Prob!G26,Prob!G26)</f>
        <v>9.1033227127901696E-4</v>
      </c>
      <c r="H25" s="34">
        <f>IF(EV!H26&lt;0,-Prob!H26,Prob!H26)</f>
        <v>9.1033227127901696E-4</v>
      </c>
      <c r="I25" s="34">
        <f>IF(EV!I26&lt;0,-Prob!I26,Prob!I26)</f>
        <v>9.1033227127901696E-4</v>
      </c>
      <c r="J25" s="34">
        <f>IF(EV!J26&lt;0,-Prob!J26,Prob!J26)</f>
        <v>9.1033227127901696E-4</v>
      </c>
      <c r="K25" s="34">
        <f>IF(EV!K26&lt;0,-Prob!K26,Prob!K26)</f>
        <v>3.3612268477994475E-3</v>
      </c>
    </row>
    <row r="26" spans="1:11" x14ac:dyDescent="0.2">
      <c r="A26" s="45">
        <v>21</v>
      </c>
      <c r="B26" s="34">
        <f>IF(EV!B27&lt;0,-Prob!B27,Prob!B27)</f>
        <v>2.5209201358495853E-3</v>
      </c>
      <c r="C26" s="34">
        <f>IF(EV!C27&lt;0,-Prob!C27,Prob!C27)</f>
        <v>3.6413290851160678E-3</v>
      </c>
      <c r="D26" s="34">
        <f>IF(EV!D27&lt;0,-Prob!D27,Prob!D27)</f>
        <v>3.6413290851160678E-3</v>
      </c>
      <c r="E26" s="34">
        <f>IF(EV!E27&lt;0,-Prob!E27,Prob!E27)</f>
        <v>3.6413290851160678E-3</v>
      </c>
      <c r="F26" s="34">
        <f>IF(EV!F27&lt;0,-Prob!F27,Prob!F27)</f>
        <v>3.6413290851160678E-3</v>
      </c>
      <c r="G26" s="34">
        <f>IF(EV!G27&lt;0,-Prob!G27,Prob!G27)</f>
        <v>3.6413290851160678E-3</v>
      </c>
      <c r="H26" s="34">
        <f>IF(EV!H27&lt;0,-Prob!H27,Prob!H27)</f>
        <v>3.6413290851160678E-3</v>
      </c>
      <c r="I26" s="34">
        <f>IF(EV!I27&lt;0,-Prob!I27,Prob!I27)</f>
        <v>3.6413290851160678E-3</v>
      </c>
      <c r="J26" s="34">
        <f>IF(EV!J27&lt;0,-Prob!J27,Prob!J27)</f>
        <v>3.6413290851160678E-3</v>
      </c>
      <c r="K26" s="34">
        <f>IF(EV!K27&lt;0,-Prob!K27,Prob!K27)</f>
        <v>1.344490739119779E-2</v>
      </c>
    </row>
    <row r="27" spans="1:11" x14ac:dyDescent="0.2">
      <c r="A27" s="45" t="s">
        <v>10</v>
      </c>
      <c r="B27" s="32" t="s">
        <v>1</v>
      </c>
      <c r="C27" s="35">
        <v>2</v>
      </c>
      <c r="D27" s="35">
        <v>3</v>
      </c>
      <c r="E27" s="35">
        <v>4</v>
      </c>
      <c r="F27" s="35">
        <v>5</v>
      </c>
      <c r="G27" s="35">
        <v>6</v>
      </c>
      <c r="H27" s="35">
        <v>7</v>
      </c>
      <c r="I27" s="35">
        <v>8</v>
      </c>
      <c r="J27" s="35">
        <v>9</v>
      </c>
      <c r="K27" s="47">
        <v>10</v>
      </c>
    </row>
    <row r="28" spans="1:11" x14ac:dyDescent="0.2">
      <c r="A28" s="45" t="s">
        <v>1</v>
      </c>
      <c r="B28" s="34">
        <f>IF(EV!B29&lt;0,-Prob!B29,Prob!B29)</f>
        <v>-3.1511501698119817E-4</v>
      </c>
      <c r="C28" s="34">
        <f>IF(EV!C29&lt;0,-Prob!C29,Prob!C29)</f>
        <v>4.5516613563950848E-4</v>
      </c>
      <c r="D28" s="34">
        <f>IF(EV!D29&lt;0,-Prob!D29,Prob!D29)</f>
        <v>4.5516613563950848E-4</v>
      </c>
      <c r="E28" s="34">
        <f>IF(EV!E29&lt;0,-Prob!E29,Prob!E29)</f>
        <v>4.5516613563950848E-4</v>
      </c>
      <c r="F28" s="34">
        <f>IF(EV!F29&lt;0,-Prob!F29,Prob!F29)</f>
        <v>4.5516613563950848E-4</v>
      </c>
      <c r="G28" s="34">
        <f>IF(EV!G29&lt;0,-Prob!G29,Prob!G29)</f>
        <v>4.5516613563950848E-4</v>
      </c>
      <c r="H28" s="34">
        <f>IF(EV!H29&lt;0,-Prob!H29,Prob!H29)</f>
        <v>4.5516613563950848E-4</v>
      </c>
      <c r="I28" s="34">
        <f>IF(EV!I29&lt;0,-Prob!I29,Prob!I29)</f>
        <v>4.5516613563950848E-4</v>
      </c>
      <c r="J28" s="34">
        <f>IF(EV!J29&lt;0,-Prob!J29,Prob!J29)</f>
        <v>4.5516613563950848E-4</v>
      </c>
      <c r="K28" s="34">
        <f>IF(EV!K29&lt;0,-Prob!K29,Prob!K29)</f>
        <v>1.6806134238997238E-3</v>
      </c>
    </row>
    <row r="29" spans="1:11" x14ac:dyDescent="0.2">
      <c r="A29" s="45">
        <v>2</v>
      </c>
      <c r="B29" s="34">
        <f>IF(EV!B30&lt;0,-Prob!B30,Prob!B30)</f>
        <v>-3.1511501698119817E-4</v>
      </c>
      <c r="C29" s="34">
        <f>IF(EV!C30&lt;0,-Prob!C30,Prob!C30)</f>
        <v>-4.5516613563950848E-4</v>
      </c>
      <c r="D29" s="34">
        <f>IF(EV!D30&lt;0,-Prob!D30,Prob!D30)</f>
        <v>-4.5516613563950848E-4</v>
      </c>
      <c r="E29" s="34">
        <f>IF(EV!E30&lt;0,-Prob!E30,Prob!E30)</f>
        <v>-4.5516613563950848E-4</v>
      </c>
      <c r="F29" s="34">
        <f>IF(EV!F30&lt;0,-Prob!F30,Prob!F30)</f>
        <v>4.5516613563950848E-4</v>
      </c>
      <c r="G29" s="34">
        <f>IF(EV!G30&lt;0,-Prob!G30,Prob!G30)</f>
        <v>4.5516613563950848E-4</v>
      </c>
      <c r="H29" s="34">
        <f>IF(EV!H30&lt;0,-Prob!H30,Prob!H30)</f>
        <v>-4.5516613563950848E-4</v>
      </c>
      <c r="I29" s="34">
        <f>IF(EV!I30&lt;0,-Prob!I30,Prob!I30)</f>
        <v>-4.5516613563950848E-4</v>
      </c>
      <c r="J29" s="34">
        <f>IF(EV!J30&lt;0,-Prob!J30,Prob!J30)</f>
        <v>-4.5516613563950848E-4</v>
      </c>
      <c r="K29" s="34">
        <f>IF(EV!K30&lt;0,-Prob!K30,Prob!K30)</f>
        <v>-1.6806134238997238E-3</v>
      </c>
    </row>
    <row r="30" spans="1:11" x14ac:dyDescent="0.2">
      <c r="A30" s="45">
        <v>3</v>
      </c>
      <c r="B30" s="34">
        <f>IF(EV!B31&lt;0,-Prob!B31,Prob!B31)</f>
        <v>-3.1511501698119817E-4</v>
      </c>
      <c r="C30" s="34">
        <f>IF(EV!C31&lt;0,-Prob!C31,Prob!C31)</f>
        <v>-4.5516613563950848E-4</v>
      </c>
      <c r="D30" s="34">
        <f>IF(EV!D31&lt;0,-Prob!D31,Prob!D31)</f>
        <v>-4.5516613563950848E-4</v>
      </c>
      <c r="E30" s="34">
        <f>IF(EV!E31&lt;0,-Prob!E31,Prob!E31)</f>
        <v>-4.5516613563950848E-4</v>
      </c>
      <c r="F30" s="34">
        <f>IF(EV!F31&lt;0,-Prob!F31,Prob!F31)</f>
        <v>4.5516613563950848E-4</v>
      </c>
      <c r="G30" s="34">
        <f>IF(EV!G31&lt;0,-Prob!G31,Prob!G31)</f>
        <v>4.5516613563950848E-4</v>
      </c>
      <c r="H30" s="34">
        <f>IF(EV!H31&lt;0,-Prob!H31,Prob!H31)</f>
        <v>-4.5516613563950848E-4</v>
      </c>
      <c r="I30" s="34">
        <f>IF(EV!I31&lt;0,-Prob!I31,Prob!I31)</f>
        <v>-4.5516613563950848E-4</v>
      </c>
      <c r="J30" s="34">
        <f>IF(EV!J31&lt;0,-Prob!J31,Prob!J31)</f>
        <v>-4.5516613563950848E-4</v>
      </c>
      <c r="K30" s="34">
        <f>IF(EV!K31&lt;0,-Prob!K31,Prob!K31)</f>
        <v>-1.6806134238997238E-3</v>
      </c>
    </row>
    <row r="31" spans="1:11" x14ac:dyDescent="0.2">
      <c r="A31" s="45">
        <v>4</v>
      </c>
      <c r="B31" s="34">
        <f>IF(EV!B32&lt;0,-Prob!B32,Prob!B32)</f>
        <v>-3.1511501698119817E-4</v>
      </c>
      <c r="C31" s="34">
        <f>IF(EV!C32&lt;0,-Prob!C32,Prob!C32)</f>
        <v>-4.5516613563950848E-4</v>
      </c>
      <c r="D31" s="34">
        <f>IF(EV!D32&lt;0,-Prob!D32,Prob!D32)</f>
        <v>4.5516613563950848E-4</v>
      </c>
      <c r="E31" s="34">
        <f>IF(EV!E32&lt;0,-Prob!E32,Prob!E32)</f>
        <v>4.5516613563950848E-4</v>
      </c>
      <c r="F31" s="34">
        <f>IF(EV!F32&lt;0,-Prob!F32,Prob!F32)</f>
        <v>4.5516613563950848E-4</v>
      </c>
      <c r="G31" s="34">
        <f>IF(EV!G32&lt;0,-Prob!G32,Prob!G32)</f>
        <v>4.5516613563950848E-4</v>
      </c>
      <c r="H31" s="34">
        <f>IF(EV!H32&lt;0,-Prob!H32,Prob!H32)</f>
        <v>4.5516613563950848E-4</v>
      </c>
      <c r="I31" s="34">
        <f>IF(EV!I32&lt;0,-Prob!I32,Prob!I32)</f>
        <v>-4.5516613563950848E-4</v>
      </c>
      <c r="J31" s="34">
        <f>IF(EV!J32&lt;0,-Prob!J32,Prob!J32)</f>
        <v>-4.5516613563950848E-4</v>
      </c>
      <c r="K31" s="34">
        <f>IF(EV!K32&lt;0,-Prob!K32,Prob!K32)</f>
        <v>-1.6806134238997238E-3</v>
      </c>
    </row>
    <row r="32" spans="1:11" x14ac:dyDescent="0.2">
      <c r="A32" s="45">
        <v>5</v>
      </c>
      <c r="B32" s="34">
        <f>IF(EV!B33&lt;0,-Prob!B33,Prob!B33)</f>
        <v>-3.1511501698119817E-4</v>
      </c>
      <c r="C32" s="34">
        <f>IF(EV!C33&lt;0,-Prob!C33,Prob!C33)</f>
        <v>4.5516613563950848E-4</v>
      </c>
      <c r="D32" s="34">
        <f>IF(EV!D33&lt;0,-Prob!D33,Prob!D33)</f>
        <v>4.5516613563950848E-4</v>
      </c>
      <c r="E32" s="34">
        <f>IF(EV!E33&lt;0,-Prob!E33,Prob!E33)</f>
        <v>4.5516613563950848E-4</v>
      </c>
      <c r="F32" s="34">
        <f>IF(EV!F33&lt;0,-Prob!F33,Prob!F33)</f>
        <v>4.5516613563950848E-4</v>
      </c>
      <c r="G32" s="34">
        <f>IF(EV!G33&lt;0,-Prob!G33,Prob!G33)</f>
        <v>4.5516613563950848E-4</v>
      </c>
      <c r="H32" s="34">
        <f>IF(EV!H33&lt;0,-Prob!H33,Prob!H33)</f>
        <v>4.5516613563950848E-4</v>
      </c>
      <c r="I32" s="34">
        <f>IF(EV!I33&lt;0,-Prob!I33,Prob!I33)</f>
        <v>4.5516613563950848E-4</v>
      </c>
      <c r="J32" s="34">
        <f>IF(EV!J33&lt;0,-Prob!J33,Prob!J33)</f>
        <v>4.5516613563950848E-4</v>
      </c>
      <c r="K32" s="34">
        <f>IF(EV!K33&lt;0,-Prob!K33,Prob!K33)</f>
        <v>-1.6806134238997238E-3</v>
      </c>
    </row>
    <row r="33" spans="1:12" x14ac:dyDescent="0.2">
      <c r="A33" s="45">
        <v>6</v>
      </c>
      <c r="B33" s="34">
        <f>IF(EV!B34&lt;0,-Prob!B34,Prob!B34)</f>
        <v>-3.1511501698119817E-4</v>
      </c>
      <c r="C33" s="34">
        <f>IF(EV!C34&lt;0,-Prob!C34,Prob!C34)</f>
        <v>-4.5516613563950848E-4</v>
      </c>
      <c r="D33" s="34">
        <f>IF(EV!D34&lt;0,-Prob!D34,Prob!D34)</f>
        <v>-4.5516613563950848E-4</v>
      </c>
      <c r="E33" s="34">
        <f>IF(EV!E34&lt;0,-Prob!E34,Prob!E34)</f>
        <v>-4.5516613563950848E-4</v>
      </c>
      <c r="F33" s="34">
        <f>IF(EV!F34&lt;0,-Prob!F34,Prob!F34)</f>
        <v>-4.5516613563950848E-4</v>
      </c>
      <c r="G33" s="34">
        <f>IF(EV!G34&lt;0,-Prob!G34,Prob!G34)</f>
        <v>-4.5516613563950848E-4</v>
      </c>
      <c r="H33" s="34">
        <f>IF(EV!H34&lt;0,-Prob!H34,Prob!H34)</f>
        <v>-4.5516613563950848E-4</v>
      </c>
      <c r="I33" s="34">
        <f>IF(EV!I34&lt;0,-Prob!I34,Prob!I34)</f>
        <v>-4.5516613563950848E-4</v>
      </c>
      <c r="J33" s="34">
        <f>IF(EV!J34&lt;0,-Prob!J34,Prob!J34)</f>
        <v>-4.5516613563950848E-4</v>
      </c>
      <c r="K33" s="34">
        <f>IF(EV!K34&lt;0,-Prob!K34,Prob!K34)</f>
        <v>-1.6806134238997238E-3</v>
      </c>
    </row>
    <row r="34" spans="1:12" x14ac:dyDescent="0.2">
      <c r="A34" s="45">
        <v>7</v>
      </c>
      <c r="B34" s="34">
        <f>IF(EV!B35&lt;0,-Prob!B35,Prob!B35)</f>
        <v>-3.1511501698119817E-4</v>
      </c>
      <c r="C34" s="34">
        <f>IF(EV!C35&lt;0,-Prob!C35,Prob!C35)</f>
        <v>-4.5516613563950848E-4</v>
      </c>
      <c r="D34" s="34">
        <f>IF(EV!D35&lt;0,-Prob!D35,Prob!D35)</f>
        <v>-4.5516613563950848E-4</v>
      </c>
      <c r="E34" s="34">
        <f>IF(EV!E35&lt;0,-Prob!E35,Prob!E35)</f>
        <v>-4.5516613563950848E-4</v>
      </c>
      <c r="F34" s="34">
        <f>IF(EV!F35&lt;0,-Prob!F35,Prob!F35)</f>
        <v>-4.5516613563950848E-4</v>
      </c>
      <c r="G34" s="34">
        <f>IF(EV!G35&lt;0,-Prob!G35,Prob!G35)</f>
        <v>4.5516613563950848E-4</v>
      </c>
      <c r="H34" s="34">
        <f>IF(EV!H35&lt;0,-Prob!H35,Prob!H35)</f>
        <v>-4.5516613563950848E-4</v>
      </c>
      <c r="I34" s="34">
        <f>IF(EV!I35&lt;0,-Prob!I35,Prob!I35)</f>
        <v>-4.5516613563950848E-4</v>
      </c>
      <c r="J34" s="34">
        <f>IF(EV!J35&lt;0,-Prob!J35,Prob!J35)</f>
        <v>-4.5516613563950848E-4</v>
      </c>
      <c r="K34" s="34">
        <f>IF(EV!K35&lt;0,-Prob!K35,Prob!K35)</f>
        <v>-1.6806134238997238E-3</v>
      </c>
    </row>
    <row r="35" spans="1:12" x14ac:dyDescent="0.2">
      <c r="A35" s="45">
        <v>8</v>
      </c>
      <c r="B35" s="34">
        <f>IF(EV!B36&lt;0,-Prob!B36,Prob!B36)</f>
        <v>-3.1511501698119817E-4</v>
      </c>
      <c r="C35" s="34">
        <f>IF(EV!C36&lt;0,-Prob!C36,Prob!C36)</f>
        <v>-4.5516613563950848E-4</v>
      </c>
      <c r="D35" s="34">
        <f>IF(EV!D36&lt;0,-Prob!D36,Prob!D36)</f>
        <v>4.5516613563950848E-4</v>
      </c>
      <c r="E35" s="34">
        <f>IF(EV!E36&lt;0,-Prob!E36,Prob!E36)</f>
        <v>4.5516613563950848E-4</v>
      </c>
      <c r="F35" s="34">
        <f>IF(EV!F36&lt;0,-Prob!F36,Prob!F36)</f>
        <v>4.5516613563950848E-4</v>
      </c>
      <c r="G35" s="34">
        <f>IF(EV!G36&lt;0,-Prob!G36,Prob!G36)</f>
        <v>4.5516613563950848E-4</v>
      </c>
      <c r="H35" s="34">
        <f>IF(EV!H36&lt;0,-Prob!H36,Prob!H36)</f>
        <v>4.5516613563950848E-4</v>
      </c>
      <c r="I35" s="34">
        <f>IF(EV!I36&lt;0,-Prob!I36,Prob!I36)</f>
        <v>-4.5516613563950848E-4</v>
      </c>
      <c r="J35" s="34">
        <f>IF(EV!J36&lt;0,-Prob!J36,Prob!J36)</f>
        <v>-4.5516613563950848E-4</v>
      </c>
      <c r="K35" s="34">
        <f>IF(EV!K36&lt;0,-Prob!K36,Prob!K36)</f>
        <v>-1.6806134238997238E-3</v>
      </c>
    </row>
    <row r="36" spans="1:12" x14ac:dyDescent="0.2">
      <c r="A36" s="45">
        <v>9</v>
      </c>
      <c r="B36" s="34">
        <f>IF(EV!B37&lt;0,-Prob!B37,Prob!B37)</f>
        <v>-3.1511501698119817E-4</v>
      </c>
      <c r="C36" s="34">
        <f>IF(EV!C37&lt;0,-Prob!C37,Prob!C37)</f>
        <v>4.5516613563950848E-4</v>
      </c>
      <c r="D36" s="34">
        <f>IF(EV!D37&lt;0,-Prob!D37,Prob!D37)</f>
        <v>4.5516613563950848E-4</v>
      </c>
      <c r="E36" s="34">
        <f>IF(EV!E37&lt;0,-Prob!E37,Prob!E37)</f>
        <v>4.5516613563950848E-4</v>
      </c>
      <c r="F36" s="34">
        <f>IF(EV!F37&lt;0,-Prob!F37,Prob!F37)</f>
        <v>4.5516613563950848E-4</v>
      </c>
      <c r="G36" s="34">
        <f>IF(EV!G37&lt;0,-Prob!G37,Prob!G37)</f>
        <v>4.5516613563950848E-4</v>
      </c>
      <c r="H36" s="34">
        <f>IF(EV!H37&lt;0,-Prob!H37,Prob!H37)</f>
        <v>4.5516613563950848E-4</v>
      </c>
      <c r="I36" s="34">
        <f>IF(EV!I37&lt;0,-Prob!I37,Prob!I37)</f>
        <v>4.5516613563950848E-4</v>
      </c>
      <c r="J36" s="34">
        <f>IF(EV!J37&lt;0,-Prob!J37,Prob!J37)</f>
        <v>-4.5516613563950848E-4</v>
      </c>
      <c r="K36" s="34">
        <f>IF(EV!K37&lt;0,-Prob!K37,Prob!K37)</f>
        <v>-1.6806134238997238E-3</v>
      </c>
    </row>
    <row r="37" spans="1:12" x14ac:dyDescent="0.2">
      <c r="A37" s="67">
        <v>10</v>
      </c>
      <c r="B37" s="68">
        <f>IF(EV!B38&lt;0,-Prob!B38,Prob!B38)</f>
        <v>5.0418402716991707E-3</v>
      </c>
      <c r="C37" s="68">
        <f>IF(EV!C38&lt;0,-Prob!C38,Prob!C38)</f>
        <v>7.2826581702321357E-3</v>
      </c>
      <c r="D37" s="68">
        <f>IF(EV!D38&lt;0,-Prob!D38,Prob!D38)</f>
        <v>7.2826581702321357E-3</v>
      </c>
      <c r="E37" s="68">
        <f>IF(EV!E38&lt;0,-Prob!E38,Prob!E38)</f>
        <v>7.2826581702321357E-3</v>
      </c>
      <c r="F37" s="68">
        <f>IF(EV!F38&lt;0,-Prob!F38,Prob!F38)</f>
        <v>7.2826581702321357E-3</v>
      </c>
      <c r="G37" s="68">
        <f>IF(EV!G38&lt;0,-Prob!G38,Prob!G38)</f>
        <v>7.2826581702321357E-3</v>
      </c>
      <c r="H37" s="68">
        <f>IF(EV!H38&lt;0,-Prob!H38,Prob!H38)</f>
        <v>7.2826581702321357E-3</v>
      </c>
      <c r="I37" s="68">
        <f>IF(EV!I38&lt;0,-Prob!I38,Prob!I38)</f>
        <v>7.2826581702321357E-3</v>
      </c>
      <c r="J37" s="68">
        <f>IF(EV!J38&lt;0,-Prob!J38,Prob!J38)</f>
        <v>7.2826581702321357E-3</v>
      </c>
      <c r="K37" s="68">
        <f>IF(EV!K38&lt;0,-Prob!K38,Prob!K38)</f>
        <v>2.688981478239558E-2</v>
      </c>
    </row>
    <row r="38" spans="1:12" ht="16" thickBot="1" x14ac:dyDescent="0.25">
      <c r="A38" s="74" t="s">
        <v>40</v>
      </c>
      <c r="B38" s="79" t="s">
        <v>1</v>
      </c>
      <c r="C38" s="80">
        <v>2</v>
      </c>
      <c r="D38" s="80">
        <v>3</v>
      </c>
      <c r="E38" s="80">
        <v>4</v>
      </c>
      <c r="F38" s="80">
        <v>5</v>
      </c>
      <c r="G38" s="80">
        <v>6</v>
      </c>
      <c r="H38" s="80">
        <v>7</v>
      </c>
      <c r="I38" s="80">
        <v>8</v>
      </c>
      <c r="J38" s="80">
        <v>9</v>
      </c>
      <c r="K38" s="81">
        <v>10</v>
      </c>
    </row>
    <row r="39" spans="1:12" x14ac:dyDescent="0.2">
      <c r="A39" s="78" t="s">
        <v>42</v>
      </c>
      <c r="B39" s="82">
        <f>-(SUMIF(B28:B37,"&lt;0")+SUMIF(B18:B26,"&lt;0") +SUMIF(B2:B16,"&lt;0"))</f>
        <v>4.5061447428311328E-2</v>
      </c>
      <c r="C39" s="83">
        <f t="shared" ref="C39:K39" si="0">-(SUMIF(C28:C37,"&lt;0")+SUMIF(C18:C26,"&lt;0") +SUMIF(C2:C16,"&lt;0"))</f>
        <v>4.3695949021392816E-2</v>
      </c>
      <c r="D39" s="83">
        <f t="shared" si="0"/>
        <v>3.823395539371871E-2</v>
      </c>
      <c r="E39" s="83">
        <f t="shared" si="0"/>
        <v>3.823395539371871E-2</v>
      </c>
      <c r="F39" s="83">
        <f t="shared" si="0"/>
        <v>3.7323623122439697E-2</v>
      </c>
      <c r="G39" s="83">
        <f t="shared" si="0"/>
        <v>3.0496131087847073E-2</v>
      </c>
      <c r="H39" s="83">
        <f t="shared" si="0"/>
        <v>3.914428766499773E-2</v>
      </c>
      <c r="I39" s="83">
        <f t="shared" si="0"/>
        <v>4.3695949021392816E-2</v>
      </c>
      <c r="J39" s="83">
        <f t="shared" si="0"/>
        <v>5.3254437869822494E-2</v>
      </c>
      <c r="K39" s="84">
        <f t="shared" si="0"/>
        <v>0.22520219880256301</v>
      </c>
    </row>
    <row r="40" spans="1:12" ht="16" thickBot="1" x14ac:dyDescent="0.25">
      <c r="A40" s="78" t="s">
        <v>43</v>
      </c>
      <c r="B40" s="85">
        <f>B39</f>
        <v>4.5061447428311328E-2</v>
      </c>
      <c r="C40" s="86">
        <f t="shared" ref="C40:K40" si="1">C39</f>
        <v>4.3695949021392816E-2</v>
      </c>
      <c r="D40" s="86">
        <f t="shared" si="1"/>
        <v>3.823395539371871E-2</v>
      </c>
      <c r="E40" s="86">
        <f t="shared" si="1"/>
        <v>3.823395539371871E-2</v>
      </c>
      <c r="F40" s="86">
        <f t="shared" si="1"/>
        <v>3.7323623122439697E-2</v>
      </c>
      <c r="G40" s="86">
        <f t="shared" si="1"/>
        <v>3.0496131087847073E-2</v>
      </c>
      <c r="H40" s="86">
        <f t="shared" si="1"/>
        <v>3.914428766499773E-2</v>
      </c>
      <c r="I40" s="86">
        <f t="shared" si="1"/>
        <v>4.3695949021392816E-2</v>
      </c>
      <c r="J40" s="86">
        <f t="shared" si="1"/>
        <v>5.3254437869822494E-2</v>
      </c>
      <c r="K40" s="87">
        <f t="shared" si="1"/>
        <v>0.22520219880256301</v>
      </c>
    </row>
    <row r="41" spans="1:12" x14ac:dyDescent="0.2">
      <c r="A41" s="78" t="s">
        <v>41</v>
      </c>
      <c r="B41" s="82">
        <f>SUMIF(B28:B37,"&gt;0")+SUMIF(B18:B26,"&gt;0") +SUMIF(B2:B16,"&gt;0")</f>
        <v>8.1929904415111512E-3</v>
      </c>
      <c r="C41" s="83">
        <f t="shared" ref="C41:K41" si="2">SUMIF(C28:C37,"&gt;0")+SUMIF(C18:C26,"&gt;0") +SUMIF(C2:C16,"&gt;0")</f>
        <v>3.3227127901684125E-2</v>
      </c>
      <c r="D41" s="83">
        <f t="shared" si="2"/>
        <v>3.8689121529358217E-2</v>
      </c>
      <c r="E41" s="83">
        <f t="shared" si="2"/>
        <v>3.8689121529358217E-2</v>
      </c>
      <c r="F41" s="83">
        <f t="shared" si="2"/>
        <v>3.9599453800637244E-2</v>
      </c>
      <c r="G41" s="83">
        <f t="shared" si="2"/>
        <v>4.6426945835229869E-2</v>
      </c>
      <c r="H41" s="83">
        <f t="shared" si="2"/>
        <v>3.7778789258079204E-2</v>
      </c>
      <c r="I41" s="83">
        <f t="shared" si="2"/>
        <v>3.3227127901684125E-2</v>
      </c>
      <c r="J41" s="83">
        <f t="shared" si="2"/>
        <v>2.3668639053254441E-2</v>
      </c>
      <c r="K41" s="84">
        <f t="shared" si="2"/>
        <v>5.8821469836490337E-2</v>
      </c>
    </row>
    <row r="42" spans="1:12" ht="16" thickBot="1" x14ac:dyDescent="0.25">
      <c r="A42" s="78" t="s">
        <v>44</v>
      </c>
      <c r="B42" s="85">
        <f>B41</f>
        <v>8.1929904415111512E-3</v>
      </c>
      <c r="C42" s="86">
        <f t="shared" ref="C42:K42" si="3">C41</f>
        <v>3.3227127901684125E-2</v>
      </c>
      <c r="D42" s="86">
        <f t="shared" si="3"/>
        <v>3.8689121529358217E-2</v>
      </c>
      <c r="E42" s="86">
        <f t="shared" si="3"/>
        <v>3.8689121529358217E-2</v>
      </c>
      <c r="F42" s="86">
        <f t="shared" si="3"/>
        <v>3.9599453800637244E-2</v>
      </c>
      <c r="G42" s="86">
        <f t="shared" si="3"/>
        <v>4.6426945835229869E-2</v>
      </c>
      <c r="H42" s="86">
        <f t="shared" si="3"/>
        <v>3.7778789258079204E-2</v>
      </c>
      <c r="I42" s="86">
        <f t="shared" si="3"/>
        <v>3.3227127901684125E-2</v>
      </c>
      <c r="J42" s="86">
        <f t="shared" si="3"/>
        <v>2.3668639053254441E-2</v>
      </c>
      <c r="K42" s="87">
        <f t="shared" si="3"/>
        <v>5.8821469836490337E-2</v>
      </c>
    </row>
    <row r="43" spans="1:12" ht="16" thickBot="1" x14ac:dyDescent="0.25">
      <c r="A43" s="78" t="s">
        <v>2</v>
      </c>
      <c r="B43" s="89">
        <f>B41+B39</f>
        <v>5.325443786982248E-2</v>
      </c>
      <c r="C43" s="75">
        <f t="shared" ref="C43:K43" si="4">C41+C39</f>
        <v>7.6923076923076941E-2</v>
      </c>
      <c r="D43" s="75">
        <f t="shared" si="4"/>
        <v>7.6923076923076927E-2</v>
      </c>
      <c r="E43" s="75">
        <f t="shared" si="4"/>
        <v>7.6923076923076927E-2</v>
      </c>
      <c r="F43" s="75">
        <f t="shared" si="4"/>
        <v>7.6923076923076941E-2</v>
      </c>
      <c r="G43" s="75">
        <f t="shared" si="4"/>
        <v>7.6923076923076941E-2</v>
      </c>
      <c r="H43" s="75">
        <f t="shared" si="4"/>
        <v>7.6923076923076927E-2</v>
      </c>
      <c r="I43" s="75">
        <f t="shared" si="4"/>
        <v>7.6923076923076941E-2</v>
      </c>
      <c r="J43" s="75">
        <f t="shared" si="4"/>
        <v>7.6923076923076927E-2</v>
      </c>
      <c r="K43" s="90">
        <f t="shared" si="4"/>
        <v>0.28402366863905337</v>
      </c>
      <c r="L43" s="76">
        <f>SUM(B43:K43)-C46</f>
        <v>1.0000000000000002</v>
      </c>
    </row>
    <row r="44" spans="1:12" ht="16" thickBot="1" x14ac:dyDescent="0.25">
      <c r="A44" s="88" t="s">
        <v>45</v>
      </c>
      <c r="B44" s="91">
        <f>B41-B39</f>
        <v>-3.6868456986800177E-2</v>
      </c>
      <c r="C44" s="69">
        <f t="shared" ref="C44:K44" si="5">C41-C39</f>
        <v>-1.0468821119708691E-2</v>
      </c>
      <c r="D44" s="69">
        <f t="shared" si="5"/>
        <v>4.5516613563950648E-4</v>
      </c>
      <c r="E44" s="69">
        <f t="shared" si="5"/>
        <v>4.5516613563950648E-4</v>
      </c>
      <c r="F44" s="69">
        <f t="shared" si="5"/>
        <v>2.2758306781975463E-3</v>
      </c>
      <c r="G44" s="69">
        <f t="shared" si="5"/>
        <v>1.5930814747382796E-2</v>
      </c>
      <c r="H44" s="69">
        <f t="shared" si="5"/>
        <v>-1.3654984069185264E-3</v>
      </c>
      <c r="I44" s="69">
        <f t="shared" si="5"/>
        <v>-1.0468821119708691E-2</v>
      </c>
      <c r="J44" s="69">
        <f t="shared" si="5"/>
        <v>-2.9585798816568053E-2</v>
      </c>
      <c r="K44" s="70">
        <f t="shared" si="5"/>
        <v>-0.16638072896607267</v>
      </c>
      <c r="L44" s="77">
        <f>SUM(B44:K44)</f>
        <v>-0.23602114771891747</v>
      </c>
    </row>
    <row r="45" spans="1:12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2" x14ac:dyDescent="0.2">
      <c r="A46" s="339" t="s">
        <v>11</v>
      </c>
      <c r="B46" s="340"/>
      <c r="C46" s="34">
        <f>IF(EV!H41&lt;0,-Prob!C40,Prob!C40)</f>
        <v>-4.7337278106508882E-2</v>
      </c>
    </row>
    <row r="47" spans="1:12" x14ac:dyDescent="0.2">
      <c r="C47" s="73">
        <f>SUM(B44:K44)</f>
        <v>-0.23602114771891747</v>
      </c>
    </row>
    <row r="48" spans="1:12" x14ac:dyDescent="0.2">
      <c r="B48" s="40" t="s">
        <v>2</v>
      </c>
      <c r="C48" s="73">
        <f>C47+C46</f>
        <v>-0.28335842582542636</v>
      </c>
    </row>
  </sheetData>
  <sheetProtection sheet="1" objects="1" scenarios="1"/>
  <mergeCells count="8">
    <mergeCell ref="A46:B46"/>
    <mergeCell ref="M6:N6"/>
    <mergeCell ref="M7:N7"/>
    <mergeCell ref="M2:R2"/>
    <mergeCell ref="M12:S12"/>
    <mergeCell ref="M3:N3"/>
    <mergeCell ref="M4:N4"/>
    <mergeCell ref="M5:N5"/>
  </mergeCells>
  <phoneticPr fontId="16" type="noConversion"/>
  <conditionalFormatting sqref="B2:K16 B18:K26 B28:K37 B39:K45">
    <cfRule type="containsText" dxfId="936" priority="19" operator="containsText" text="R">
      <formula>NOT(ISERROR(SEARCH("R",B2)))</formula>
    </cfRule>
    <cfRule type="containsText" dxfId="935" priority="20" operator="containsText" text="D">
      <formula>NOT(ISERROR(SEARCH("D",B2)))</formula>
    </cfRule>
    <cfRule type="containsText" dxfId="934" priority="21" operator="containsText" text="S">
      <formula>NOT(ISERROR(SEARCH("S",B2)))</formula>
    </cfRule>
    <cfRule type="containsText" dxfId="933" priority="22" operator="containsText" text="H">
      <formula>NOT(ISERROR(SEARCH("H",B2)))</formula>
    </cfRule>
  </conditionalFormatting>
  <conditionalFormatting sqref="B2:K16 B18:K26 B28:K37 B39:K45">
    <cfRule type="containsText" dxfId="932" priority="18" operator="containsText" text="P">
      <formula>NOT(ISERROR(SEARCH("P",B2)))</formula>
    </cfRule>
  </conditionalFormatting>
  <conditionalFormatting sqref="B2:K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 B39:K4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ntainsText" dxfId="931" priority="8" operator="containsText" text="R">
      <formula>NOT(ISERROR(SEARCH("R",C46)))</formula>
    </cfRule>
    <cfRule type="containsText" dxfId="930" priority="9" operator="containsText" text="D">
      <formula>NOT(ISERROR(SEARCH("D",C46)))</formula>
    </cfRule>
    <cfRule type="containsText" dxfId="929" priority="10" operator="containsText" text="S">
      <formula>NOT(ISERROR(SEARCH("S",C46)))</formula>
    </cfRule>
    <cfRule type="containsText" dxfId="928" priority="11" operator="containsText" text="H">
      <formula>NOT(ISERROR(SEARCH("H",C46)))</formula>
    </cfRule>
  </conditionalFormatting>
  <conditionalFormatting sqref="C46">
    <cfRule type="containsText" dxfId="927" priority="7" operator="containsText" text="P">
      <formula>NOT(ISERROR(SEARCH("P",C46)))</formula>
    </cfRule>
  </conditionalFormatting>
  <conditionalFormatting sqref="C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2:W63"/>
  <sheetViews>
    <sheetView zoomScale="90" zoomScaleNormal="90" zoomScalePageLayoutView="90" workbookViewId="0">
      <selection activeCell="C66" sqref="C66"/>
    </sheetView>
  </sheetViews>
  <sheetFormatPr baseColWidth="10" defaultColWidth="8.83203125" defaultRowHeight="16" x14ac:dyDescent="0.2"/>
  <cols>
    <col min="2" max="3" width="8.83203125" customWidth="1"/>
    <col min="18" max="18" width="8.6640625" style="181" customWidth="1"/>
    <col min="21" max="21" width="8.6640625" style="181" customWidth="1"/>
  </cols>
  <sheetData>
    <row r="2" spans="1:23" x14ac:dyDescent="0.2">
      <c r="A2" t="s">
        <v>40</v>
      </c>
      <c r="B2" s="149" t="s">
        <v>125</v>
      </c>
      <c r="C2" s="150">
        <f>'WL Prob'!P15</f>
        <v>0.41745743785701095</v>
      </c>
      <c r="D2" s="149" t="s">
        <v>126</v>
      </c>
      <c r="E2" s="150">
        <f>'WL Prob'!R15</f>
        <v>0.58254256214298905</v>
      </c>
      <c r="F2" t="s">
        <v>47</v>
      </c>
      <c r="G2">
        <f>(K2-E2*I2)/C2</f>
        <v>1.3182834500645289</v>
      </c>
      <c r="H2" t="s">
        <v>155</v>
      </c>
      <c r="I2">
        <v>-1</v>
      </c>
      <c r="J2" s="149" t="s">
        <v>127</v>
      </c>
      <c r="K2" s="150">
        <f>Rules!C21</f>
        <v>-3.2215330709750079E-2</v>
      </c>
    </row>
    <row r="4" spans="1:23" x14ac:dyDescent="0.2">
      <c r="A4" s="366" t="s">
        <v>128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6"/>
    </row>
    <row r="5" spans="1:23" x14ac:dyDescent="0.2">
      <c r="A5" t="s">
        <v>123</v>
      </c>
      <c r="B5">
        <f>$C$2</f>
        <v>0.41745743785701095</v>
      </c>
      <c r="C5" t="s">
        <v>124</v>
      </c>
      <c r="D5">
        <f>$E$2</f>
        <v>0.58254256214298905</v>
      </c>
      <c r="E5" t="s">
        <v>47</v>
      </c>
      <c r="F5">
        <f>G2</f>
        <v>1.3182834500645289</v>
      </c>
      <c r="G5" t="s">
        <v>155</v>
      </c>
      <c r="H5">
        <f>I2</f>
        <v>-1</v>
      </c>
      <c r="I5" t="s">
        <v>48</v>
      </c>
      <c r="J5">
        <f>K2</f>
        <v>-3.2215330709750079E-2</v>
      </c>
    </row>
    <row r="6" spans="1:23" ht="17" thickBot="1" x14ac:dyDescent="0.25"/>
    <row r="7" spans="1:23" ht="17" thickBot="1" x14ac:dyDescent="0.25">
      <c r="A7" s="103"/>
      <c r="B7" s="103">
        <v>1</v>
      </c>
      <c r="C7" s="154">
        <v>0</v>
      </c>
      <c r="D7" s="151">
        <v>-1</v>
      </c>
      <c r="E7" s="118">
        <v>-2</v>
      </c>
      <c r="F7" s="118">
        <v>-3</v>
      </c>
      <c r="G7" s="118">
        <v>-4</v>
      </c>
      <c r="H7" s="118">
        <v>-5</v>
      </c>
      <c r="I7" s="118">
        <v>-6</v>
      </c>
      <c r="J7" s="118">
        <v>-7</v>
      </c>
      <c r="K7" s="118">
        <v>-8</v>
      </c>
      <c r="L7" s="118">
        <v>-9</v>
      </c>
      <c r="M7" s="105">
        <v>-10</v>
      </c>
      <c r="N7" t="s">
        <v>135</v>
      </c>
      <c r="R7" s="184" t="s">
        <v>49</v>
      </c>
      <c r="S7" s="164" t="s">
        <v>130</v>
      </c>
      <c r="T7" s="165" t="s">
        <v>136</v>
      </c>
      <c r="U7" s="182" t="s">
        <v>48</v>
      </c>
      <c r="V7" s="175" t="s">
        <v>47</v>
      </c>
      <c r="W7" s="168" t="s">
        <v>155</v>
      </c>
    </row>
    <row r="8" spans="1:23" x14ac:dyDescent="0.2">
      <c r="A8" s="101">
        <v>1</v>
      </c>
      <c r="B8" s="95">
        <f>C8*B5</f>
        <v>0.41745743785701095</v>
      </c>
      <c r="C8" s="95">
        <v>1</v>
      </c>
      <c r="D8" s="152">
        <f>C8*D5</f>
        <v>0.58254256214298905</v>
      </c>
      <c r="E8" s="110"/>
      <c r="F8" s="110"/>
      <c r="G8" s="110"/>
      <c r="H8" s="110"/>
      <c r="I8" s="110"/>
      <c r="J8" s="110"/>
      <c r="K8" s="110"/>
      <c r="L8" s="110"/>
      <c r="M8" s="57"/>
      <c r="N8">
        <f>B8+D8</f>
        <v>1</v>
      </c>
      <c r="R8" s="185">
        <f>B8-D8</f>
        <v>-0.1650851242859781</v>
      </c>
      <c r="S8" s="109">
        <f>SUM(C8)*B5*F5</f>
        <v>0.55032723143323903</v>
      </c>
      <c r="T8" s="57">
        <f>SUM(C8)*D5*H5</f>
        <v>-0.58254256214298905</v>
      </c>
      <c r="U8" s="260">
        <f>S8+T8</f>
        <v>-3.2215330709750023E-2</v>
      </c>
      <c r="V8" s="109">
        <f>(U8+W8*D8)/B8</f>
        <v>1.3182834500645289</v>
      </c>
      <c r="W8" s="57">
        <f>COUNT(D8:M8)</f>
        <v>1</v>
      </c>
    </row>
    <row r="9" spans="1:23" x14ac:dyDescent="0.2">
      <c r="A9" s="99">
        <v>2</v>
      </c>
      <c r="B9" s="97">
        <f>C9*B5</f>
        <v>0.55159898998453116</v>
      </c>
      <c r="C9" s="97">
        <f>1/(1-B5*D5)</f>
        <v>1.3213298889010736</v>
      </c>
      <c r="D9" s="144">
        <f>C9*D5</f>
        <v>0.76973089891654245</v>
      </c>
      <c r="E9" s="1">
        <f>D9*D5</f>
        <v>0.44840101001546873</v>
      </c>
      <c r="F9" s="1"/>
      <c r="G9" s="1"/>
      <c r="H9" s="1"/>
      <c r="I9" s="1"/>
      <c r="J9" s="1"/>
      <c r="K9" s="1"/>
      <c r="L9" s="1"/>
      <c r="M9" s="9"/>
      <c r="N9">
        <f>B9+E9</f>
        <v>0.99999999999999989</v>
      </c>
      <c r="R9" s="186">
        <f>B9-E9</f>
        <v>0.10319797996906244</v>
      </c>
      <c r="S9" s="93">
        <f>SUM(C9:D9)*B5*F5</f>
        <v>1.1507676941182765</v>
      </c>
      <c r="T9" s="9">
        <f>SUM(C9:D9)*D5*H5</f>
        <v>-1.2181319089320113</v>
      </c>
      <c r="U9" s="261">
        <f>S9+T9</f>
        <v>-6.736421481373478E-2</v>
      </c>
      <c r="V9" s="93">
        <f>(U9+W9*E9)/B9</f>
        <v>1.5036971065528295</v>
      </c>
      <c r="W9" s="9">
        <f>COUNT(D9:M9)</f>
        <v>2</v>
      </c>
    </row>
    <row r="10" spans="1:23" x14ac:dyDescent="0.2">
      <c r="A10" s="99">
        <v>3</v>
      </c>
      <c r="B10" s="97">
        <f>C10*B5</f>
        <v>0.61511098106420115</v>
      </c>
      <c r="C10" s="97">
        <f>1/(1-D5*B5/(1-D5*B5))</f>
        <v>1.473469928387984</v>
      </c>
      <c r="D10" s="144">
        <f>C10*D5*C9</f>
        <v>1.1341753325045765</v>
      </c>
      <c r="E10" s="1">
        <f>D10*(D5)</f>
        <v>0.66070540411659251</v>
      </c>
      <c r="F10" s="1">
        <f>E10*D5</f>
        <v>0.3848890189357988</v>
      </c>
      <c r="G10" s="1"/>
      <c r="H10" s="1"/>
      <c r="I10" s="1"/>
      <c r="J10" s="1"/>
      <c r="K10" s="1"/>
      <c r="L10" s="1"/>
      <c r="M10" s="9"/>
      <c r="N10">
        <f>B10+F10</f>
        <v>1</v>
      </c>
      <c r="R10" s="186">
        <f>B10-F10</f>
        <v>0.23022196212840235</v>
      </c>
      <c r="S10" s="93">
        <f>SUM(C10:E10)*B5*F5</f>
        <v>1.7986623728274731</v>
      </c>
      <c r="T10" s="9">
        <f>SUM(C10:E10)*D5*H5</f>
        <v>-1.9039533703761744</v>
      </c>
      <c r="U10" s="261">
        <f t="shared" ref="U10:U17" si="0">S10+T10</f>
        <v>-0.1052909975487013</v>
      </c>
      <c r="V10" s="93">
        <f>(U10+W10*F10)/B10</f>
        <v>1.7059946766731</v>
      </c>
      <c r="W10" s="9">
        <f t="shared" ref="W10:W17" si="1">COUNT(D10:M10)</f>
        <v>3</v>
      </c>
    </row>
    <row r="11" spans="1:23" x14ac:dyDescent="0.2">
      <c r="A11" s="99">
        <v>4</v>
      </c>
      <c r="B11" s="97">
        <f>C11*B5</f>
        <v>0.65057794408728342</v>
      </c>
      <c r="C11" s="97">
        <f>1/(1-D5*B5/(1-D5*B5/(1-D5*B5)))</f>
        <v>1.5584293992388316</v>
      </c>
      <c r="D11" s="144">
        <f>C11*D5*C10</f>
        <v>1.3376918186090787</v>
      </c>
      <c r="E11" s="1">
        <f>D11*D5*C9</f>
        <v>1.0296627260112707</v>
      </c>
      <c r="F11" s="1">
        <f>E11*D5</f>
        <v>0.59982236255374022</v>
      </c>
      <c r="G11" s="1">
        <f>F11*D5</f>
        <v>0.34942205591271674</v>
      </c>
      <c r="H11" s="1"/>
      <c r="I11" s="1"/>
      <c r="J11" s="1"/>
      <c r="K11" s="1"/>
      <c r="L11" s="1"/>
      <c r="M11" s="9"/>
      <c r="N11">
        <f>B11+G11</f>
        <v>1.0000000000000002</v>
      </c>
      <c r="R11" s="186">
        <f>B11-G11</f>
        <v>0.30115588817456668</v>
      </c>
      <c r="S11" s="93">
        <f>SUM(C11:F11)*B5*F5</f>
        <v>2.49056438916503</v>
      </c>
      <c r="T11" s="9">
        <f>SUM(C11:F11)*D5*H5</f>
        <v>-2.6363582929882523</v>
      </c>
      <c r="U11" s="261">
        <f t="shared" si="0"/>
        <v>-0.14579390382322233</v>
      </c>
      <c r="V11" s="93">
        <f>(U11+W11*G11)/B11</f>
        <v>1.9242802975498456</v>
      </c>
      <c r="W11" s="9">
        <f t="shared" si="1"/>
        <v>4</v>
      </c>
    </row>
    <row r="12" spans="1:23" x14ac:dyDescent="0.2">
      <c r="A12" s="99">
        <v>5</v>
      </c>
      <c r="B12" s="97">
        <f>C12*B5</f>
        <v>0.6722226627886746</v>
      </c>
      <c r="C12" s="97">
        <f>1/(1-D5*B5/(1-D5*B5/(1-D5*B5/(1-D5*B5))))</f>
        <v>1.6102783225985466</v>
      </c>
      <c r="D12" s="144">
        <f>C12*D5*C11</f>
        <v>1.4618935183700847</v>
      </c>
      <c r="E12" s="1">
        <f>D12*D5*C10</f>
        <v>1.254829381527607</v>
      </c>
      <c r="F12" s="1">
        <f>E12*D5*C9</f>
        <v>0.96588094783013401</v>
      </c>
      <c r="G12" s="1">
        <f>F12*D5</f>
        <v>0.56266676207406496</v>
      </c>
      <c r="H12" s="1">
        <f>G12*D5</f>
        <v>0.3277773372113254</v>
      </c>
      <c r="I12" s="1"/>
      <c r="J12" s="1"/>
      <c r="K12" s="1"/>
      <c r="L12" s="1"/>
      <c r="M12" s="9"/>
      <c r="N12">
        <f>B12+H12</f>
        <v>1</v>
      </c>
      <c r="R12" s="186">
        <f>B12-H12</f>
        <v>0.34444532557734919</v>
      </c>
      <c r="S12" s="93">
        <f>SUM(C12:G12)*B5*F5</f>
        <v>3.2224680324897914</v>
      </c>
      <c r="T12" s="9">
        <f>SUM(C12:G12)*D5*H5</f>
        <v>-3.4111064778341951</v>
      </c>
      <c r="U12" s="261">
        <f t="shared" si="0"/>
        <v>-0.18863844534440366</v>
      </c>
      <c r="V12" s="93">
        <f>(U12+W12*H12)/B12</f>
        <v>2.1573926631630616</v>
      </c>
      <c r="W12" s="9">
        <f t="shared" si="1"/>
        <v>5</v>
      </c>
    </row>
    <row r="13" spans="1:23" x14ac:dyDescent="0.2">
      <c r="A13" s="99">
        <v>6</v>
      </c>
      <c r="B13" s="97">
        <f>C13*B5</f>
        <v>0.68615430611814143</v>
      </c>
      <c r="C13" s="97">
        <f>1/(1-D5*B5/(1-D5*B5/(1-D5*B5/(1-D5*B5/(1-D5*B5)))))</f>
        <v>1.6436509303570379</v>
      </c>
      <c r="D13" s="144">
        <f>C13*D5*C12</f>
        <v>1.5418360579731811</v>
      </c>
      <c r="E13" s="1">
        <f>D13*D5*C11</f>
        <v>1.3997581088360793</v>
      </c>
      <c r="F13" s="1">
        <f>E13*D5*C10</f>
        <v>1.201494896808466</v>
      </c>
      <c r="G13" s="1">
        <f>F13*D5*C9</f>
        <v>0.92482774696401893</v>
      </c>
      <c r="H13" s="1">
        <f>G13*D5</f>
        <v>0.5387515252573476</v>
      </c>
      <c r="I13" s="1">
        <f>H13*D5</f>
        <v>0.31384569388185857</v>
      </c>
      <c r="J13" s="1"/>
      <c r="K13" s="1"/>
      <c r="L13" s="1"/>
      <c r="M13" s="9"/>
      <c r="N13">
        <f>B13+I13</f>
        <v>1</v>
      </c>
      <c r="R13" s="186">
        <f>B13-I13</f>
        <v>0.37230861223628287</v>
      </c>
      <c r="S13" s="93">
        <f>SUM(C13:H13)*B5*F5</f>
        <v>3.99004812877279</v>
      </c>
      <c r="T13" s="9">
        <f>SUM(C13:H13)*D5*H5</f>
        <v>-4.2236195616845702</v>
      </c>
      <c r="U13" s="261">
        <f t="shared" si="0"/>
        <v>-0.23357143291178017</v>
      </c>
      <c r="V13" s="93">
        <f>(U13+W13*I13)/B13</f>
        <v>2.4039821883670598</v>
      </c>
      <c r="W13" s="9">
        <f t="shared" si="1"/>
        <v>6</v>
      </c>
    </row>
    <row r="14" spans="1:23" x14ac:dyDescent="0.2">
      <c r="A14" s="99">
        <v>7</v>
      </c>
      <c r="B14" s="97">
        <f>C14*B5</f>
        <v>0.69543100907771715</v>
      </c>
      <c r="C14" s="97">
        <f>1/(1-D5*B5/(1-D5*B5/(1-D5*B5/(1-D5*B5/(1-D5*B5/(1-D5*B5))))))</f>
        <v>1.6658728435829637</v>
      </c>
      <c r="D14" s="144">
        <f>C14*D5*C13</f>
        <v>1.595067624141939</v>
      </c>
      <c r="E14" s="1">
        <f>D14*D5*C12</f>
        <v>1.4962622126058316</v>
      </c>
      <c r="F14" s="1">
        <f>E14*D5*C11</f>
        <v>1.3583838270024793</v>
      </c>
      <c r="G14" s="1">
        <f>F14*D5*C10</f>
        <v>1.1659809118074995</v>
      </c>
      <c r="H14" s="1">
        <f>G14*D5*C9</f>
        <v>0.8974915353651165</v>
      </c>
      <c r="I14" s="1">
        <f>H14*D5</f>
        <v>0.52282701851323998</v>
      </c>
      <c r="J14" s="1">
        <f>I14*D5</f>
        <v>0.30456899092228279</v>
      </c>
      <c r="K14" s="1"/>
      <c r="L14" s="1"/>
      <c r="M14" s="9"/>
      <c r="N14">
        <f>B14+J14</f>
        <v>1</v>
      </c>
      <c r="R14" s="186">
        <f>B14-J14</f>
        <v>0.39086201815543437</v>
      </c>
      <c r="S14" s="93">
        <f>SUM(C14:I14)*B5*F5</f>
        <v>4.7888848157793227</v>
      </c>
      <c r="T14" s="9">
        <f>SUM(C14:I14)*D5*H5</f>
        <v>-5.0692189501986666</v>
      </c>
      <c r="U14" s="261">
        <f t="shared" si="0"/>
        <v>-0.28033413441934396</v>
      </c>
      <c r="V14" s="93">
        <f>(U14+W14*J14)/B14</f>
        <v>2.6625916559175269</v>
      </c>
      <c r="W14" s="9">
        <f t="shared" si="1"/>
        <v>7</v>
      </c>
    </row>
    <row r="15" spans="1:23" x14ac:dyDescent="0.2">
      <c r="A15" s="99">
        <v>8</v>
      </c>
      <c r="B15" s="97">
        <f>C15*B5</f>
        <v>0.70174850040046388</v>
      </c>
      <c r="C15" s="97">
        <f>1/(1-D5*B5/(1-D5*B5/(1-D5*B5/(1-D5*B5/(1-D5*B5/(1-D5*B5/(1-D5*B5)))))))</f>
        <v>1.6810061020899318</v>
      </c>
      <c r="D15" s="144">
        <f>C15*D5*C14</f>
        <v>1.6313186455266673</v>
      </c>
      <c r="E15" s="1">
        <f>D15*D5*C13</f>
        <v>1.561982096149753</v>
      </c>
      <c r="F15" s="1">
        <f>E15*D5*C12</f>
        <v>1.4652261458149636</v>
      </c>
      <c r="G15" s="1">
        <f>F15*D5*C11</f>
        <v>1.3302076886042091</v>
      </c>
      <c r="H15" s="1">
        <f>G15*D5*C10</f>
        <v>1.1417956713123112</v>
      </c>
      <c r="I15" s="1">
        <f>H15*D5*C9</f>
        <v>0.87887540845824241</v>
      </c>
      <c r="J15" s="1">
        <f>I15*D5</f>
        <v>0.5119823322477306</v>
      </c>
      <c r="K15" s="1">
        <f>J15*D5</f>
        <v>0.29825149959953606</v>
      </c>
      <c r="L15" s="1"/>
      <c r="M15" s="9"/>
      <c r="N15">
        <f>B15+K15</f>
        <v>1</v>
      </c>
      <c r="R15" s="186">
        <f>B15-K15</f>
        <v>0.40349700080092782</v>
      </c>
      <c r="S15" s="93">
        <f>SUM(C15:J15)*B5*F5</f>
        <v>5.6146552936527021</v>
      </c>
      <c r="T15" s="9">
        <f>SUM(C15:J15)*D5*H5</f>
        <v>-5.9433287932998162</v>
      </c>
      <c r="U15" s="261">
        <f t="shared" si="0"/>
        <v>-0.32867349964711412</v>
      </c>
      <c r="V15" s="93">
        <f>(U15+W15*K15)/B15</f>
        <v>2.9317319466662508</v>
      </c>
      <c r="W15" s="9">
        <f t="shared" si="1"/>
        <v>8</v>
      </c>
    </row>
    <row r="16" spans="1:23" x14ac:dyDescent="0.2">
      <c r="A16" s="99">
        <v>9</v>
      </c>
      <c r="B16" s="97">
        <f>C16*B5</f>
        <v>0.70611685802635826</v>
      </c>
      <c r="C16" s="97">
        <f>1/(1-D5*B5/(1-D5*B5/(1-D5*B5/(1-D5*B5/(1-D5*B5/(1-D5*B5/(1-D5*B5/(1-D5*B5))))))))</f>
        <v>1.691470300903394</v>
      </c>
      <c r="D16" s="144">
        <f>C16*D5*C15</f>
        <v>1.6563851501916202</v>
      </c>
      <c r="E16" s="1">
        <f>D16*D5*C14</f>
        <v>1.6074254437992044</v>
      </c>
      <c r="F16" s="1">
        <f>E16*D5*C13</f>
        <v>1.5391044361534483</v>
      </c>
      <c r="G16" s="1">
        <f>F16*D5*C12</f>
        <v>1.4437656273722239</v>
      </c>
      <c r="H16" s="1">
        <f>G16*D5*C11</f>
        <v>1.3107247257076613</v>
      </c>
      <c r="I16" s="1">
        <f>H16*D5*C10</f>
        <v>1.1250722957896819</v>
      </c>
      <c r="J16" s="1">
        <f>I16*D5*C9</f>
        <v>0.86600290958429005</v>
      </c>
      <c r="K16" s="1">
        <f>J16*D5</f>
        <v>0.50448355377251564</v>
      </c>
      <c r="L16" s="1">
        <f>K16*D5</f>
        <v>0.29388314197364163</v>
      </c>
      <c r="M16" s="9"/>
      <c r="N16">
        <f>B16+L16</f>
        <v>0.99999999999999989</v>
      </c>
      <c r="R16" s="186">
        <f>B16-L16</f>
        <v>0.41223371605271664</v>
      </c>
      <c r="S16" s="93">
        <f>SUM(C16:K16)*B5*F5</f>
        <v>6.4632820919161782</v>
      </c>
      <c r="T16" s="9">
        <f>SUM(C16:K16)*D5*H5</f>
        <v>-6.8416329315052291</v>
      </c>
      <c r="U16" s="261">
        <f t="shared" si="0"/>
        <v>-0.37835083958905091</v>
      </c>
      <c r="V16" s="93">
        <f>(U16+W16*L16)/B16</f>
        <v>3.2099466432638484</v>
      </c>
      <c r="W16" s="9">
        <f t="shared" si="1"/>
        <v>9</v>
      </c>
    </row>
    <row r="17" spans="1:23" ht="17" thickBot="1" x14ac:dyDescent="0.25">
      <c r="A17" s="100">
        <v>10</v>
      </c>
      <c r="B17" s="145">
        <f>C17*B5</f>
        <v>0.70916938988868072</v>
      </c>
      <c r="C17" s="145">
        <f>1/(1-D5*B5/(1-D5*B5/(1-D5*B5/(1-D5*B5/(1-D5*B5/(1-D5*B5/(1-D5*B5/(1-D5*B5/(1-D5*B5)))))))))</f>
        <v>1.6987824999098184</v>
      </c>
      <c r="D17" s="153">
        <f>C17*D5*C16</f>
        <v>1.6739011849853973</v>
      </c>
      <c r="E17" s="111">
        <f>D17*D5*C15</f>
        <v>1.6391804598739586</v>
      </c>
      <c r="F17" s="111">
        <f>E17*D5*C14</f>
        <v>1.5907292925652379</v>
      </c>
      <c r="G17" s="111">
        <f>F17*D5*C13</f>
        <v>1.5231179277091433</v>
      </c>
      <c r="H17" s="111">
        <f>G17*D5*C12</f>
        <v>1.4287693926454454</v>
      </c>
      <c r="I17" s="111">
        <f>H17*D5*C11</f>
        <v>1.2971103721891615</v>
      </c>
      <c r="J17" s="111">
        <f>I17*D5*C10</f>
        <v>1.1133862936350487</v>
      </c>
      <c r="K17" s="111">
        <f>J17*D5*C9</f>
        <v>0.85700783264106362</v>
      </c>
      <c r="L17" s="111">
        <f>K17*D5</f>
        <v>0.49924353860333515</v>
      </c>
      <c r="M17" s="10">
        <f>L17*D5</f>
        <v>0.29083061011131911</v>
      </c>
      <c r="N17">
        <f>B17+M17</f>
        <v>0.99999999999999978</v>
      </c>
      <c r="R17" s="187">
        <f>B17-M17</f>
        <v>0.41833877977736161</v>
      </c>
      <c r="S17" s="94">
        <f>SUM(C17:L17)*B5*F5</f>
        <v>7.3310349619076991</v>
      </c>
      <c r="T17" s="10">
        <f>SUM(C17:L17)*D5*H5</f>
        <v>-7.7601827529910592</v>
      </c>
      <c r="U17" s="262">
        <f t="shared" si="0"/>
        <v>-0.4291477910833601</v>
      </c>
      <c r="V17" s="94">
        <f>(U17+W17*M17)/B17</f>
        <v>3.4958619835791107</v>
      </c>
      <c r="W17" s="10">
        <f t="shared" si="1"/>
        <v>10</v>
      </c>
    </row>
    <row r="20" spans="1:23" x14ac:dyDescent="0.2">
      <c r="A20" s="366" t="s">
        <v>129</v>
      </c>
      <c r="B20" s="366"/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  <c r="U20" s="366"/>
      <c r="V20" s="366"/>
      <c r="W20" s="366"/>
    </row>
    <row r="21" spans="1:23" x14ac:dyDescent="0.2">
      <c r="A21" t="s">
        <v>123</v>
      </c>
      <c r="B21">
        <f>$C$2</f>
        <v>0.41745743785701095</v>
      </c>
      <c r="C21" t="s">
        <v>124</v>
      </c>
      <c r="D21">
        <f>$E$2</f>
        <v>0.58254256214298905</v>
      </c>
      <c r="E21" t="s">
        <v>47</v>
      </c>
      <c r="F21">
        <f>G2</f>
        <v>1.3182834500645289</v>
      </c>
      <c r="G21" t="s">
        <v>155</v>
      </c>
      <c r="H21">
        <f>I2</f>
        <v>-1</v>
      </c>
      <c r="I21" t="s">
        <v>48</v>
      </c>
      <c r="J21">
        <f>K2</f>
        <v>-3.2215330709750079E-2</v>
      </c>
    </row>
    <row r="22" spans="1:23" ht="17" thickBot="1" x14ac:dyDescent="0.25"/>
    <row r="23" spans="1:23" ht="17" thickBot="1" x14ac:dyDescent="0.25">
      <c r="A23" s="103"/>
      <c r="B23" s="117">
        <v>2</v>
      </c>
      <c r="C23" s="103">
        <v>1</v>
      </c>
      <c r="D23" s="154">
        <v>0</v>
      </c>
      <c r="E23" s="151">
        <v>-1</v>
      </c>
      <c r="F23" s="118">
        <v>-2</v>
      </c>
      <c r="G23" s="118">
        <v>-3</v>
      </c>
      <c r="H23" s="118">
        <v>-4</v>
      </c>
      <c r="I23" s="118">
        <v>-5</v>
      </c>
      <c r="J23" s="118">
        <v>-6</v>
      </c>
      <c r="K23" s="118">
        <v>-7</v>
      </c>
      <c r="L23" s="118">
        <v>-8</v>
      </c>
      <c r="M23" s="118">
        <v>-9</v>
      </c>
      <c r="N23" s="105">
        <v>-10</v>
      </c>
      <c r="O23" t="s">
        <v>135</v>
      </c>
      <c r="R23" s="184" t="s">
        <v>49</v>
      </c>
      <c r="S23" s="164" t="s">
        <v>130</v>
      </c>
      <c r="T23" s="165" t="s">
        <v>136</v>
      </c>
      <c r="U23" s="183" t="s">
        <v>48</v>
      </c>
      <c r="V23" s="175" t="s">
        <v>47</v>
      </c>
      <c r="W23" s="168" t="s">
        <v>155</v>
      </c>
    </row>
    <row r="24" spans="1:23" x14ac:dyDescent="0.2">
      <c r="A24" s="101">
        <v>1</v>
      </c>
      <c r="B24" s="109">
        <f>C24*B21</f>
        <v>0.23026910108345741</v>
      </c>
      <c r="C24" s="95">
        <f>D24*B21</f>
        <v>0.55159898998453116</v>
      </c>
      <c r="D24" s="95">
        <f>1/(1-B21*D21)</f>
        <v>1.3213298889010736</v>
      </c>
      <c r="E24" s="152">
        <f>D24*D21</f>
        <v>0.76973089891654245</v>
      </c>
      <c r="F24" s="110"/>
      <c r="G24" s="110"/>
      <c r="H24" s="110"/>
      <c r="I24" s="110"/>
      <c r="J24" s="110"/>
      <c r="K24" s="110"/>
      <c r="L24" s="110"/>
      <c r="M24" s="110"/>
      <c r="N24" s="57"/>
      <c r="O24">
        <f>E24+B24</f>
        <v>0.99999999999999989</v>
      </c>
      <c r="R24" s="188">
        <f>B24-E24</f>
        <v>-0.53946179783308501</v>
      </c>
      <c r="S24" s="109">
        <f>SUM(C24:D24)*B21*F21</f>
        <v>1.030723764588475</v>
      </c>
      <c r="T24" s="57">
        <f>SUM(C24:D24)*D21*H21</f>
        <v>-1.0910607878176162</v>
      </c>
      <c r="U24" s="260">
        <f>S24+T24</f>
        <v>-6.033702322914114E-2</v>
      </c>
      <c r="V24" s="109">
        <f>(U24+W24*D24)/B24</f>
        <v>5.4761705315161038</v>
      </c>
      <c r="W24" s="57">
        <f>COUNT(E24:N24)</f>
        <v>1</v>
      </c>
    </row>
    <row r="25" spans="1:23" x14ac:dyDescent="0.2">
      <c r="A25" s="99">
        <v>2</v>
      </c>
      <c r="B25" s="93">
        <f>C25*B21</f>
        <v>0.33929459588340749</v>
      </c>
      <c r="C25" s="97">
        <f>D25*B21</f>
        <v>0.81276452427139145</v>
      </c>
      <c r="D25" s="97">
        <f>1/(1-B21*D21*2)</f>
        <v>1.9469398567759679</v>
      </c>
      <c r="E25" s="144">
        <f>D25*D21</f>
        <v>1.1341753325045765</v>
      </c>
      <c r="F25" s="1">
        <f>E25*D21</f>
        <v>0.66070540411659251</v>
      </c>
      <c r="G25" s="1"/>
      <c r="H25" s="1"/>
      <c r="I25" s="1"/>
      <c r="J25" s="1"/>
      <c r="K25" s="1"/>
      <c r="L25" s="1"/>
      <c r="M25" s="1"/>
      <c r="N25" s="9"/>
      <c r="O25">
        <f>F25+B25</f>
        <v>1</v>
      </c>
      <c r="R25" s="189">
        <f>B25-F25</f>
        <v>-0.32141080823318502</v>
      </c>
      <c r="S25" s="93">
        <f>SUM(C25:E25)*B21*F21</f>
        <v>2.1429080422930911</v>
      </c>
      <c r="T25" s="9">
        <f>SUM(C25:E25)*D21*H21</f>
        <v>-2.2683506650091529</v>
      </c>
      <c r="U25" s="261">
        <f>S25+T25</f>
        <v>-0.12544262271606188</v>
      </c>
      <c r="V25" s="93">
        <f>(U25+W25*E25)/B25</f>
        <v>6.3157741629031516</v>
      </c>
      <c r="W25" s="9">
        <f>COUNT(E25:N25)</f>
        <v>2</v>
      </c>
    </row>
    <row r="26" spans="1:23" x14ac:dyDescent="0.2">
      <c r="A26" s="99">
        <v>3</v>
      </c>
      <c r="B26" s="93">
        <f>C26*B21</f>
        <v>0.40017763744625984</v>
      </c>
      <c r="C26" s="97">
        <f>D26*B21</f>
        <v>0.95860703668509106</v>
      </c>
      <c r="D26" s="97">
        <f>1/(1-B21*D21-D21*B21/(1-D21*B21))</f>
        <v>2.2962988552941694</v>
      </c>
      <c r="E26" s="144">
        <f>D26*D21/(1-B21*D21)</f>
        <v>1.7675321820666086</v>
      </c>
      <c r="F26" s="1">
        <f>E26*(D21)</f>
        <v>1.0296627260112703</v>
      </c>
      <c r="G26" s="1">
        <f>F26*D21</f>
        <v>0.59982236255373989</v>
      </c>
      <c r="H26" s="1"/>
      <c r="I26" s="1"/>
      <c r="J26" s="1"/>
      <c r="K26" s="1"/>
      <c r="L26" s="1"/>
      <c r="M26" s="1"/>
      <c r="N26" s="9"/>
      <c r="O26">
        <f>G26+B26</f>
        <v>0.99999999999999978</v>
      </c>
      <c r="R26" s="189">
        <f>B26-G26</f>
        <v>-0.19964472510748005</v>
      </c>
      <c r="S26" s="93">
        <f>SUM(C26:F26)*B21*F21</f>
        <v>3.3306358776503369</v>
      </c>
      <c r="T26" s="9">
        <f>SUM(C26:F26)*D21*H21</f>
        <v>-3.5256063064129202</v>
      </c>
      <c r="U26" s="261">
        <f t="shared" ref="U26:U33" si="2">S26+T26</f>
        <v>-0.1949704287625833</v>
      </c>
      <c r="V26" s="93">
        <f>(U26+W26*F26)/B26</f>
        <v>7.2318327624188328</v>
      </c>
      <c r="W26" s="9">
        <f>COUNT(E26:N26)</f>
        <v>3</v>
      </c>
    </row>
    <row r="27" spans="1:23" x14ac:dyDescent="0.2">
      <c r="A27" s="99">
        <v>4</v>
      </c>
      <c r="B27" s="93">
        <f>C27*B21</f>
        <v>0.43733323792593504</v>
      </c>
      <c r="C27" s="97">
        <f>D27*B21</f>
        <v>1.0476115605244816</v>
      </c>
      <c r="D27" s="97">
        <f>1/(1-B21*D21-D21*B21/(1-D21*B21/(1-D21*B21)))</f>
        <v>2.5095050788945659</v>
      </c>
      <c r="E27" s="144">
        <f>D27*D21/(1-D21*B21/(1-D21*B21))</f>
        <v>2.154056137823626</v>
      </c>
      <c r="F27" s="1">
        <f>E27*D21/(1-B21*D21)</f>
        <v>1.6580435672836753</v>
      </c>
      <c r="G27" s="1">
        <f>F27*D21</f>
        <v>0.96588094783013367</v>
      </c>
      <c r="H27" s="1">
        <f>G27*D21</f>
        <v>0.56266676207406485</v>
      </c>
      <c r="I27" s="1"/>
      <c r="J27" s="1"/>
      <c r="K27" s="1"/>
      <c r="L27" s="1"/>
      <c r="M27" s="1"/>
      <c r="N27" s="9"/>
      <c r="O27">
        <f>H27+B27</f>
        <v>0.99999999999999989</v>
      </c>
      <c r="R27" s="189">
        <f>B27-H27</f>
        <v>-0.12533352414812982</v>
      </c>
      <c r="S27" s="93">
        <f>SUM(C27:G27)*B21*F21</f>
        <v>4.5870310166292301</v>
      </c>
      <c r="T27" s="9">
        <f>SUM(C27:G27)*D21*H21</f>
        <v>-4.8555489324004357</v>
      </c>
      <c r="U27" s="261">
        <f t="shared" si="2"/>
        <v>-0.26851791577120565</v>
      </c>
      <c r="V27" s="93">
        <f>(U27+W27*G27)/B27</f>
        <v>8.2202896185040579</v>
      </c>
      <c r="W27" s="9">
        <f t="shared" ref="W27:W33" si="3">COUNT(E27:N27)</f>
        <v>4</v>
      </c>
    </row>
    <row r="28" spans="1:23" x14ac:dyDescent="0.2">
      <c r="A28" s="99">
        <v>5</v>
      </c>
      <c r="B28" s="93">
        <f>C28*B21</f>
        <v>0.46124847474265235</v>
      </c>
      <c r="C28" s="97">
        <f>D28*B21</f>
        <v>1.1048994050996903</v>
      </c>
      <c r="D28" s="97">
        <f>1/(1-B21*D21-D21*B21/(1-D21*B21/(1-D21*B21/(1-D21*B21))))</f>
        <v>2.6467354630728717</v>
      </c>
      <c r="E28" s="144">
        <f>D28*D21/(1-D21*B21/(1-D21*B21/(1-D21*B21)))</f>
        <v>2.4028426415519131</v>
      </c>
      <c r="F28" s="1">
        <f>E28*D21/(1-B21*D21/(1-B21*D21))</f>
        <v>2.0625014803871977</v>
      </c>
      <c r="G28" s="1">
        <f>F28*D21/(1-B21*D21)</f>
        <v>1.5875711185151373</v>
      </c>
      <c r="H28" s="1">
        <f>G28*D21</f>
        <v>0.92482774696401904</v>
      </c>
      <c r="I28" s="1">
        <f>H28*D21</f>
        <v>0.5387515252573476</v>
      </c>
      <c r="J28" s="1"/>
      <c r="K28" s="1"/>
      <c r="L28" s="1"/>
      <c r="M28" s="1"/>
      <c r="N28" s="9"/>
      <c r="O28">
        <f>I28+B28</f>
        <v>1</v>
      </c>
      <c r="R28" s="189">
        <f>B28-I28</f>
        <v>-7.7503050514695249E-2</v>
      </c>
      <c r="S28" s="93">
        <f>SUM(C28:H28)*B21*F21</f>
        <v>5.9046688102684053</v>
      </c>
      <c r="T28" s="9">
        <f>SUM(C28:H28)*D21*H21</f>
        <v>-6.2503192661961311</v>
      </c>
      <c r="U28" s="261">
        <f t="shared" si="2"/>
        <v>-0.34565045592772581</v>
      </c>
      <c r="V28" s="93">
        <f>(U28+W28*H28)/B28</f>
        <v>9.2758860206085156</v>
      </c>
      <c r="W28" s="9">
        <f t="shared" si="3"/>
        <v>5</v>
      </c>
    </row>
    <row r="29" spans="1:23" x14ac:dyDescent="0.2">
      <c r="A29" s="99">
        <v>6</v>
      </c>
      <c r="B29" s="93">
        <f>C29*B21</f>
        <v>0.47717298148675991</v>
      </c>
      <c r="C29" s="97">
        <f>D29*B21</f>
        <v>1.1430458250697235</v>
      </c>
      <c r="D29" s="97">
        <f>1/(1-B21*D21-D21*B21/(1-D21*B21/(1-D21*B21/(1-D21*B21/(1-D21*B21)))))</f>
        <v>2.7381134492116623</v>
      </c>
      <c r="E29" s="144">
        <f>D29*D21/(1-B21*D21/(1-D21*B21/(1-D21*B21/(1-D21*B21))))</f>
        <v>2.56850281823453</v>
      </c>
      <c r="F29" s="1">
        <f>E29*D21/(1-D21*B21/(1-D21*B21/(1-D21*B21)))</f>
        <v>2.3318190210950704</v>
      </c>
      <c r="G29" s="1">
        <f>F29*D21/(1-D21*B21/(1-D21*B21))</f>
        <v>2.0015377202967386</v>
      </c>
      <c r="H29" s="1">
        <f>G29*D21/(1-D21*B21)</f>
        <v>1.5406454286593758</v>
      </c>
      <c r="I29" s="1">
        <f>H29*D21</f>
        <v>0.89749153536511639</v>
      </c>
      <c r="J29" s="1">
        <f>I29*D21</f>
        <v>0.52282701851323998</v>
      </c>
      <c r="K29" s="1"/>
      <c r="L29" s="1"/>
      <c r="M29" s="1"/>
      <c r="N29" s="9"/>
      <c r="O29">
        <f>J29+B29</f>
        <v>0.99999999999999989</v>
      </c>
      <c r="R29" s="189">
        <f>B29-J29</f>
        <v>-4.5654037026480077E-2</v>
      </c>
      <c r="S29" s="93">
        <f>SUM(C29:I29)*B21*F21</f>
        <v>7.2759620666235536</v>
      </c>
      <c r="T29" s="9">
        <f>SUM(C29:I29)*D21*H21</f>
        <v>-7.7018859730190687</v>
      </c>
      <c r="U29" s="261">
        <f t="shared" si="2"/>
        <v>-0.42592390639551514</v>
      </c>
      <c r="V29" s="93">
        <f>(U29+W29*I29)/B29</f>
        <v>10.392510678924056</v>
      </c>
      <c r="W29" s="9">
        <f t="shared" si="3"/>
        <v>6</v>
      </c>
    </row>
    <row r="30" spans="1:23" x14ac:dyDescent="0.2">
      <c r="A30" s="99">
        <v>7</v>
      </c>
      <c r="B30" s="93">
        <f>C30*B21</f>
        <v>0.4880176677522694</v>
      </c>
      <c r="C30" s="97">
        <f>D30*B21</f>
        <v>1.1690237698422012</v>
      </c>
      <c r="D30" s="97">
        <f>1/(1-B21*D21-D21*B21/(1-D21*B21/(1-D21*B21/(1-D21*B21/(1-D21*B21/(1-D21*B21))))))</f>
        <v>2.8003424153688683</v>
      </c>
      <c r="E30" s="144">
        <f>D30*D21/(1-D21*B21/(1-D21*B21/(1-D21*B21/(1-D21*B21/(1-D21*B21)))))</f>
        <v>2.6813184094286893</v>
      </c>
      <c r="F30" s="1">
        <f>E30*D21/(1-D21*B21/(1-D21*B21/(1-D21*B21/(1-D21*B21))))</f>
        <v>2.5152259097169858</v>
      </c>
      <c r="G30" s="1">
        <f>F30*D21/(1-D21*B21/(1-D21*B21/(1-D21*B21)))</f>
        <v>2.2834515021714421</v>
      </c>
      <c r="H30" s="1">
        <f>G30*D21/(1-D21*B21/(1-D21*B21))</f>
        <v>1.9600210276687893</v>
      </c>
      <c r="I30" s="1">
        <f>H30*D21/(1-D21*B21)</f>
        <v>1.5086887475228228</v>
      </c>
      <c r="J30" s="1">
        <f>I30*D21</f>
        <v>0.8788754084582423</v>
      </c>
      <c r="K30" s="1">
        <f>J30*D21</f>
        <v>0.51198233224773049</v>
      </c>
      <c r="L30" s="1"/>
      <c r="M30" s="1"/>
      <c r="N30" s="9"/>
      <c r="O30">
        <f>K30+B30</f>
        <v>0.99999999999999989</v>
      </c>
      <c r="R30" s="189">
        <f>B30-K30</f>
        <v>-2.3964664495461085E-2</v>
      </c>
      <c r="S30" s="93">
        <f>SUM(C30:J30)*B21*F21</f>
        <v>8.6934902122677666</v>
      </c>
      <c r="T30" s="9">
        <f>SUM(C30:J30)*D21*H21</f>
        <v>-9.2023940902038088</v>
      </c>
      <c r="U30" s="261">
        <f t="shared" si="2"/>
        <v>-0.50890387793604219</v>
      </c>
      <c r="V30" s="93">
        <f>(U30+W30*J30)/B30</f>
        <v>11.563564916129845</v>
      </c>
      <c r="W30" s="9">
        <f t="shared" si="3"/>
        <v>7</v>
      </c>
    </row>
    <row r="31" spans="1:23" x14ac:dyDescent="0.2">
      <c r="A31" s="99">
        <v>8</v>
      </c>
      <c r="B31" s="93">
        <f>C31*B21</f>
        <v>0.49551644622748425</v>
      </c>
      <c r="C31" s="97">
        <f>D31*B21</f>
        <v>1.1869867471308784</v>
      </c>
      <c r="D31" s="97">
        <f>1/(1-B21*D21-D21*B21/(1-D21*B21/(1-D21*B21/(1-D21*B21/(1-D21*B21/(1-D21*B21/(1-D21*B21)))))))</f>
        <v>2.8433718973224988</v>
      </c>
      <c r="E31" s="144">
        <f>D31*D21/(1-D21*B21/(1-D21*B21/(1-D21*B21/(1-D21*B21/(1-D21*B21/(1-D21*B21))))))</f>
        <v>2.759327040218309</v>
      </c>
      <c r="F31" s="1">
        <f>E31*D21/(1-D21*B21/(1-D21*B21/(1-D21*B21/(1-D21*B21/(1-D21*B21)))))</f>
        <v>2.6420463261801368</v>
      </c>
      <c r="G31" s="1">
        <f>F31*D21/(1-D21*B21/(1-D21*B21/(1-D21*B21/(1-D21*B21))))</f>
        <v>2.4783865097531566</v>
      </c>
      <c r="H31" s="1">
        <f>G31*D21/(1-D21*B21/(1-D21*B21/(1-D21*B21)))</f>
        <v>2.2500067993073696</v>
      </c>
      <c r="I31" s="1">
        <f>H31*D21/(1-D21*B21/(1-D21*B21))</f>
        <v>1.9313134677248276</v>
      </c>
      <c r="J31" s="1">
        <f>I31*D21/(1-D21*B21)</f>
        <v>1.4865916516014566</v>
      </c>
      <c r="K31" s="1">
        <f>J31*D21</f>
        <v>0.86600290958429027</v>
      </c>
      <c r="L31" s="1">
        <f>K31*D21</f>
        <v>0.50448355377251575</v>
      </c>
      <c r="M31" s="1"/>
      <c r="N31" s="9"/>
      <c r="O31">
        <f>L31+B31</f>
        <v>1</v>
      </c>
      <c r="R31" s="189">
        <f>B31-L31</f>
        <v>-8.9671075450314941E-3</v>
      </c>
      <c r="S31" s="93">
        <f>SUM(C31:K31)*B21*F21</f>
        <v>10.150253809320054</v>
      </c>
      <c r="T31" s="9">
        <f>SUM(C31:K31)*D21*H21</f>
        <v>-10.744434443274043</v>
      </c>
      <c r="U31" s="261">
        <f t="shared" si="2"/>
        <v>-0.59418063395398946</v>
      </c>
      <c r="V31" s="93">
        <f>(U31+W31*K31)/B31</f>
        <v>12.782305594378919</v>
      </c>
      <c r="W31" s="9">
        <f t="shared" si="3"/>
        <v>8</v>
      </c>
    </row>
    <row r="32" spans="1:23" x14ac:dyDescent="0.2">
      <c r="A32" s="99">
        <v>9</v>
      </c>
      <c r="B32" s="93">
        <f>C32*B21</f>
        <v>0.50075646139666463</v>
      </c>
      <c r="C32" s="97">
        <f>D32*B21</f>
        <v>1.1995389613064831</v>
      </c>
      <c r="D32" s="97">
        <f>1/(1-B21*D21-D21*B21/(1-D21*B21/(1-D21*B21/(1-D21*B21/(1-D21*B21/(1-D21*B21/(1-D21*B21/(1-D21*B21))))))))</f>
        <v>2.8734401462918804</v>
      </c>
      <c r="E32" s="144">
        <f>D32*D21/(1-D21*B21/(1-D21*B21/(1-D21*B21/(1-D21*B21/(1-D21*B21/(1-D21*B21/(1-D21*B21)))))))</f>
        <v>2.8138381062560205</v>
      </c>
      <c r="F32" s="1">
        <f>E32*D21/(1-D21*B21/(1-D21*B21/(1-D21*B21/(1-D21*B21/(1-D21*B21/(1-D21*B21))))))</f>
        <v>2.7306662138358613</v>
      </c>
      <c r="G32" s="1">
        <f>F32*D21/(1-D21*B21/(1-D21*B21/(1-D21*B21/(1-D21*B21/(1-D21*B21)))))</f>
        <v>2.6146036816710461</v>
      </c>
      <c r="H32" s="1">
        <f>G32*D21/(1-D21*B21/(1-D21*B21/(1-D21*B21/(1-D21*B21))))</f>
        <v>2.4526437817512536</v>
      </c>
      <c r="I32" s="1">
        <f>H32*D21/(1-D21*B21/(1-D21*B21/(1-D21*B21)))</f>
        <v>2.2266362262312716</v>
      </c>
      <c r="J32" s="1">
        <f>I32*D21/(1-D21*B21/(1-D21*B21))</f>
        <v>1.9112531272208744</v>
      </c>
      <c r="K32" s="1">
        <f>J32*D21/(1-D21*B21)</f>
        <v>1.4711505876727764</v>
      </c>
      <c r="L32" s="1">
        <f>K32*D21</f>
        <v>0.85700783264106317</v>
      </c>
      <c r="M32" s="1">
        <f>L32*D21</f>
        <v>0.49924353860333492</v>
      </c>
      <c r="N32" s="9"/>
      <c r="O32">
        <f>M32+B32</f>
        <v>0.99999999999999956</v>
      </c>
      <c r="R32" s="189">
        <f>B32-M32</f>
        <v>1.5129227933297074E-3</v>
      </c>
      <c r="S32" s="93">
        <f>SUM(C32:L32)*B21*F21</f>
        <v>11.639849465299823</v>
      </c>
      <c r="T32" s="9">
        <f>SUM(C32:L32)*D21*H21</f>
        <v>-12.32122879475761</v>
      </c>
      <c r="U32" s="261">
        <f t="shared" si="2"/>
        <v>-0.68137932945778701</v>
      </c>
      <c r="V32" s="93">
        <f>(U32+W32*L32)/B32</f>
        <v>14.042137658492962</v>
      </c>
      <c r="W32" s="9">
        <f t="shared" si="3"/>
        <v>9</v>
      </c>
    </row>
    <row r="33" spans="1:23" ht="17" thickBot="1" x14ac:dyDescent="0.25">
      <c r="A33" s="100">
        <v>10</v>
      </c>
      <c r="B33" s="94">
        <f>C33*B21</f>
        <v>0.50444506409312206</v>
      </c>
      <c r="C33" s="145">
        <f>D33*B21</f>
        <v>1.2083748386006874</v>
      </c>
      <c r="D33" s="145">
        <f>1/(1-B21*D21-D21*B21/(1-D21*B21/(1-D21*B21/(1-D21*B21/(1-D21*B21/(1-D21*B21/(1-D21*B21/(1-D21*B21/(1-D21*B21)))))))))</f>
        <v>2.8946060820087349</v>
      </c>
      <c r="E33" s="153">
        <f>D33*D21/(1-D21*B21/(1-D21*B21/(1-D21*B21/(1-D21*B21/(1-D21*B21/(1-D21*B21/(1-D21*B21/(1-D21*B21))))))))</f>
        <v>2.8522100686801144</v>
      </c>
      <c r="F33" s="111">
        <f>E33*D21/(1-D21*B21/(1-D21*B21/(1-D21*B21/(1-D21*B21/(1-D21*B21/(1-D21*B21/(1-D21*B21)))))))</f>
        <v>2.7930483913702413</v>
      </c>
      <c r="G33" s="111">
        <f>F33*D21/(1-D21*B21/(1-D21*B21/(1-D21*B21/(1-D21*B21/(1-D21*B21/(1-D21*B21))))))</f>
        <v>2.7104910047832647</v>
      </c>
      <c r="H33" s="111">
        <f>G33*D21/(1-D21*B21/(1-D21*B21/(1-D21*B21/(1-D21*B21/(1-D21*B21)))))</f>
        <v>2.5952859871098708</v>
      </c>
      <c r="I33" s="111">
        <f>H33*D21/(1-D21*B21/(1-D21*B21/(1-D21*B21/(1-D21*B21))))</f>
        <v>2.4345227090336645</v>
      </c>
      <c r="J33" s="111">
        <f>I33*D21/(1-D21*B21/(1-D21*B21/(1-D21*B21)))</f>
        <v>2.2101849839957013</v>
      </c>
      <c r="K33" s="111">
        <f>J33*D21/(1-D21*B21/(1-D21*B21))</f>
        <v>1.8971320562533818</v>
      </c>
      <c r="L33" s="111">
        <f>K33*D21/(1-D21*B21)</f>
        <v>1.4602811630233044</v>
      </c>
      <c r="M33" s="111">
        <f>L33*D21</f>
        <v>0.85067593015673959</v>
      </c>
      <c r="N33" s="10">
        <f>M33*D21</f>
        <v>0.49555493590687749</v>
      </c>
      <c r="O33">
        <f>N33+B33</f>
        <v>0.99999999999999956</v>
      </c>
      <c r="R33" s="190">
        <f>B33-N33</f>
        <v>8.8901281862445725E-3</v>
      </c>
      <c r="S33" s="94">
        <f>SUM(C33:M33)*B21*F21</f>
        <v>13.156570329011167</v>
      </c>
      <c r="T33" s="10">
        <f>SUM(C33:M33)*D21*H21</f>
        <v>-13.926736222949119</v>
      </c>
      <c r="U33" s="262">
        <f t="shared" si="2"/>
        <v>-0.77016589393795165</v>
      </c>
      <c r="V33" s="94">
        <f>(U33+W33*M33)/B33</f>
        <v>15.336840338676097</v>
      </c>
      <c r="W33" s="10">
        <f t="shared" si="3"/>
        <v>10</v>
      </c>
    </row>
    <row r="35" spans="1:23" x14ac:dyDescent="0.2">
      <c r="A35" s="366" t="s">
        <v>140</v>
      </c>
      <c r="B35" s="366"/>
      <c r="C35" s="366"/>
      <c r="D35" s="366"/>
      <c r="E35" s="366"/>
      <c r="F35" s="366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6"/>
      <c r="S35" s="366"/>
      <c r="T35" s="366"/>
      <c r="U35" s="366"/>
      <c r="V35" s="366"/>
      <c r="W35" s="366"/>
    </row>
    <row r="36" spans="1:23" x14ac:dyDescent="0.2">
      <c r="A36" t="s">
        <v>123</v>
      </c>
      <c r="B36">
        <f>$C$2</f>
        <v>0.41745743785701095</v>
      </c>
      <c r="C36" t="s">
        <v>124</v>
      </c>
      <c r="D36">
        <f>$E$2</f>
        <v>0.58254256214298905</v>
      </c>
      <c r="E36" t="s">
        <v>47</v>
      </c>
      <c r="F36">
        <f>G2</f>
        <v>1.3182834500645289</v>
      </c>
      <c r="G36" t="s">
        <v>180</v>
      </c>
      <c r="H36">
        <f>I2</f>
        <v>-1</v>
      </c>
      <c r="I36" t="s">
        <v>48</v>
      </c>
      <c r="J36">
        <f>K2</f>
        <v>-3.2215330709750079E-2</v>
      </c>
    </row>
    <row r="37" spans="1:23" ht="17" thickBot="1" x14ac:dyDescent="0.25"/>
    <row r="38" spans="1:23" ht="17" thickBot="1" x14ac:dyDescent="0.25">
      <c r="A38" s="103"/>
      <c r="B38" s="103">
        <v>3</v>
      </c>
      <c r="C38" s="154">
        <v>2</v>
      </c>
      <c r="D38" s="114">
        <v>1</v>
      </c>
      <c r="E38" s="154">
        <v>0</v>
      </c>
      <c r="F38" s="151">
        <v>-1</v>
      </c>
      <c r="G38" s="118">
        <v>-2</v>
      </c>
      <c r="H38" s="118">
        <v>-3</v>
      </c>
      <c r="I38" s="118">
        <v>-4</v>
      </c>
      <c r="J38" s="118">
        <v>-5</v>
      </c>
      <c r="K38" s="118">
        <v>-6</v>
      </c>
      <c r="L38" s="118">
        <v>-7</v>
      </c>
      <c r="M38" s="118">
        <v>-8</v>
      </c>
      <c r="N38" s="118">
        <v>-9</v>
      </c>
      <c r="O38" s="105">
        <v>-10</v>
      </c>
      <c r="P38" t="s">
        <v>135</v>
      </c>
      <c r="R38" s="184" t="s">
        <v>49</v>
      </c>
      <c r="S38" s="164" t="s">
        <v>130</v>
      </c>
      <c r="T38" s="165" t="s">
        <v>136</v>
      </c>
      <c r="U38" s="183" t="s">
        <v>48</v>
      </c>
      <c r="V38" s="175" t="s">
        <v>47</v>
      </c>
      <c r="W38" s="168" t="s">
        <v>155</v>
      </c>
    </row>
    <row r="39" spans="1:23" x14ac:dyDescent="0.2">
      <c r="A39" s="101">
        <v>1</v>
      </c>
      <c r="B39" s="101">
        <f>C39*$B$36</f>
        <v>0.14164105267621721</v>
      </c>
      <c r="C39" s="95">
        <f>D39*$B$36</f>
        <v>0.33929459588340743</v>
      </c>
      <c r="D39" s="171">
        <f t="shared" ref="D39:D48" si="4">E39*$B$36/(1-$B$36*$D$36)</f>
        <v>0.81276452427139134</v>
      </c>
      <c r="E39" s="171">
        <f>1/(1-D36*B36/(1-D36*B36))</f>
        <v>1.473469928387984</v>
      </c>
      <c r="F39" s="152">
        <f>E39*D36</f>
        <v>0.85835894732378282</v>
      </c>
      <c r="G39" s="110"/>
      <c r="H39" s="110"/>
      <c r="I39" s="110"/>
      <c r="J39" s="110"/>
      <c r="K39" s="110"/>
      <c r="L39" s="110"/>
      <c r="M39" s="110"/>
      <c r="N39" s="110"/>
      <c r="O39" s="57"/>
      <c r="P39">
        <f>F39+B39</f>
        <v>1</v>
      </c>
      <c r="R39" s="188">
        <f>B39-F39</f>
        <v>-0.71671789464756563</v>
      </c>
      <c r="S39" s="109">
        <f>SUM(C39:E39)*B36*F36</f>
        <v>1.4449001323320956</v>
      </c>
      <c r="T39" s="57">
        <f>SUM(C39:E39)*D36*H36</f>
        <v>-1.5294824189189569</v>
      </c>
      <c r="U39" s="260">
        <f>S39+T39</f>
        <v>-8.4582286586861288E-2</v>
      </c>
      <c r="V39" s="109">
        <f>(U39+W39*D39)/B39</f>
        <v>5.1410394368439931</v>
      </c>
      <c r="W39" s="57">
        <f>COUNT(F39:O39)</f>
        <v>1</v>
      </c>
    </row>
    <row r="40" spans="1:23" x14ac:dyDescent="0.2">
      <c r="A40" s="99">
        <v>2</v>
      </c>
      <c r="B40" s="99">
        <f>C40*$B$36</f>
        <v>0.22073758062975282</v>
      </c>
      <c r="C40" s="97">
        <f>D40*$B$36</f>
        <v>0.52876667322756066</v>
      </c>
      <c r="D40" s="172">
        <f t="shared" si="4"/>
        <v>1.2666361292828989</v>
      </c>
      <c r="E40" s="172">
        <f>1/(1-D36*B36-B36*D36/(1-D36*B36))</f>
        <v>2.2962988552941694</v>
      </c>
      <c r="F40" s="144">
        <f>E40*D36</f>
        <v>1.3376918186090783</v>
      </c>
      <c r="G40" s="1">
        <f>F40*D36</f>
        <v>0.77926241937024698</v>
      </c>
      <c r="H40" s="1"/>
      <c r="I40" s="1"/>
      <c r="J40" s="1"/>
      <c r="K40" s="1"/>
      <c r="L40" s="1"/>
      <c r="M40" s="1"/>
      <c r="N40" s="1"/>
      <c r="O40" s="9"/>
      <c r="P40">
        <f>G40+B40</f>
        <v>0.99999999999999978</v>
      </c>
      <c r="R40" s="189">
        <f>B40-G40</f>
        <v>-0.55852483874049419</v>
      </c>
      <c r="S40" s="93">
        <f>SUM(C40:F40)*B36*F36</f>
        <v>2.9879430802364451</v>
      </c>
      <c r="T40" s="9">
        <f>SUM(C40:F40)*D36*H36</f>
        <v>-3.1628527866324716</v>
      </c>
      <c r="U40" s="261">
        <f>S40+T40</f>
        <v>-0.17490970639602654</v>
      </c>
      <c r="V40" s="93">
        <f>(U40+W40*E40)/B40</f>
        <v>20.013302635595075</v>
      </c>
      <c r="W40" s="9">
        <f>COUNT(F40:O40)</f>
        <v>2</v>
      </c>
    </row>
    <row r="41" spans="1:23" x14ac:dyDescent="0.2">
      <c r="A41" s="99">
        <v>3</v>
      </c>
      <c r="B41" s="99">
        <f t="shared" ref="B41:C41" si="5">C41*$B$36</f>
        <v>0.26900847703260561</v>
      </c>
      <c r="C41" s="97">
        <f t="shared" si="5"/>
        <v>0.64439737476841263</v>
      </c>
      <c r="D41" s="172">
        <f t="shared" si="4"/>
        <v>1.5436241310644319</v>
      </c>
      <c r="E41" s="172">
        <f>1/(1-B36*D36/(1-D36*B36)-D36*B36/(1-D36*B36))</f>
        <v>2.7984535125920385</v>
      </c>
      <c r="F41" s="144">
        <f>E41*D36/(1-B36*D36)</f>
        <v>2.1540561378236256</v>
      </c>
      <c r="G41" s="1">
        <f>F41*(D36)</f>
        <v>1.2548293815276064</v>
      </c>
      <c r="H41" s="1">
        <f>G41*D36</f>
        <v>0.73099152296739411</v>
      </c>
      <c r="I41" s="1"/>
      <c r="J41" s="1"/>
      <c r="K41" s="1"/>
      <c r="L41" s="1"/>
      <c r="M41" s="1"/>
      <c r="N41" s="1"/>
      <c r="O41" s="9"/>
      <c r="P41">
        <f>H41+B41</f>
        <v>0.99999999999999978</v>
      </c>
      <c r="R41" s="189">
        <f>B41-H41</f>
        <v>-0.46198304593478851</v>
      </c>
      <c r="S41" s="93">
        <f>SUM(C41:G41)*B36*F36</f>
        <v>4.6201955216381982</v>
      </c>
      <c r="T41" s="9">
        <f>SUM(C41:G41)*D36*H36</f>
        <v>-4.8906548377902404</v>
      </c>
      <c r="U41" s="261">
        <f t="shared" ref="U41:U48" si="6">S41+T41</f>
        <v>-0.27045931615204211</v>
      </c>
      <c r="V41" s="93">
        <f>(U41+W41*F41)/B41</f>
        <v>23.016780607134397</v>
      </c>
      <c r="W41" s="9">
        <f t="shared" ref="W41:W48" si="7">COUNT(F41:O41)</f>
        <v>3</v>
      </c>
    </row>
    <row r="42" spans="1:23" x14ac:dyDescent="0.2">
      <c r="A42" s="99">
        <v>4</v>
      </c>
      <c r="B42" s="99">
        <f t="shared" ref="B42:C42" si="8">C42*$B$36</f>
        <v>0.30007808441147005</v>
      </c>
      <c r="C42" s="97">
        <f t="shared" si="8"/>
        <v>0.71882318339301909</v>
      </c>
      <c r="D42" s="172">
        <f t="shared" si="4"/>
        <v>1.7219077161088527</v>
      </c>
      <c r="E42" s="172">
        <f>1/(1-B36*D36/(1-D36*B36)-D36*B36/(1-D36*B36/(1-D36*B36)))</f>
        <v>3.1216658249449321</v>
      </c>
      <c r="F42" s="144">
        <f>E42*D36/(1-D36*B36/(1-D36*B36))</f>
        <v>2.6795097913963595</v>
      </c>
      <c r="G42" s="1">
        <f>F42*D36/(1-B36*D36)</f>
        <v>2.0625014803871973</v>
      </c>
      <c r="H42" s="1">
        <f>G42*D36</f>
        <v>1.2014948968084658</v>
      </c>
      <c r="I42" s="1">
        <f>H42*D36</f>
        <v>0.6999219155885299</v>
      </c>
      <c r="J42" s="1"/>
      <c r="K42" s="1"/>
      <c r="L42" s="1"/>
      <c r="M42" s="1"/>
      <c r="N42" s="1"/>
      <c r="O42" s="9"/>
      <c r="P42">
        <f>I42+B42</f>
        <v>1</v>
      </c>
      <c r="R42" s="189">
        <f>B42-I42</f>
        <v>-0.39984383117705985</v>
      </c>
      <c r="S42" s="93">
        <f>SUM(C42:H42)*B36*F36</f>
        <v>6.3320116842657539</v>
      </c>
      <c r="T42" s="9">
        <f>SUM(C42:H42)*D36*H36</f>
        <v>-6.7026781510792688</v>
      </c>
      <c r="U42" s="261">
        <f t="shared" si="6"/>
        <v>-0.37066646681351489</v>
      </c>
      <c r="V42" s="93">
        <f>(U42+W42*G42)/B42</f>
        <v>26.25763047704292</v>
      </c>
      <c r="W42" s="9">
        <f t="shared" si="7"/>
        <v>4</v>
      </c>
    </row>
    <row r="43" spans="1:23" x14ac:dyDescent="0.2">
      <c r="A43" s="99">
        <v>5</v>
      </c>
      <c r="B43" s="99">
        <f t="shared" ref="B43:C43" si="9">C43*$B$36</f>
        <v>0.32076649222584069</v>
      </c>
      <c r="C43" s="97">
        <f t="shared" si="9"/>
        <v>0.76838130821784711</v>
      </c>
      <c r="D43" s="172">
        <f t="shared" si="4"/>
        <v>1.8406219138465461</v>
      </c>
      <c r="E43" s="172">
        <f>1/(1-B36*D36/(1-D36*B36)-D36*B36/(1-D36*B36/(1-D36*B36/(1-D36*B36))))</f>
        <v>3.3368841264523779</v>
      </c>
      <c r="F43" s="144">
        <f>E43*D36/(1-D36*B36/(1-D36*B36/(1-D36*B36)))</f>
        <v>3.0293951098718939</v>
      </c>
      <c r="G43" s="1">
        <f>F43*D36/(1-B36*D36/(1-B36*D36))</f>
        <v>2.6003083975374541</v>
      </c>
      <c r="H43" s="1">
        <f>G43*D36/(1-B36*D36)</f>
        <v>2.0015377202967386</v>
      </c>
      <c r="I43" s="1">
        <f>H43*D36</f>
        <v>1.1659809118074995</v>
      </c>
      <c r="J43" s="1">
        <f>I43*D36</f>
        <v>0.67923350777415936</v>
      </c>
      <c r="K43" s="1"/>
      <c r="L43" s="1"/>
      <c r="M43" s="1"/>
      <c r="N43" s="1"/>
      <c r="O43" s="9"/>
      <c r="P43">
        <f>J43+B43</f>
        <v>1</v>
      </c>
      <c r="R43" s="189">
        <f>B43-J43</f>
        <v>-0.35846701554831867</v>
      </c>
      <c r="S43" s="93">
        <f>SUM(C43:I43)*B36*F36</f>
        <v>8.1135346272648654</v>
      </c>
      <c r="T43" s="9">
        <f>SUM(C43:I43)*D36*H36</f>
        <v>-8.5884887751118164</v>
      </c>
      <c r="U43" s="261">
        <f t="shared" si="6"/>
        <v>-0.474954147846951</v>
      </c>
      <c r="V43" s="93">
        <f>(U43+W43*H43)/B43</f>
        <v>29.718610530320202</v>
      </c>
      <c r="W43" s="9">
        <f t="shared" si="7"/>
        <v>5</v>
      </c>
    </row>
    <row r="44" spans="1:23" x14ac:dyDescent="0.2">
      <c r="A44" s="99">
        <v>6</v>
      </c>
      <c r="B44" s="99">
        <f t="shared" ref="B44:C44" si="10">C44*$B$36</f>
        <v>0.33485542418995212</v>
      </c>
      <c r="C44" s="97">
        <f t="shared" si="10"/>
        <v>0.80213069363168954</v>
      </c>
      <c r="D44" s="172">
        <f t="shared" si="4"/>
        <v>1.9214670069106261</v>
      </c>
      <c r="E44" s="172">
        <f>1/(1-B36*D36/(1-D36*B36)-D36*B36/(1-D36*B36/(1-D36*B36/(1-D36*B36/(1-D36*B36)))))</f>
        <v>3.4834491030603791</v>
      </c>
      <c r="F44" s="144">
        <f>E44*D36/(1-B36*D36/(1-D36*B36/(1-D36*B36/(1-D36*B36))))</f>
        <v>3.2676691467854106</v>
      </c>
      <c r="G44" s="1">
        <f>F44*D36/(1-D36*B36/(1-D36*B36/(1-D36*B36)))</f>
        <v>2.9665581898629529</v>
      </c>
      <c r="H44" s="1">
        <f>G44*D36/(1-D36*B36/(1-D36*B36))</f>
        <v>2.5463717650255107</v>
      </c>
      <c r="I44" s="1">
        <f>H44*D36/(1-D36*B36)</f>
        <v>1.9600210276687895</v>
      </c>
      <c r="J44" s="1">
        <f>I44*D36</f>
        <v>1.141795671312311</v>
      </c>
      <c r="K44" s="1">
        <f>J44*D36</f>
        <v>0.66514457581004782</v>
      </c>
      <c r="L44" s="1"/>
      <c r="M44" s="1"/>
      <c r="N44" s="1"/>
      <c r="O44" s="9"/>
      <c r="P44">
        <f>K44+B44</f>
        <v>1</v>
      </c>
      <c r="R44" s="189">
        <f>B44-K44</f>
        <v>-0.3302891516200957</v>
      </c>
      <c r="S44" s="93">
        <f>SUM(C44:J44)*B36*F36</f>
        <v>9.9551238731162357</v>
      </c>
      <c r="T44" s="9">
        <f>SUM(C44:J44)*D36*H36</f>
        <v>-10.537881893274053</v>
      </c>
      <c r="U44" s="261">
        <f t="shared" si="6"/>
        <v>-0.58275802015781686</v>
      </c>
      <c r="V44" s="93">
        <f>(U44+W44*I44)/B44</f>
        <v>33.379683703479081</v>
      </c>
      <c r="W44" s="9">
        <f t="shared" si="7"/>
        <v>6</v>
      </c>
    </row>
    <row r="45" spans="1:23" x14ac:dyDescent="0.2">
      <c r="A45" s="99">
        <v>7</v>
      </c>
      <c r="B45" s="99">
        <f t="shared" ref="B45:C45" si="11">C45*$B$36</f>
        <v>0.34459750221458368</v>
      </c>
      <c r="C45" s="97">
        <f t="shared" si="11"/>
        <v>0.82546739131910374</v>
      </c>
      <c r="D45" s="172">
        <f t="shared" si="4"/>
        <v>1.9773689877382084</v>
      </c>
      <c r="E45" s="172">
        <f>1/(1-B36*D36/(1-D36*B36)-D36*B36/(1-D36*B36/(1-D36*B36/(1-D36*B36/(1-D36*B36/(1-D36*B36))))))</f>
        <v>3.584794431537413</v>
      </c>
      <c r="F45" s="144">
        <f>E45*D36/(1-D36*B36/(1-D36*B36/(1-D36*B36/(1-D36*B36/(1-D36*B36)))))</f>
        <v>3.4324285667874674</v>
      </c>
      <c r="G45" s="1">
        <f>F45*D36/(1-D36*B36/(1-D36*B36/(1-D36*B36/(1-D36*B36))))</f>
        <v>3.2198090439680711</v>
      </c>
      <c r="H45" s="1">
        <f>G45*D36/(1-D36*B36/(1-D36*B36/(1-D36*B36)))</f>
        <v>2.9231083258765285</v>
      </c>
      <c r="I45" s="1">
        <f>H45*D36/(1-D36*B36/(1-D36*B36))</f>
        <v>2.5090761855127619</v>
      </c>
      <c r="J45" s="1">
        <f>I45*D36/(1-D36*B36)</f>
        <v>1.9313134677248276</v>
      </c>
      <c r="K45" s="1">
        <f>J45*D36</f>
        <v>1.1250722957896822</v>
      </c>
      <c r="L45" s="1">
        <f>K45*D36</f>
        <v>0.65540249778541626</v>
      </c>
      <c r="M45" s="1"/>
      <c r="N45" s="1"/>
      <c r="O45" s="9"/>
      <c r="P45">
        <f>L45+B45</f>
        <v>1</v>
      </c>
      <c r="R45" s="189">
        <f>B45-L45</f>
        <v>-0.31080499557083258</v>
      </c>
      <c r="S45" s="93">
        <f>SUM(C45:K45)*B36*F36</f>
        <v>11.847686064789709</v>
      </c>
      <c r="T45" s="9">
        <f>SUM(C45:K45)*D36*H36</f>
        <v>-12.541231837054113</v>
      </c>
      <c r="U45" s="261">
        <f t="shared" si="6"/>
        <v>-0.69354577226440384</v>
      </c>
      <c r="V45" s="93">
        <f>(U45+W45*J45)/B45</f>
        <v>37.219214937381508</v>
      </c>
      <c r="W45" s="9">
        <f t="shared" si="7"/>
        <v>7</v>
      </c>
    </row>
    <row r="46" spans="1:23" x14ac:dyDescent="0.2">
      <c r="A46" s="99">
        <v>8</v>
      </c>
      <c r="B46" s="99">
        <f t="shared" ref="B46:C46" si="12">C46*$B$36</f>
        <v>0.35140509585095231</v>
      </c>
      <c r="C46" s="97">
        <f t="shared" si="12"/>
        <v>0.84177466726875483</v>
      </c>
      <c r="D46" s="172">
        <f t="shared" si="4"/>
        <v>2.0164323136508173</v>
      </c>
      <c r="E46" s="172">
        <f>1/(1-B36*D36/(1-D36*B36)-D36*B36/(1-D36*B36/(1-D36*B36/(1-D36*B36/(1-D36*B36/(1-D36*B36/(1-D36*B36)))))))</f>
        <v>3.6556127735247763</v>
      </c>
      <c r="F46" s="144">
        <f>E46*D36/(1-D36*B36/(1-D36*B36/(1-D36*B36/(1-D36*B36/(1-D36*B36/(1-D36*B36))))))</f>
        <v>3.5475595661801962</v>
      </c>
      <c r="G46" s="1">
        <f>F46*D36/(1-D36*B36/(1-D36*B36/(1-D36*B36/(1-D36*B36/(1-D36*B36)))))</f>
        <v>3.3967763089039424</v>
      </c>
      <c r="H46" s="1">
        <f>G46*D36/(1-D36*B36/(1-D36*B36/(1-D36*B36/(1-D36*B36))))</f>
        <v>3.1863652416754293</v>
      </c>
      <c r="I46" s="1">
        <f>H46*D36/(1-D36*B36/(1-D36*B36/(1-D36*B36)))</f>
        <v>2.8927463212993527</v>
      </c>
      <c r="J46" s="1">
        <f>I46*D36/(1-D36*B36/(1-D36*B36))</f>
        <v>2.4830146872252574</v>
      </c>
      <c r="K46" s="1">
        <f>J46*D36/(1-D36*B36)</f>
        <v>1.911253127220875</v>
      </c>
      <c r="L46" s="1">
        <f>K46*D36</f>
        <v>1.1133862936350487</v>
      </c>
      <c r="M46" s="1">
        <f>L46*D36</f>
        <v>0.64859490414904764</v>
      </c>
      <c r="N46" s="1"/>
      <c r="O46" s="9"/>
      <c r="P46">
        <f>M46+B46</f>
        <v>1</v>
      </c>
      <c r="R46" s="189">
        <f>B46-M46</f>
        <v>-0.29718980829809533</v>
      </c>
      <c r="S46" s="93">
        <f>SUM(C46:L46)*B36*F36</f>
        <v>13.782902200813995</v>
      </c>
      <c r="T46" s="9">
        <f>SUM(C46:L46)*D36*H36</f>
        <v>-14.589732623111987</v>
      </c>
      <c r="U46" s="261">
        <f t="shared" si="6"/>
        <v>-0.80683042229799184</v>
      </c>
      <c r="V46" s="93">
        <f>(U46+W46*K46)/B46</f>
        <v>41.215095530692082</v>
      </c>
      <c r="W46" s="9">
        <f t="shared" si="7"/>
        <v>8</v>
      </c>
    </row>
    <row r="47" spans="1:23" x14ac:dyDescent="0.2">
      <c r="A47" s="99">
        <v>9</v>
      </c>
      <c r="B47" s="99">
        <f t="shared" ref="B47:C47" si="13">C47*$B$36</f>
        <v>0.35619716370434029</v>
      </c>
      <c r="C47" s="97">
        <f t="shared" si="13"/>
        <v>0.85325384435082519</v>
      </c>
      <c r="D47" s="172">
        <f t="shared" si="4"/>
        <v>2.043930151851995</v>
      </c>
      <c r="E47" s="172">
        <f>1/(1-B36*D36/(1-D36*B36)-D36*B36/(1-D36*B36/(1-D36*B36/(1-D36*B36/(1-D36*B36/(1-D36*B36/(1-D36*B36/(1-D36*B36))))))))</f>
        <v>3.7054639130309401</v>
      </c>
      <c r="F47" s="144">
        <f>E47*D36/(1-D36*B36/(1-D36*B36/(1-D36*B36/(1-D36*B36/(1-D36*B36/(1-D36*B36/(1-D36*B36)))))))</f>
        <v>3.6286037046215496</v>
      </c>
      <c r="G47" s="1">
        <f>F47*D36/(1-D36*B36/(1-D36*B36/(1-D36*B36/(1-D36*B36/(1-D36*B36/(1-D36*B36))))))</f>
        <v>3.5213488358054699</v>
      </c>
      <c r="H47" s="1">
        <f>G47*D36/(1-D36*B36/(1-D36*B36/(1-D36*B36/(1-D36*B36/(1-D36*B36)))))</f>
        <v>3.371679623051306</v>
      </c>
      <c r="I47" s="1">
        <f>H47*D36/(1-D36*B36/(1-D36*B36/(1-D36*B36/(1-D36*B36))))</f>
        <v>3.1628231534688931</v>
      </c>
      <c r="J47" s="1">
        <f>I47*D36/(1-D36*B36/(1-D36*B36/(1-D36*B36)))</f>
        <v>2.8713736022637426</v>
      </c>
      <c r="K47" s="1">
        <f>J47*D36/(1-D36*B36/(1-D36*B36))</f>
        <v>2.4646692226124043</v>
      </c>
      <c r="L47" s="1">
        <f>K47*D36/(1-D36*B36)</f>
        <v>1.8971320562533822</v>
      </c>
      <c r="M47" s="1">
        <f>L47*D36</f>
        <v>1.1051601687734425</v>
      </c>
      <c r="N47" s="1">
        <f>M47*D36</f>
        <v>0.64380283629565938</v>
      </c>
      <c r="O47" s="9"/>
      <c r="P47">
        <f>N47+B47</f>
        <v>0.99999999999999967</v>
      </c>
      <c r="R47" s="189">
        <f>B47-N47</f>
        <v>-0.28760567259131908</v>
      </c>
      <c r="S47" s="93">
        <f>SUM(C47:M47)*B36*F36</f>
        <v>15.753358195040351</v>
      </c>
      <c r="T47" s="9">
        <f>SUM(C47:M47)*D36*H36</f>
        <v>-16.67553615581593</v>
      </c>
      <c r="U47" s="261">
        <f t="shared" si="6"/>
        <v>-0.92217796077557956</v>
      </c>
      <c r="V47" s="93">
        <f>(U47+W47*L47)/B47</f>
        <v>45.34570230017821</v>
      </c>
      <c r="W47" s="9">
        <f t="shared" si="7"/>
        <v>9</v>
      </c>
    </row>
    <row r="48" spans="1:23" ht="17" thickBot="1" x14ac:dyDescent="0.25">
      <c r="A48" s="100">
        <v>10</v>
      </c>
      <c r="B48" s="100">
        <f t="shared" ref="B48:C48" si="14">C48*$B$36</f>
        <v>0.35958789597790025</v>
      </c>
      <c r="C48" s="145">
        <f t="shared" si="14"/>
        <v>0.86137618681276817</v>
      </c>
      <c r="D48" s="173">
        <f t="shared" si="4"/>
        <v>2.0633868478534807</v>
      </c>
      <c r="E48" s="173">
        <f>1/(1-B36*D36/(1-D36*B36)-D36*B36/(1-D36*B36/(1-D36*B36/(1-D36*B36/(1-D36*B36/(1-D36*B36/(1-D36*B36/(1-D36*B36/(1-D36*B36)))))))))</f>
        <v>3.7407371755908136</v>
      </c>
      <c r="F48" s="153">
        <f>E48*D36/(1-D36*B36/(1-D36*B36/(1-D36*B36/(1-D36*B36/(1-D36*B36/(1-D36*B36/(1-D36*B36/(1-D36*B36))))))))</f>
        <v>3.6859482548665272</v>
      </c>
      <c r="G48" s="111">
        <f>F48*D36/(1-D36*B36/(1-D36*B36/(1-D36*B36/(1-D36*B36/(1-D36*B36/(1-D36*B36/(1-D36*B36)))))))</f>
        <v>3.6094928480120752</v>
      </c>
      <c r="H48" s="111">
        <f>G48*D36/(1-D36*B36/(1-D36*B36/(1-D36*B36/(1-D36*B36/(1-D36*B36/(1-D36*B36))))))</f>
        <v>3.5028028610584054</v>
      </c>
      <c r="I48" s="111">
        <f>H48*D36/(1-D36*B36/(1-D36*B36/(1-D36*B36/(1-D36*B36/(1-D36*B36)))))</f>
        <v>3.3539219148377715</v>
      </c>
      <c r="J48" s="111">
        <f>I48*D36/(1-D36*B36/(1-D36*B36/(1-D36*B36/(1-D36*B36))))</f>
        <v>3.146165434773935</v>
      </c>
      <c r="K48" s="111">
        <f>J48*D36/(1-D36*B36/(1-D36*B36/(1-D36*B36)))</f>
        <v>2.8562508681070198</v>
      </c>
      <c r="L48" s="111">
        <f>K48*D36/(1-D36*B36/(1-D36*B36))</f>
        <v>2.4516884884409822</v>
      </c>
      <c r="M48" s="111">
        <f>L48*D36/(1-D36*B36)</f>
        <v>1.8871403840710166</v>
      </c>
      <c r="N48" s="111">
        <f>M48*D36</f>
        <v>1.0993395944602344</v>
      </c>
      <c r="O48" s="10">
        <f>N48*D36</f>
        <v>0.64041210402209947</v>
      </c>
      <c r="P48">
        <f>O48+B48</f>
        <v>0.99999999999999978</v>
      </c>
      <c r="R48" s="190">
        <f>B48-O48</f>
        <v>-0.28082420804419922</v>
      </c>
      <c r="S48" s="94">
        <f>SUM(C48:N48)*B36*F36</f>
        <v>17.752593886049109</v>
      </c>
      <c r="T48" s="10">
        <f>SUM(C48:N48)*D36*H36</f>
        <v>-18.791804105586166</v>
      </c>
      <c r="U48" s="262">
        <f t="shared" si="6"/>
        <v>-1.0392102195370576</v>
      </c>
      <c r="V48" s="94">
        <f>(U48+W48*M48)/B48</f>
        <v>49.590639230718288</v>
      </c>
      <c r="W48" s="10">
        <f t="shared" si="7"/>
        <v>10</v>
      </c>
    </row>
    <row r="50" spans="1:23" x14ac:dyDescent="0.2">
      <c r="A50" s="366" t="s">
        <v>140</v>
      </c>
      <c r="B50" s="366"/>
      <c r="C50" s="366"/>
      <c r="D50" s="366"/>
      <c r="E50" s="366"/>
      <c r="F50" s="366"/>
      <c r="G50" s="366"/>
      <c r="H50" s="366"/>
      <c r="I50" s="366"/>
      <c r="J50" s="366"/>
      <c r="K50" s="366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</row>
    <row r="51" spans="1:23" x14ac:dyDescent="0.2">
      <c r="A51" t="s">
        <v>123</v>
      </c>
      <c r="B51">
        <f>$C$2</f>
        <v>0.41745743785701095</v>
      </c>
      <c r="C51" t="s">
        <v>124</v>
      </c>
      <c r="D51">
        <f>$E$2</f>
        <v>0.58254256214298905</v>
      </c>
      <c r="E51" t="s">
        <v>47</v>
      </c>
      <c r="F51">
        <f>G2</f>
        <v>1.3182834500645289</v>
      </c>
      <c r="G51" t="s">
        <v>180</v>
      </c>
      <c r="H51">
        <f>I2</f>
        <v>-1</v>
      </c>
      <c r="I51" t="s">
        <v>48</v>
      </c>
      <c r="J51">
        <f>K17</f>
        <v>0.85700783264106362</v>
      </c>
    </row>
    <row r="52" spans="1:23" ht="17" thickBot="1" x14ac:dyDescent="0.25"/>
    <row r="53" spans="1:23" ht="17" thickBot="1" x14ac:dyDescent="0.25">
      <c r="A53" s="103"/>
      <c r="B53" s="103">
        <v>4</v>
      </c>
      <c r="C53" s="103">
        <v>3</v>
      </c>
      <c r="D53" s="154">
        <v>2</v>
      </c>
      <c r="E53" s="114">
        <v>1</v>
      </c>
      <c r="F53" s="154">
        <v>0</v>
      </c>
      <c r="G53" s="151">
        <v>-1</v>
      </c>
      <c r="H53" s="118">
        <v>-2</v>
      </c>
      <c r="I53" s="118">
        <v>-3</v>
      </c>
      <c r="J53" s="118">
        <v>-4</v>
      </c>
      <c r="K53" s="118">
        <v>-5</v>
      </c>
      <c r="L53" s="118">
        <v>-6</v>
      </c>
      <c r="M53" s="118">
        <v>-7</v>
      </c>
      <c r="N53" s="118">
        <v>-8</v>
      </c>
      <c r="O53" s="118">
        <v>-9</v>
      </c>
      <c r="P53" s="105">
        <v>-10</v>
      </c>
      <c r="Q53" t="s">
        <v>135</v>
      </c>
      <c r="R53" s="184" t="s">
        <v>49</v>
      </c>
      <c r="S53" s="164" t="s">
        <v>130</v>
      </c>
      <c r="T53" s="165" t="s">
        <v>136</v>
      </c>
      <c r="U53" s="183" t="s">
        <v>48</v>
      </c>
      <c r="V53" s="175" t="s">
        <v>47</v>
      </c>
      <c r="W53" s="168" t="s">
        <v>155</v>
      </c>
    </row>
    <row r="54" spans="1:23" x14ac:dyDescent="0.2">
      <c r="A54" s="101">
        <v>1</v>
      </c>
      <c r="B54" s="101">
        <f>C54*B51</f>
        <v>9.2148544848452002E-2</v>
      </c>
      <c r="C54" s="101">
        <f>D54*B51</f>
        <v>0.22073758062975288</v>
      </c>
      <c r="D54" s="95">
        <f>E54*B51/(1-B51*D51)</f>
        <v>0.52876667322756077</v>
      </c>
      <c r="E54" s="171">
        <f>F54*B51/(1-B51*D51/(1-B51*D51))</f>
        <v>0.95860703668509128</v>
      </c>
      <c r="F54" s="171">
        <f>1/(1-D51*B51/(1-D51*B51/(1-B51*D51)))</f>
        <v>1.5584293992388316</v>
      </c>
      <c r="G54" s="152">
        <f>F54*D51</f>
        <v>0.90785145515154819</v>
      </c>
      <c r="H54" s="110"/>
      <c r="I54" s="110"/>
      <c r="J54" s="110"/>
      <c r="K54" s="110"/>
      <c r="L54" s="110"/>
      <c r="M54" s="110"/>
      <c r="N54" s="110"/>
      <c r="O54" s="110"/>
      <c r="P54" s="57"/>
      <c r="Q54">
        <f>G54+B54</f>
        <v>1.0000000000000002</v>
      </c>
      <c r="R54" s="188">
        <f>C54-G54</f>
        <v>-0.68711387452179529</v>
      </c>
      <c r="S54" s="109">
        <f>SUM(C54:F54)*B51*F51</f>
        <v>1.7976662941713308</v>
      </c>
      <c r="T54" s="57">
        <f>SUM(C54:F54)*D51*H51</f>
        <v>-1.9028989827694884</v>
      </c>
      <c r="U54" s="260">
        <f>S54+T54</f>
        <v>-0.1052326885981576</v>
      </c>
      <c r="V54" s="109">
        <f>(U54+W54*E54)/C54</f>
        <v>3.8660129627782496</v>
      </c>
      <c r="W54" s="57">
        <f>COUNT(G54:P54)</f>
        <v>1</v>
      </c>
    </row>
    <row r="55" spans="1:23" x14ac:dyDescent="0.2">
      <c r="A55" s="99">
        <v>2</v>
      </c>
      <c r="B55" s="99">
        <f>C55*B51</f>
        <v>0.1483848042284622</v>
      </c>
      <c r="C55" s="99">
        <f>D55*B51</f>
        <v>0.35544894107093983</v>
      </c>
      <c r="D55" s="97">
        <f>E55*B51/(1-B51*D51)</f>
        <v>0.85146151161089023</v>
      </c>
      <c r="E55" s="172">
        <f>F55*B51/(1-B51*D51/(1-B51*D51))</f>
        <v>1.5436241310644319</v>
      </c>
      <c r="F55" s="172">
        <f>1/(1-D51*B51-D51*B51/(1-D51*B51/(1-B51*D51)))</f>
        <v>2.5095050788945659</v>
      </c>
      <c r="G55" s="144">
        <f>F55*D51</f>
        <v>1.4618935183700843</v>
      </c>
      <c r="H55" s="1">
        <f>G55*D51</f>
        <v>0.85161519577153777</v>
      </c>
      <c r="I55" s="1"/>
      <c r="J55" s="1"/>
      <c r="K55" s="1"/>
      <c r="L55" s="1"/>
      <c r="M55" s="1"/>
      <c r="N55" s="1"/>
      <c r="O55" s="1"/>
      <c r="P55" s="9"/>
      <c r="Q55">
        <f>H55+B55</f>
        <v>1</v>
      </c>
      <c r="R55" s="189">
        <f>C55-H55</f>
        <v>-0.49616625470059794</v>
      </c>
      <c r="S55" s="93">
        <f>SUM(C55:G55)*B51*F51</f>
        <v>3.6992628773849616</v>
      </c>
      <c r="T55" s="9">
        <f>SUM(C55:G55)*D51*H51</f>
        <v>-3.9158121778200696</v>
      </c>
      <c r="U55" s="261">
        <f>S55+T55</f>
        <v>-0.21654930043510801</v>
      </c>
      <c r="V55" s="93">
        <f>(U55+W55*F55)/C55</f>
        <v>13.51097247015165</v>
      </c>
      <c r="W55" s="9">
        <f>COUNT(G55:P55)</f>
        <v>2</v>
      </c>
    </row>
    <row r="56" spans="1:23" x14ac:dyDescent="0.2">
      <c r="A56" s="99">
        <v>3</v>
      </c>
      <c r="B56" s="99">
        <f>C56*B51</f>
        <v>0.18458132489820553</v>
      </c>
      <c r="C56" s="99">
        <f>D56*B51</f>
        <v>0.44215603354857219</v>
      </c>
      <c r="D56" s="97">
        <f>E56*B51/(1-B51*D51)</f>
        <v>1.0591643445577346</v>
      </c>
      <c r="E56" s="172">
        <f>F56*B51/(1-B51*D51/(1-B51*D51))</f>
        <v>1.9201709281364661</v>
      </c>
      <c r="F56" s="172">
        <f>1/(1-D51*B51/(1-B51*D51)-D51*B51/(1-D51*B51/(1-B51*D51)))</f>
        <v>3.1216658249449321</v>
      </c>
      <c r="G56" s="144">
        <f>F56*D51/(1-B51*D51)</f>
        <v>2.4028426415519126</v>
      </c>
      <c r="H56" s="1">
        <f>G56*(D51)</f>
        <v>1.3997581088360791</v>
      </c>
      <c r="I56" s="1">
        <f>H56*D51</f>
        <v>0.81541867510179444</v>
      </c>
      <c r="J56" s="1"/>
      <c r="K56" s="1"/>
      <c r="L56" s="1"/>
      <c r="M56" s="1"/>
      <c r="N56" s="1"/>
      <c r="O56" s="1"/>
      <c r="P56" s="9"/>
      <c r="Q56">
        <f>I56+B56</f>
        <v>1</v>
      </c>
      <c r="R56" s="189">
        <f>C56-I56</f>
        <v>-0.37326264155322225</v>
      </c>
      <c r="S56" s="93">
        <f>SUM(C56:H56)*B51*F51</f>
        <v>5.6935522920461654</v>
      </c>
      <c r="T56" s="9">
        <f>SUM(C56:H56)*D51*H51</f>
        <v>-6.026844303644129</v>
      </c>
      <c r="U56" s="261">
        <f t="shared" ref="U56:U63" si="15">S56+T56</f>
        <v>-0.33329201159796362</v>
      </c>
      <c r="V56" s="93">
        <f>(U56+W56*G56)/C56</f>
        <v>15.549343198779416</v>
      </c>
      <c r="W56" s="9">
        <f t="shared" ref="W56:W63" si="16">COUNT(G56:P56)</f>
        <v>3</v>
      </c>
    </row>
    <row r="57" spans="1:23" x14ac:dyDescent="0.2">
      <c r="A57" s="99">
        <v>4</v>
      </c>
      <c r="B57" s="99">
        <f>C57*B51</f>
        <v>0.20868360504437705</v>
      </c>
      <c r="C57" s="99">
        <f>D57*B51</f>
        <v>0.49989193177546432</v>
      </c>
      <c r="D57" s="97">
        <f>E57*B51/(1-B51*D51)</f>
        <v>1.1974680205522872</v>
      </c>
      <c r="E57" s="172">
        <f>F57*B51/(1-B51*D51/(1-B51*D51))</f>
        <v>2.1709032146448792</v>
      </c>
      <c r="F57" s="172">
        <f>1/(1-D51*B51/(1-B51*D51/(1-B51*D51))-D51*B51/(1-D51*B51/(1-B51*D51)))</f>
        <v>3.529287041647359</v>
      </c>
      <c r="G57" s="144">
        <f>F57*D51/(1-D51*B51/(1-D51*B51))</f>
        <v>3.0293951098718948</v>
      </c>
      <c r="H57" s="1">
        <f>G57*D51/(1-B51*D51)</f>
        <v>2.3318190210950718</v>
      </c>
      <c r="I57" s="1">
        <f>H57*D51</f>
        <v>1.3583838270024797</v>
      </c>
      <c r="J57" s="1">
        <f>I57*D51</f>
        <v>0.79131639495562334</v>
      </c>
      <c r="K57" s="1"/>
      <c r="L57" s="1"/>
      <c r="M57" s="1"/>
      <c r="N57" s="1"/>
      <c r="O57" s="1"/>
      <c r="P57" s="9"/>
      <c r="Q57">
        <f>J57+B57</f>
        <v>1.0000000000000004</v>
      </c>
      <c r="R57" s="189">
        <f>C57-J57</f>
        <v>-0.29142446318015902</v>
      </c>
      <c r="S57" s="93">
        <f>SUM(C57:I57)*B51*F51</f>
        <v>7.7690510662519916</v>
      </c>
      <c r="T57" s="9">
        <f>SUM(C57:I57)*D51*H51</f>
        <v>-8.2238396631172108</v>
      </c>
      <c r="U57" s="261">
        <f t="shared" si="15"/>
        <v>-0.45478859686521922</v>
      </c>
      <c r="V57" s="93">
        <f>(U57+W57*H57)/C57</f>
        <v>17.748811140045184</v>
      </c>
      <c r="W57" s="9">
        <f t="shared" si="16"/>
        <v>4</v>
      </c>
    </row>
    <row r="58" spans="1:23" x14ac:dyDescent="0.2">
      <c r="A58" s="99">
        <v>5</v>
      </c>
      <c r="B58" s="99">
        <f>C58*B51</f>
        <v>0.22509740489820076</v>
      </c>
      <c r="C58" s="99">
        <f>D58*B51</f>
        <v>0.53921043077762087</v>
      </c>
      <c r="D58" s="97">
        <f>E58*B51/(1-B51*D51)</f>
        <v>1.2916536678460457</v>
      </c>
      <c r="E58" s="172">
        <f>F58*B51/(1-B51*D51/(1-B51*D51))</f>
        <v>2.3416534317480684</v>
      </c>
      <c r="F58" s="172">
        <f>1/(1-D51*B51/(1-B51*D51/(1-B51*D51/(1-B51*D51)))-D51*B51/(1-D51*B51/(1-B51*D51)))</f>
        <v>3.806879577563032</v>
      </c>
      <c r="G58" s="144">
        <f>F58*D51/(1-D51*B51/(1-D51*B51/(1-D51*B51)))</f>
        <v>3.4560811640773093</v>
      </c>
      <c r="H58" s="1">
        <f>G58*D51/(1-B51*D51/(1-B51*D51))</f>
        <v>2.9665581898629525</v>
      </c>
      <c r="I58" s="1">
        <f>H58*D51/(1-B51*D51)</f>
        <v>2.2834515021714417</v>
      </c>
      <c r="J58" s="1">
        <f>I58*D51</f>
        <v>1.3302076886042087</v>
      </c>
      <c r="K58" s="1">
        <f>J58*D51</f>
        <v>0.77490259510179904</v>
      </c>
      <c r="L58" s="1"/>
      <c r="M58" s="1"/>
      <c r="N58" s="1"/>
      <c r="O58" s="1"/>
      <c r="P58" s="9"/>
      <c r="Q58">
        <f>K58+B58</f>
        <v>0.99999999999999978</v>
      </c>
      <c r="R58" s="189">
        <f>C58-K58</f>
        <v>-0.23569216432417817</v>
      </c>
      <c r="S58" s="93">
        <f>SUM(C58:J58)*B51*F51</f>
        <v>9.9145279108670898</v>
      </c>
      <c r="T58" s="9">
        <f>SUM(C58:J58)*D51*H51</f>
        <v>-10.494909504283438</v>
      </c>
      <c r="U58" s="261">
        <f t="shared" si="15"/>
        <v>-0.5803815934163481</v>
      </c>
      <c r="V58" s="93">
        <f>(U58+W58*I58)/C58</f>
        <v>20.097674857314033</v>
      </c>
      <c r="W58" s="9">
        <f t="shared" si="16"/>
        <v>5</v>
      </c>
    </row>
    <row r="59" spans="1:23" x14ac:dyDescent="0.2">
      <c r="A59" s="99">
        <v>6</v>
      </c>
      <c r="B59" s="99">
        <f>C59*B51</f>
        <v>0.23644706002209237</v>
      </c>
      <c r="C59" s="99">
        <f>D59*B51</f>
        <v>0.56639800511371197</v>
      </c>
      <c r="D59" s="97">
        <f>E59*B51/(1-B51*D51)</f>
        <v>1.3567802457210421</v>
      </c>
      <c r="E59" s="172">
        <f>F59*B51/(1-B51*D51/(1-B51*D51))</f>
        <v>2.4597221357477306</v>
      </c>
      <c r="F59" s="172">
        <f>1/(1-D51*B51/(1-B51*D51/(1-B51*D51/(1-B51*D51/(1-B51*D51))))-D51*B51/(1-D51*B51/(1-B51*D51)))</f>
        <v>3.9988265719011791</v>
      </c>
      <c r="G59" s="144">
        <f>F59*D51/(1-B51*D51/(1-D51*B51/(1-D51*B51/(1-D51*B51))))</f>
        <v>3.7511218983700094</v>
      </c>
      <c r="H59" s="1">
        <f>G59*D51/(1-D51*B51/(1-D51*B51/(1-D51*B51)))</f>
        <v>3.4054614738860511</v>
      </c>
      <c r="I59" s="1">
        <f>H59*D51/(1-D51*B51/(1-D51*B51))</f>
        <v>2.9231083258765285</v>
      </c>
      <c r="J59" s="1">
        <f>I59*D51/(1-D51*B51)</f>
        <v>2.25000679930737</v>
      </c>
      <c r="K59" s="1">
        <f>J59*D51</f>
        <v>1.3107247257076615</v>
      </c>
      <c r="L59" s="1">
        <f>K59*D51</f>
        <v>0.76355293997790774</v>
      </c>
      <c r="M59" s="1"/>
      <c r="N59" s="1"/>
      <c r="O59" s="1"/>
      <c r="P59" s="9"/>
      <c r="Q59">
        <f>L59+B59</f>
        <v>1</v>
      </c>
      <c r="R59" s="189">
        <f>C59-L59</f>
        <v>-0.19715493486419577</v>
      </c>
      <c r="S59" s="93">
        <f>SUM(C59:K59)*B51*F51</f>
        <v>12.119388939664146</v>
      </c>
      <c r="T59" s="9">
        <f>SUM(C59:K59)*D51*H51</f>
        <v>-12.828839790705182</v>
      </c>
      <c r="U59" s="261">
        <f t="shared" si="15"/>
        <v>-0.70945085104103534</v>
      </c>
      <c r="V59" s="93">
        <f>(U59+W59*J59)/C59</f>
        <v>22.582335794483075</v>
      </c>
      <c r="W59" s="9">
        <f t="shared" si="16"/>
        <v>6</v>
      </c>
    </row>
    <row r="60" spans="1:23" x14ac:dyDescent="0.2">
      <c r="A60" s="99">
        <v>7</v>
      </c>
      <c r="B60" s="99">
        <f>C60*B51</f>
        <v>0.24437800040267971</v>
      </c>
      <c r="C60" s="99">
        <f>D60*B51</f>
        <v>0.58539620627476985</v>
      </c>
      <c r="D60" s="97">
        <f>E60*B51/(1-B51*D51)</f>
        <v>1.4022895586191038</v>
      </c>
      <c r="E60" s="172">
        <f>F60*B51/(1-B51*D51/(1-B51*D51))</f>
        <v>2.5422264798897278</v>
      </c>
      <c r="F60" s="172">
        <f>1/(1-D51*B51/(1-B51*D51/(1-B51*D51/(1-B51*D51/(1-B51*D51/(1-B51*D51)))))-D51*B51/(1-D51*B51/(1-B51*D51)))</f>
        <v>4.1329557724549666</v>
      </c>
      <c r="G60" s="144">
        <f>F60*D51/(1-D51*B51/(1-D51*B51/(1-D51*B51/(1-D51*B51/(1-D51*B51)))))</f>
        <v>3.9572912002542919</v>
      </c>
      <c r="H60" s="1">
        <f>G60*D51/(1-D51*B51/(1-D51*B51/(1-D51*B51/(1-D51*B51))))</f>
        <v>3.7121594079143403</v>
      </c>
      <c r="I60" s="1">
        <f>H60*D51/(1-D51*B51/(1-D51*B51/(1-D51*B51)))</f>
        <v>3.3700893202295434</v>
      </c>
      <c r="J60" s="1">
        <f>I60*D51/(1-D51*B51/(1-D51*B51))</f>
        <v>2.8927463212993536</v>
      </c>
      <c r="K60" s="1">
        <f>J60*D51/(1-D51*B51)</f>
        <v>2.2266362262312733</v>
      </c>
      <c r="L60" s="1">
        <f>K60*D51</f>
        <v>1.2971103721891621</v>
      </c>
      <c r="M60" s="1">
        <f>L60*D51</f>
        <v>0.75562199959732068</v>
      </c>
      <c r="N60" s="1"/>
      <c r="O60" s="1"/>
      <c r="P60" s="9"/>
      <c r="Q60">
        <f>M60+B60</f>
        <v>1.0000000000000004</v>
      </c>
      <c r="R60" s="189">
        <f>C60-M60</f>
        <v>-0.17022579332255083</v>
      </c>
      <c r="S60" s="93">
        <f>SUM(C60:L60)*B51*F51</f>
        <v>14.37394240131089</v>
      </c>
      <c r="T60" s="9">
        <f>SUM(C60:L60)*D51*H51</f>
        <v>-15.215371430463527</v>
      </c>
      <c r="U60" s="261">
        <f t="shared" si="15"/>
        <v>-0.8414290291526374</v>
      </c>
      <c r="V60" s="93">
        <f>(U60+W60*K60)/C60</f>
        <v>25.188110883563436</v>
      </c>
      <c r="W60" s="9">
        <f t="shared" si="16"/>
        <v>7</v>
      </c>
    </row>
    <row r="61" spans="1:23" x14ac:dyDescent="0.2">
      <c r="A61" s="99">
        <v>8</v>
      </c>
      <c r="B61" s="99">
        <f>C61*B51</f>
        <v>0.2499608254764194</v>
      </c>
      <c r="C61" s="99">
        <f>D61*B51</f>
        <v>0.59876960573412252</v>
      </c>
      <c r="D61" s="97">
        <f>E61*B51/(1-B51*D51)</f>
        <v>1.4343249189854304</v>
      </c>
      <c r="E61" s="172">
        <f>F61*B51/(1-B51*D51/(1-B51*D51))</f>
        <v>2.6003037442574977</v>
      </c>
      <c r="F61" s="172">
        <f>1/(1-D51*B51/(1-B51*D51/(1-B51*D51/(1-B51*D51/(1-B51*D51/(1-B51*D51/(1-B51*D51))))))-D51*B51/(1-D51*B51/(1-B51*D51)))</f>
        <v>4.2273733103556728</v>
      </c>
      <c r="G61" s="144">
        <f>F61*D51/(1-D51*B51/(1-D51*B51/(1-D51*B51/(1-D51*B51/(1-D51*B51/(1-D51*B51))))))</f>
        <v>4.1024199104400756</v>
      </c>
      <c r="H61" s="1">
        <f>G61*D51/(1-D51*B51/(1-D51*B51/(1-D51*B51/(1-D51*B51/(1-D51*B51)))))</f>
        <v>3.9280532154568086</v>
      </c>
      <c r="I61" s="1">
        <f>H61*D51/(1-D51*B51/(1-D51*B51/(1-D51*B51/(1-D51*B51))))</f>
        <v>3.6847325507936257</v>
      </c>
      <c r="J61" s="1">
        <f>I61*D51/(1-D51*B51/(1-D51*B51/(1-D51*B51)))</f>
        <v>3.3451898080822691</v>
      </c>
      <c r="K61" s="1">
        <f>J61*D51/(1-D51*B51/(1-D51*B51))</f>
        <v>2.8713736022637435</v>
      </c>
      <c r="L61" s="1">
        <f>K61*D51/(1-D51*B51)</f>
        <v>2.2101849839957022</v>
      </c>
      <c r="M61" s="1">
        <f>L61*D51</f>
        <v>1.2875268233868176</v>
      </c>
      <c r="N61" s="1">
        <f>M61*D51</f>
        <v>0.75003917452358049</v>
      </c>
      <c r="O61" s="1"/>
      <c r="P61" s="9"/>
      <c r="Q61">
        <f>N61+B61</f>
        <v>0.99999999999999989</v>
      </c>
      <c r="R61" s="189">
        <f>C61-N61</f>
        <v>-0.15126956878945796</v>
      </c>
      <c r="S61" s="93">
        <f>SUM(C61:M61)*B51*F51</f>
        <v>16.66955078329363</v>
      </c>
      <c r="T61" s="9">
        <f>SUM(C61:M61)*D51*H51</f>
        <v>-17.645361284017365</v>
      </c>
      <c r="U61" s="261">
        <f t="shared" si="15"/>
        <v>-0.97581050072373543</v>
      </c>
      <c r="V61" s="93">
        <f>(U61+W61*L61)/C61</f>
        <v>27.899995609763568</v>
      </c>
      <c r="W61" s="9">
        <f t="shared" si="16"/>
        <v>8</v>
      </c>
    </row>
    <row r="62" spans="1:23" x14ac:dyDescent="0.2">
      <c r="A62" s="99">
        <v>9</v>
      </c>
      <c r="B62" s="99">
        <f>C62*B51</f>
        <v>0.25391107529222384</v>
      </c>
      <c r="C62" s="99">
        <f>D62*B51</f>
        <v>0.60823224661095721</v>
      </c>
      <c r="D62" s="97">
        <f>E62*B51/(1-B51*D51)</f>
        <v>1.4569922378992111</v>
      </c>
      <c r="E62" s="172">
        <f>F62*B51/(1-B51*D51/(1-B51*D51))</f>
        <v>2.6413975811305792</v>
      </c>
      <c r="F62" s="172">
        <f>1/(1-D51*B51/(1-B51*D51/(1-B51*D51/(1-B51*D51/(1-B51*D51/(1-B51*D51/(1-B51*D51/(1-B51*D51)))))))-D51*B51/(1-D51*B51/(1-B51*D51)))</f>
        <v>4.2941805014774852</v>
      </c>
      <c r="G62" s="144">
        <f>F62*D51/(1-D51*B51/(1-D51*B51/(1-D51*B51/(1-D51*B51/(1-D51*B51/(1-D51*B51/(1-D51*B51)))))))</f>
        <v>4.2051088990985193</v>
      </c>
      <c r="H62" s="1">
        <f>G62*D51/(1-D51*B51/(1-D51*B51/(1-D51*B51/(1-D51*B51/(1-D51*B51/(1-D51*B51))))))</f>
        <v>4.0808135943355044</v>
      </c>
      <c r="I62" s="1">
        <f>H62*D51/(1-D51*B51/(1-D51*B51/(1-D51*B51/(1-D51*B51/(1-D51*B51)))))</f>
        <v>3.9073652407244435</v>
      </c>
      <c r="J62" s="1">
        <f>I62*D51/(1-D51*B51/(1-D51*B51/(1-D51*B51/(1-D51*B51))))</f>
        <v>3.665326079005927</v>
      </c>
      <c r="K62" s="1">
        <f>J62*D51/(1-D51*B51/(1-D51*B51/(1-D51*B51)))</f>
        <v>3.327571614430449</v>
      </c>
      <c r="L62" s="1">
        <f>K62*D51/(1-D51*B51/(1-D51*B51))</f>
        <v>2.8562508681070202</v>
      </c>
      <c r="M62" s="1">
        <f>L62*D51/(1-D51*B51)</f>
        <v>2.1985445482391714</v>
      </c>
      <c r="N62" s="1">
        <f>M62*D51</f>
        <v>1.2807457741167474</v>
      </c>
      <c r="O62" s="1">
        <f>N62*D51</f>
        <v>0.74608892470777599</v>
      </c>
      <c r="P62" s="9"/>
      <c r="Q62">
        <f>O62+B62</f>
        <v>0.99999999999999978</v>
      </c>
      <c r="R62" s="189">
        <f>C62-O62</f>
        <v>-0.13785667809681879</v>
      </c>
      <c r="S62" s="93">
        <f>SUM(C62:N62)*B51*F51</f>
        <v>18.998687908551108</v>
      </c>
      <c r="T62" s="9">
        <f>SUM(C62:N62)*D51*H51</f>
        <v>-20.110842603188551</v>
      </c>
      <c r="U62" s="261">
        <f t="shared" si="15"/>
        <v>-1.112154694637443</v>
      </c>
      <c r="V62" s="93">
        <f>(U62+W62*M62)/C62</f>
        <v>30.703314964916686</v>
      </c>
      <c r="W62" s="9">
        <f t="shared" si="16"/>
        <v>9</v>
      </c>
    </row>
    <row r="63" spans="1:23" ht="17" thickBot="1" x14ac:dyDescent="0.25">
      <c r="A63" s="100">
        <v>10</v>
      </c>
      <c r="B63" s="100">
        <f>C63*B51</f>
        <v>0.25671637792600716</v>
      </c>
      <c r="C63" s="100">
        <f>D63*B51</f>
        <v>0.61495221942587253</v>
      </c>
      <c r="D63" s="145">
        <f>E63*B51/(1-B51*D51)</f>
        <v>1.4730896222203811</v>
      </c>
      <c r="E63" s="173">
        <f>F63*B51/(1-B51*D51/(1-B51*D51))</f>
        <v>2.6705807098408427</v>
      </c>
      <c r="F63" s="173">
        <f>1/(1-D51*B51/(1-B51*D51/(1-B51*D51/(1-B51*D51/(1-B51*D51/(1-B51*D51/(1-B51*D51/(1-B51*D51/(1-B51*D51))))))))-D51*B51/(1-D51*B51/(1-B51*D51)))</f>
        <v>4.3416241817378731</v>
      </c>
      <c r="G63" s="153">
        <f>F63*D51/(1-D51*B51/(1-D51*B51/(1-D51*B51/(1-D51*B51/(1-D51*B51/(1-D51*B51/(1-D51*B51/(1-D51*B51))))))))</f>
        <v>4.278034335153607</v>
      </c>
      <c r="H63" s="111">
        <f>G63*D51/(1-D51*B51/(1-D51*B51/(1-D51*B51/(1-D51*B51/(1-D51*B51/(1-D51*B51/(1-D51*B51)))))))</f>
        <v>4.1892976429877189</v>
      </c>
      <c r="I63" s="111">
        <f>H63*D51/(1-D51*B51/(1-D51*B51/(1-D51*B51/(1-D51*B51/(1-D51*B51/(1-D51*B51))))))</f>
        <v>4.0654696899495075</v>
      </c>
      <c r="J63" s="111">
        <f>I63*D51/(1-D51*B51/(1-D51*B51/(1-D51*B51/(1-D51*B51/(1-D51*B51)))))</f>
        <v>3.8926735040722069</v>
      </c>
      <c r="K63" s="111">
        <f>J63*D51/(1-D51*B51/(1-D51*B51/(1-D51*B51/(1-D51*B51))))</f>
        <v>3.6515444122868606</v>
      </c>
      <c r="L63" s="111">
        <f>K63*D51/(1-D51*B51/(1-D51*B51/(1-D51*B51)))</f>
        <v>3.3150599082451309</v>
      </c>
      <c r="M63" s="111">
        <f>L63*D51/(1-D51*B51/(1-D51*B51))</f>
        <v>2.8455113331565665</v>
      </c>
      <c r="N63" s="111">
        <f>M63*D51/(1-D51*B51)</f>
        <v>2.1902779963478132</v>
      </c>
      <c r="O63" s="111">
        <f>N63*D51</f>
        <v>1.2759301557978675</v>
      </c>
      <c r="P63" s="10">
        <f>O63*D51</f>
        <v>0.7432836220739929</v>
      </c>
      <c r="Q63">
        <f>P63+B63</f>
        <v>1</v>
      </c>
      <c r="R63" s="190">
        <f>C63-P63</f>
        <v>-0.12833140264812037</v>
      </c>
      <c r="S63" s="94">
        <f>SUM(C63:O63)*B51*F51</f>
        <v>21.354923044665792</v>
      </c>
      <c r="T63" s="10">
        <f>SUM(C63:O63)*D51*H51</f>
        <v>-22.605008210129071</v>
      </c>
      <c r="U63" s="262">
        <f t="shared" si="15"/>
        <v>-1.250085165463279</v>
      </c>
      <c r="V63" s="94">
        <f>(U63+W63*N63)/C63</f>
        <v>33.584226783174273</v>
      </c>
      <c r="W63" s="10">
        <f t="shared" si="16"/>
        <v>10</v>
      </c>
    </row>
  </sheetData>
  <sheetProtection sheet="1" objects="1" scenarios="1"/>
  <mergeCells count="4">
    <mergeCell ref="A4:W4"/>
    <mergeCell ref="A20:W20"/>
    <mergeCell ref="A35:W35"/>
    <mergeCell ref="A50:W50"/>
  </mergeCells>
  <phoneticPr fontId="16" type="noConversion"/>
  <conditionalFormatting sqref="R24">
    <cfRule type="cellIs" dxfId="926" priority="51" operator="lessThanOrEqual">
      <formula>0</formula>
    </cfRule>
    <cfRule type="cellIs" dxfId="925" priority="52" operator="greaterThan">
      <formula>0</formula>
    </cfRule>
  </conditionalFormatting>
  <conditionalFormatting sqref="R25:R33">
    <cfRule type="cellIs" dxfId="924" priority="49" operator="lessThanOrEqual">
      <formula>0</formula>
    </cfRule>
    <cfRule type="cellIs" dxfId="923" priority="50" operator="greaterThan">
      <formula>0</formula>
    </cfRule>
  </conditionalFormatting>
  <conditionalFormatting sqref="R8:R17 U8:U17">
    <cfRule type="cellIs" dxfId="922" priority="47" operator="lessThanOrEqual">
      <formula>0</formula>
    </cfRule>
    <cfRule type="cellIs" dxfId="921" priority="48" operator="greaterThan">
      <formula>0</formula>
    </cfRule>
  </conditionalFormatting>
  <conditionalFormatting sqref="R39">
    <cfRule type="cellIs" dxfId="920" priority="37" operator="lessThanOrEqual">
      <formula>0</formula>
    </cfRule>
    <cfRule type="cellIs" dxfId="919" priority="38" operator="greaterThan">
      <formula>0</formula>
    </cfRule>
  </conditionalFormatting>
  <conditionalFormatting sqref="R40:R48">
    <cfRule type="cellIs" dxfId="918" priority="35" operator="lessThanOrEqual">
      <formula>0</formula>
    </cfRule>
    <cfRule type="cellIs" dxfId="917" priority="36" operator="greaterThan">
      <formula>0</formula>
    </cfRule>
  </conditionalFormatting>
  <conditionalFormatting sqref="S8:T17">
    <cfRule type="cellIs" dxfId="916" priority="33" operator="lessThanOrEqual">
      <formula>0</formula>
    </cfRule>
    <cfRule type="cellIs" dxfId="915" priority="34" operator="greaterThan">
      <formula>0</formula>
    </cfRule>
  </conditionalFormatting>
  <conditionalFormatting sqref="U39:U48">
    <cfRule type="cellIs" dxfId="914" priority="25" operator="lessThanOrEqual">
      <formula>0</formula>
    </cfRule>
    <cfRule type="cellIs" dxfId="913" priority="26" operator="greaterThan">
      <formula>0</formula>
    </cfRule>
  </conditionalFormatting>
  <conditionalFormatting sqref="U24:U33">
    <cfRule type="cellIs" dxfId="912" priority="27" operator="lessThanOrEqual">
      <formula>0</formula>
    </cfRule>
    <cfRule type="cellIs" dxfId="911" priority="28" operator="greaterThan">
      <formula>0</formula>
    </cfRule>
  </conditionalFormatting>
  <conditionalFormatting sqref="R54">
    <cfRule type="cellIs" dxfId="910" priority="15" operator="lessThanOrEqual">
      <formula>0</formula>
    </cfRule>
    <cfRule type="cellIs" dxfId="909" priority="16" operator="greaterThan">
      <formula>0</formula>
    </cfRule>
  </conditionalFormatting>
  <conditionalFormatting sqref="R55:R63">
    <cfRule type="cellIs" dxfId="908" priority="13" operator="lessThanOrEqual">
      <formula>0</formula>
    </cfRule>
    <cfRule type="cellIs" dxfId="907" priority="14" operator="greaterThan">
      <formula>0</formula>
    </cfRule>
  </conditionalFormatting>
  <conditionalFormatting sqref="U54:U63">
    <cfRule type="cellIs" dxfId="906" priority="9" operator="lessThanOrEqual">
      <formula>0</formula>
    </cfRule>
    <cfRule type="cellIs" dxfId="905" priority="10" operator="greaterThan">
      <formula>0</formula>
    </cfRule>
  </conditionalFormatting>
  <conditionalFormatting sqref="S54:T63">
    <cfRule type="cellIs" dxfId="904" priority="1" operator="lessThanOrEqual">
      <formula>0</formula>
    </cfRule>
    <cfRule type="cellIs" dxfId="903" priority="2" operator="greaterThan">
      <formula>0</formula>
    </cfRule>
  </conditionalFormatting>
  <conditionalFormatting sqref="S24:T33">
    <cfRule type="cellIs" dxfId="902" priority="5" operator="lessThanOrEqual">
      <formula>0</formula>
    </cfRule>
    <cfRule type="cellIs" dxfId="901" priority="6" operator="greaterThan">
      <formula>0</formula>
    </cfRule>
  </conditionalFormatting>
  <conditionalFormatting sqref="S39:T48">
    <cfRule type="cellIs" dxfId="900" priority="3" operator="lessThanOrEqual">
      <formula>0</formula>
    </cfRule>
    <cfRule type="cellIs" dxfId="899" priority="4" operator="greaterThan">
      <formula>0</formula>
    </cfRule>
  </conditionalFormatting>
  <pageMargins left="0.7" right="0.7" top="0.75" bottom="0.75" header="0.3" footer="0.3"/>
  <pageSetup paperSize="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46"/>
  <sheetViews>
    <sheetView workbookViewId="0">
      <selection activeCell="K9" sqref="K9"/>
    </sheetView>
  </sheetViews>
  <sheetFormatPr baseColWidth="10" defaultColWidth="8.83203125" defaultRowHeight="16" x14ac:dyDescent="0.2"/>
  <cols>
    <col min="3" max="4" width="9" customWidth="1"/>
    <col min="7" max="7" width="9" customWidth="1"/>
    <col min="10" max="10" width="8.83203125" customWidth="1"/>
    <col min="13" max="13" width="9" customWidth="1"/>
  </cols>
  <sheetData>
    <row r="1" spans="1:32" ht="17" thickBot="1" x14ac:dyDescent="0.25">
      <c r="A1" s="327" t="s">
        <v>66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</row>
    <row r="2" spans="1:32" ht="17" thickBot="1" x14ac:dyDescent="0.25">
      <c r="A2" s="4" t="s">
        <v>3</v>
      </c>
      <c r="B2" s="21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20">
        <v>11</v>
      </c>
    </row>
    <row r="3" spans="1:32" x14ac:dyDescent="0.2">
      <c r="A3" s="23" t="s">
        <v>0</v>
      </c>
      <c r="B3" s="22">
        <f t="shared" ref="B3:B9" si="0">L3</f>
        <v>0.16652461265724483</v>
      </c>
      <c r="C3" s="2">
        <f>C14</f>
        <v>0.35360813639536137</v>
      </c>
      <c r="D3" s="2">
        <f t="shared" ref="D3:J3" si="1">D14</f>
        <v>0.3738748853821432</v>
      </c>
      <c r="E3" s="2">
        <f t="shared" si="1"/>
        <v>0.39446844550254284</v>
      </c>
      <c r="F3" s="2">
        <f t="shared" si="1"/>
        <v>0.41640366958226238</v>
      </c>
      <c r="G3" s="2">
        <f t="shared" si="1"/>
        <v>0.42315049208499772</v>
      </c>
      <c r="H3" s="2">
        <f t="shared" si="1"/>
        <v>0.2623124083615333</v>
      </c>
      <c r="I3" s="2">
        <f t="shared" si="1"/>
        <v>0.2447412422511914</v>
      </c>
      <c r="J3" s="2">
        <f t="shared" si="1"/>
        <v>0.2284251594344453</v>
      </c>
      <c r="K3" s="2">
        <f>(SUM(M14:T14)+Rules!$B$5*U14)/(8+Rules!$B$5)</f>
        <v>0.22978483300250749</v>
      </c>
      <c r="L3" s="8">
        <f t="shared" ref="L3:L9" si="2">SUM(C24:K24)/9</f>
        <v>0.16652461265724483</v>
      </c>
    </row>
    <row r="4" spans="1:32" x14ac:dyDescent="0.2">
      <c r="A4" s="24">
        <v>17</v>
      </c>
      <c r="B4" s="22">
        <f t="shared" si="0"/>
        <v>0.18891729969077325</v>
      </c>
      <c r="C4" s="2">
        <f t="shared" ref="C4:J4" si="3">C15</f>
        <v>0.13980913952773527</v>
      </c>
      <c r="D4" s="2">
        <f t="shared" si="3"/>
        <v>0.13503398781113993</v>
      </c>
      <c r="E4" s="2">
        <f t="shared" si="3"/>
        <v>0.13048973584959825</v>
      </c>
      <c r="F4" s="2">
        <f t="shared" si="3"/>
        <v>0.12225128527055079</v>
      </c>
      <c r="G4" s="2">
        <f t="shared" si="3"/>
        <v>0.16543817650334638</v>
      </c>
      <c r="H4" s="2">
        <f t="shared" si="3"/>
        <v>0.36856619379423861</v>
      </c>
      <c r="I4" s="2">
        <f t="shared" si="3"/>
        <v>0.12856654444917001</v>
      </c>
      <c r="J4" s="2">
        <f t="shared" si="3"/>
        <v>0.119995441485892</v>
      </c>
      <c r="K4" s="2">
        <f>(SUM(M15:T15)+Rules!$B$5*U15)/(8+Rules!$B$5)</f>
        <v>0.12070970006616517</v>
      </c>
      <c r="L4" s="8">
        <f t="shared" si="2"/>
        <v>0.18891729969077325</v>
      </c>
    </row>
    <row r="5" spans="1:32" x14ac:dyDescent="0.2">
      <c r="A5" s="24">
        <v>18</v>
      </c>
      <c r="B5" s="22">
        <f t="shared" si="0"/>
        <v>0.18891729969077325</v>
      </c>
      <c r="C5" s="2">
        <f t="shared" ref="C5:J5" si="4">C16</f>
        <v>0.13490735037469442</v>
      </c>
      <c r="D5" s="2">
        <f t="shared" si="4"/>
        <v>0.13048232645474483</v>
      </c>
      <c r="E5" s="2">
        <f t="shared" si="4"/>
        <v>0.12593807449320316</v>
      </c>
      <c r="F5" s="2">
        <f t="shared" si="4"/>
        <v>0.12225128527055079</v>
      </c>
      <c r="G5" s="2">
        <f t="shared" si="4"/>
        <v>0.10626657887021028</v>
      </c>
      <c r="H5" s="2">
        <f t="shared" si="4"/>
        <v>0.13779696302500785</v>
      </c>
      <c r="I5" s="2">
        <f t="shared" si="4"/>
        <v>0.35933577521840082</v>
      </c>
      <c r="J5" s="2">
        <f t="shared" si="4"/>
        <v>0.119995441485892</v>
      </c>
      <c r="K5" s="2">
        <f>(SUM(M16:T16)+Rules!$B$5*U16)/(8+Rules!$B$5)</f>
        <v>0.12070970006616517</v>
      </c>
      <c r="L5" s="8">
        <f t="shared" si="2"/>
        <v>0.18891729969077325</v>
      </c>
    </row>
    <row r="6" spans="1:32" x14ac:dyDescent="0.2">
      <c r="A6" s="24">
        <v>19</v>
      </c>
      <c r="B6" s="22">
        <f t="shared" si="0"/>
        <v>0.18891729969077325</v>
      </c>
      <c r="C6" s="2">
        <f t="shared" ref="C6:J6" si="5">C17</f>
        <v>0.12965543342500779</v>
      </c>
      <c r="D6" s="2">
        <f t="shared" si="5"/>
        <v>0.12558053730170399</v>
      </c>
      <c r="E6" s="2">
        <f t="shared" si="5"/>
        <v>0.12138641313680808</v>
      </c>
      <c r="F6" s="2">
        <f t="shared" si="5"/>
        <v>0.11769962391415568</v>
      </c>
      <c r="G6" s="2">
        <f t="shared" si="5"/>
        <v>0.10626657887021028</v>
      </c>
      <c r="H6" s="2">
        <f t="shared" si="5"/>
        <v>7.8625365391871746E-2</v>
      </c>
      <c r="I6" s="2">
        <f t="shared" si="5"/>
        <v>0.12856654444917001</v>
      </c>
      <c r="J6" s="2">
        <f t="shared" si="5"/>
        <v>0.35076467225512281</v>
      </c>
      <c r="K6" s="2">
        <f>(SUM(M17:T17)+Rules!$B$5*U17)/(8+Rules!$B$5)</f>
        <v>0.12070970006616517</v>
      </c>
      <c r="L6" s="8">
        <f t="shared" si="2"/>
        <v>0.18891729969077325</v>
      </c>
    </row>
    <row r="7" spans="1:32" x14ac:dyDescent="0.2">
      <c r="A7" s="24">
        <v>20</v>
      </c>
      <c r="B7" s="22">
        <f t="shared" si="0"/>
        <v>0.18891729969077325</v>
      </c>
      <c r="C7" s="2">
        <f t="shared" ref="C7:J7" si="6">C18</f>
        <v>0.12402645577124111</v>
      </c>
      <c r="D7" s="2">
        <f t="shared" si="6"/>
        <v>0.12032862035201736</v>
      </c>
      <c r="E7" s="2">
        <f t="shared" si="6"/>
        <v>0.1164846239837672</v>
      </c>
      <c r="F7" s="2">
        <f t="shared" si="6"/>
        <v>0.11314796255776062</v>
      </c>
      <c r="G7" s="2">
        <f t="shared" si="6"/>
        <v>0.1017149175138152</v>
      </c>
      <c r="H7" s="2">
        <f t="shared" si="6"/>
        <v>7.8625365391871746E-2</v>
      </c>
      <c r="I7" s="2">
        <f t="shared" si="6"/>
        <v>6.9394946816033906E-2</v>
      </c>
      <c r="J7" s="2">
        <f t="shared" si="6"/>
        <v>0.119995441485892</v>
      </c>
      <c r="K7" s="2">
        <f>(SUM(M18:T18)+Rules!$B$5*U18)/(8+Rules!$B$5)</f>
        <v>0.37070970006616516</v>
      </c>
      <c r="L7" s="8">
        <f t="shared" si="2"/>
        <v>0.18891729969077325</v>
      </c>
    </row>
    <row r="8" spans="1:32" x14ac:dyDescent="0.2">
      <c r="A8" s="25">
        <v>21</v>
      </c>
      <c r="B8" s="22">
        <f t="shared" si="0"/>
        <v>7.780618857966215E-2</v>
      </c>
      <c r="C8" s="2">
        <f t="shared" ref="C8:J9" si="7">C19</f>
        <v>0.11799348450596003</v>
      </c>
      <c r="D8" s="2">
        <f t="shared" si="7"/>
        <v>0.11469964269825064</v>
      </c>
      <c r="E8" s="2">
        <f t="shared" si="7"/>
        <v>0.11123270703408054</v>
      </c>
      <c r="F8" s="2">
        <f t="shared" si="7"/>
        <v>0.10824617340471974</v>
      </c>
      <c r="G8" s="2">
        <f t="shared" si="7"/>
        <v>9.7163256157420108E-2</v>
      </c>
      <c r="H8" s="2">
        <f t="shared" si="7"/>
        <v>7.4073704035476653E-2</v>
      </c>
      <c r="I8" s="2">
        <f t="shared" si="7"/>
        <v>6.9394946816033906E-2</v>
      </c>
      <c r="J8" s="2">
        <f t="shared" si="7"/>
        <v>6.0823843852755896E-2</v>
      </c>
      <c r="K8" s="2">
        <f>(SUM(M19:T19)+Rules!$B$5*U19)/(8+Rules!$B$5)</f>
        <v>3.7376366732831838E-2</v>
      </c>
      <c r="L8" s="8">
        <f t="shared" si="2"/>
        <v>7.780618857966215E-2</v>
      </c>
    </row>
    <row r="9" spans="1:32" ht="17" thickBot="1" x14ac:dyDescent="0.25">
      <c r="A9" s="139">
        <v>22</v>
      </c>
      <c r="B9" s="22">
        <f t="shared" si="0"/>
        <v>0</v>
      </c>
      <c r="C9" s="2">
        <f t="shared" si="7"/>
        <v>0</v>
      </c>
      <c r="D9" s="2">
        <f t="shared" si="7"/>
        <v>0</v>
      </c>
      <c r="E9" s="2">
        <f t="shared" si="7"/>
        <v>0</v>
      </c>
      <c r="F9" s="2">
        <f t="shared" si="7"/>
        <v>0</v>
      </c>
      <c r="G9" s="2">
        <f t="shared" si="7"/>
        <v>0</v>
      </c>
      <c r="H9" s="2">
        <f t="shared" si="7"/>
        <v>0</v>
      </c>
      <c r="I9" s="2">
        <f t="shared" si="7"/>
        <v>0</v>
      </c>
      <c r="J9" s="2">
        <f t="shared" si="7"/>
        <v>0</v>
      </c>
      <c r="K9" s="2">
        <f>(SUM(M20:T20)+Rules!$B$5*U20)/(8+Rules!$B$5)</f>
        <v>0</v>
      </c>
      <c r="L9" s="8">
        <f t="shared" si="2"/>
        <v>0</v>
      </c>
    </row>
    <row r="10" spans="1:32" ht="17" thickBot="1" x14ac:dyDescent="0.25">
      <c r="A10" s="4" t="s">
        <v>2</v>
      </c>
      <c r="B10" s="21">
        <f>SUM(B3:B9)</f>
        <v>1</v>
      </c>
      <c r="C10" s="21">
        <f t="shared" ref="C10:L10" si="8">SUM(C3:C9)</f>
        <v>1</v>
      </c>
      <c r="D10" s="21">
        <f t="shared" si="8"/>
        <v>0.99999999999999989</v>
      </c>
      <c r="E10" s="21">
        <f t="shared" si="8"/>
        <v>1.0000000000000002</v>
      </c>
      <c r="F10" s="21">
        <f t="shared" si="8"/>
        <v>1</v>
      </c>
      <c r="G10" s="21">
        <f t="shared" si="8"/>
        <v>1</v>
      </c>
      <c r="H10" s="21">
        <f t="shared" si="8"/>
        <v>0.99999999999999989</v>
      </c>
      <c r="I10" s="21">
        <f t="shared" si="8"/>
        <v>1</v>
      </c>
      <c r="J10" s="21">
        <f t="shared" si="8"/>
        <v>1</v>
      </c>
      <c r="K10" s="21">
        <f t="shared" si="8"/>
        <v>1</v>
      </c>
      <c r="L10" s="21">
        <f t="shared" si="8"/>
        <v>1</v>
      </c>
    </row>
    <row r="12" spans="1:32" ht="17" thickBot="1" x14ac:dyDescent="0.25">
      <c r="A12" s="327" t="s">
        <v>67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</row>
    <row r="13" spans="1:32" ht="17" thickBot="1" x14ac:dyDescent="0.25">
      <c r="A13" s="4" t="s">
        <v>3</v>
      </c>
      <c r="B13" s="21">
        <v>1</v>
      </c>
      <c r="C13" s="19">
        <v>2</v>
      </c>
      <c r="D13" s="19">
        <v>3</v>
      </c>
      <c r="E13" s="19">
        <v>4</v>
      </c>
      <c r="F13" s="19">
        <v>5</v>
      </c>
      <c r="G13" s="19">
        <v>6</v>
      </c>
      <c r="H13" s="19">
        <v>7</v>
      </c>
      <c r="I13" s="19">
        <v>8</v>
      </c>
      <c r="J13" s="19">
        <v>9</v>
      </c>
      <c r="K13" s="19">
        <v>10</v>
      </c>
      <c r="L13" s="19">
        <v>11</v>
      </c>
      <c r="M13" s="19">
        <v>12</v>
      </c>
      <c r="N13" s="19">
        <v>13</v>
      </c>
      <c r="O13" s="19">
        <v>14</v>
      </c>
      <c r="P13" s="19">
        <v>15</v>
      </c>
      <c r="Q13" s="19">
        <v>16</v>
      </c>
      <c r="R13" s="19">
        <v>17</v>
      </c>
      <c r="S13" s="19">
        <v>18</v>
      </c>
      <c r="T13" s="19">
        <v>19</v>
      </c>
      <c r="U13" s="19">
        <v>20</v>
      </c>
      <c r="V13" s="19">
        <v>21</v>
      </c>
      <c r="W13" s="19">
        <v>22</v>
      </c>
      <c r="X13" s="19">
        <v>23</v>
      </c>
      <c r="Y13" s="19">
        <v>24</v>
      </c>
      <c r="Z13" s="19">
        <v>25</v>
      </c>
      <c r="AA13" s="19">
        <v>26</v>
      </c>
      <c r="AB13" s="19">
        <v>27</v>
      </c>
      <c r="AC13" s="19">
        <v>28</v>
      </c>
      <c r="AD13" s="19">
        <v>29</v>
      </c>
      <c r="AE13" s="19">
        <v>30</v>
      </c>
      <c r="AF13" s="20">
        <v>31</v>
      </c>
    </row>
    <row r="14" spans="1:32" x14ac:dyDescent="0.2">
      <c r="A14" s="23" t="s">
        <v>0</v>
      </c>
      <c r="B14" s="22">
        <f>L14</f>
        <v>0.2121090766176992</v>
      </c>
      <c r="C14" s="2">
        <f>(SUM(E14:L14)+Rules!$B$5*M14+D24)/(9+Rules!$B$5)</f>
        <v>0.35360813639536137</v>
      </c>
      <c r="D14" s="2">
        <f>(SUM(F14:M14)+Rules!$B$5*N14+E24)/(9+Rules!$B$5)</f>
        <v>0.3738748853821432</v>
      </c>
      <c r="E14" s="2">
        <f>(SUM(G14:N14)+Rules!$B$5*O14+F24)/(9+Rules!$B$5)</f>
        <v>0.39446844550254284</v>
      </c>
      <c r="F14" s="2">
        <f>(SUM(H14:O14)+Rules!$B$5*P14+G24)/(9+Rules!$B$5)</f>
        <v>0.41640366958226238</v>
      </c>
      <c r="G14" s="2">
        <f>(SUM(I14:P14)+Rules!$B$5*Q14+H24)/(9+Rules!$B$5)</f>
        <v>0.42315049208499772</v>
      </c>
      <c r="H14" s="2">
        <f>(SUM(J14:Q14)+Rules!$B$5*R14+I24)/(9+Rules!$B$5)</f>
        <v>0.2623124083615333</v>
      </c>
      <c r="I14" s="2">
        <f>(SUM(K14:R14)+Rules!$B$5*S14+J24)/(9+Rules!$B$5)</f>
        <v>0.2447412422511914</v>
      </c>
      <c r="J14" s="2">
        <f>(SUM(L14:S14)+Rules!$B$5*T14+K24)/(9+Rules!$B$5)</f>
        <v>0.2284251594344453</v>
      </c>
      <c r="K14" s="2">
        <f>(SUM(M14:T14)+Rules!$B$5*U14+L24)/(9+Rules!$B$5)</f>
        <v>0.2121090766176992</v>
      </c>
      <c r="L14" s="2">
        <f>(SUM(M14:U14)+Rules!$B$5*V14)/(9+Rules!$B$5)</f>
        <v>0.2121090766176992</v>
      </c>
      <c r="M14" s="2">
        <f>(SUM(N14:V14)+Rules!$B$5*W14)/(9+Rules!$B$5)</f>
        <v>0.48267271400214923</v>
      </c>
      <c r="N14" s="2">
        <f>(SUM(O14:W14)+Rules!$B$5*X14)/(9+Rules!$B$5)</f>
        <v>0.51962466300199572</v>
      </c>
      <c r="O14" s="2">
        <f>(SUM(P14:X14)+Rules!$B$5*Y14)/(9+Rules!$B$5)</f>
        <v>0.55393718707328177</v>
      </c>
      <c r="P14" s="2">
        <f>(SUM(Q14:Y14)+Rules!$B$5*Z14)/(9+Rules!$B$5)</f>
        <v>0.58579881656804733</v>
      </c>
      <c r="Q14" s="2">
        <f>(SUM(R14:Z14)+Rules!$B$5*AA14)/(9+Rules!$B$5)</f>
        <v>0.61538461538461542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>IF(Rules!$B$14=Rules!$E$14,1,0)</f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8">
        <v>1</v>
      </c>
    </row>
    <row r="15" spans="1:32" x14ac:dyDescent="0.2">
      <c r="A15" s="24">
        <v>17</v>
      </c>
      <c r="B15" s="22">
        <f t="shared" ref="B15:B20" si="9">L15</f>
        <v>0.11142433852261401</v>
      </c>
      <c r="C15" s="2">
        <f>(SUM(E15:L15)+Rules!$B$5*M15+D25)/(9+Rules!$B$5)</f>
        <v>0.13980913952773527</v>
      </c>
      <c r="D15" s="2">
        <f>(SUM(F15:M15)+Rules!$B$5*N15+E25)/(9+Rules!$B$5)</f>
        <v>0.13503398781113993</v>
      </c>
      <c r="E15" s="2">
        <f>(SUM(G15:N15)+Rules!$B$5*O15+F25)/(9+Rules!$B$5)</f>
        <v>0.13048973584959825</v>
      </c>
      <c r="F15" s="2">
        <f>(SUM(H15:O15)+Rules!$B$5*P15+G25)/(9+Rules!$B$5)</f>
        <v>0.12225128527055079</v>
      </c>
      <c r="G15" s="2">
        <f>(SUM(I15:P15)+Rules!$B$5*Q15+H25)/(9+Rules!$B$5)</f>
        <v>0.16543817650334638</v>
      </c>
      <c r="H15" s="2">
        <f>(SUM(J15:Q15)+Rules!$B$5*R15+I25)/(9+Rules!$B$5)</f>
        <v>0.36856619379423861</v>
      </c>
      <c r="I15" s="2">
        <f>(SUM(K15:R15)+Rules!$B$5*S15+J25)/(9+Rules!$B$5)</f>
        <v>0.12856654444917001</v>
      </c>
      <c r="J15" s="2">
        <f>(SUM(L15:S15)+Rules!$B$5*T15+K25)/(9+Rules!$B$5)</f>
        <v>0.119995441485892</v>
      </c>
      <c r="K15" s="2">
        <f>(SUM(M15:T15)+Rules!$B$5*U15+L25)/(9+Rules!$B$5)</f>
        <v>0.11142433852261401</v>
      </c>
      <c r="L15" s="2">
        <f>(SUM(M15:U15)+Rules!$B$5*V15)/(9+Rules!$B$5)</f>
        <v>0.11142433852261401</v>
      </c>
      <c r="M15" s="2">
        <f>(SUM(N15:V15)+Rules!$B$5*W15)/(9+Rules!$B$5)</f>
        <v>0.10346545719957015</v>
      </c>
      <c r="N15" s="2">
        <f>(SUM(O15:W15)+Rules!$B$5*X15)/(9+Rules!$B$5)</f>
        <v>9.6075067399600853E-2</v>
      </c>
      <c r="O15" s="2">
        <f>(SUM(P15:X15)+Rules!$B$5*Y15)/(9+Rules!$B$5)</f>
        <v>8.9212562585343644E-2</v>
      </c>
      <c r="P15" s="2">
        <f>(SUM(Q15:Y15)+Rules!$B$5*Z15)/(9+Rules!$B$5)</f>
        <v>8.2840236686390525E-2</v>
      </c>
      <c r="Q15" s="2">
        <f>(SUM(R15:Z15)+Rules!$B$5*AA15)/(9+Rules!$B$5)</f>
        <v>7.6923076923076927E-2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9">
        <v>0</v>
      </c>
    </row>
    <row r="16" spans="1:32" x14ac:dyDescent="0.2">
      <c r="A16" s="24">
        <v>18</v>
      </c>
      <c r="B16" s="22">
        <f t="shared" si="9"/>
        <v>0.11142433852261401</v>
      </c>
      <c r="C16" s="2">
        <f>(SUM(E16:L16)+Rules!$B$5*M16+D26)/(9+Rules!$B$5)</f>
        <v>0.13490735037469442</v>
      </c>
      <c r="D16" s="2">
        <f>(SUM(F16:M16)+Rules!$B$5*N16+E26)/(9+Rules!$B$5)</f>
        <v>0.13048232645474483</v>
      </c>
      <c r="E16" s="2">
        <f>(SUM(G16:N16)+Rules!$B$5*O16+F26)/(9+Rules!$B$5)</f>
        <v>0.12593807449320316</v>
      </c>
      <c r="F16" s="2">
        <f>(SUM(H16:O16)+Rules!$B$5*P16+G26)/(9+Rules!$B$5)</f>
        <v>0.12225128527055079</v>
      </c>
      <c r="G16" s="2">
        <f>(SUM(I16:P16)+Rules!$B$5*Q16+H26)/(9+Rules!$B$5)</f>
        <v>0.10626657887021028</v>
      </c>
      <c r="H16" s="2">
        <f>(SUM(J16:Q16)+Rules!$B$5*R16+I26)/(9+Rules!$B$5)</f>
        <v>0.13779696302500785</v>
      </c>
      <c r="I16" s="2">
        <f>(SUM(K16:R16)+Rules!$B$5*S16+J26)/(9+Rules!$B$5)</f>
        <v>0.35933577521840082</v>
      </c>
      <c r="J16" s="2">
        <f>(SUM(L16:S16)+Rules!$B$5*T16+K26)/(9+Rules!$B$5)</f>
        <v>0.119995441485892</v>
      </c>
      <c r="K16" s="2">
        <f>(SUM(M16:T16)+Rules!$B$5*U16+L26)/(9+Rules!$B$5)</f>
        <v>0.11142433852261401</v>
      </c>
      <c r="L16" s="2">
        <f>(SUM(M16:U16)+Rules!$B$5*V16)/(9+Rules!$B$5)</f>
        <v>0.11142433852261401</v>
      </c>
      <c r="M16" s="2">
        <f>(SUM(N16:V16)+Rules!$B$5*W16)/(9+Rules!$B$5)</f>
        <v>0.10346545719957015</v>
      </c>
      <c r="N16" s="2">
        <f>(SUM(O16:W16)+Rules!$B$5*X16)/(9+Rules!$B$5)</f>
        <v>9.6075067399600853E-2</v>
      </c>
      <c r="O16" s="2">
        <f>(SUM(P16:X16)+Rules!$B$5*Y16)/(9+Rules!$B$5)</f>
        <v>8.9212562585343644E-2</v>
      </c>
      <c r="P16" s="2">
        <f>(SUM(Q16:Y16)+Rules!$B$5*Z16)/(9+Rules!$B$5)</f>
        <v>8.2840236686390525E-2</v>
      </c>
      <c r="Q16" s="2">
        <f>(SUM(R16:Z16)+Rules!$B$5*AA16)/(9+Rules!$B$5)</f>
        <v>7.6923076923076927E-2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9">
        <v>0</v>
      </c>
    </row>
    <row r="17" spans="1:32" x14ac:dyDescent="0.2">
      <c r="A17" s="24">
        <v>19</v>
      </c>
      <c r="B17" s="22">
        <f t="shared" si="9"/>
        <v>0.11142433852261401</v>
      </c>
      <c r="C17" s="2">
        <f>(SUM(E17:L17)+Rules!$B$5*M17+D27)/(9+Rules!$B$5)</f>
        <v>0.12965543342500779</v>
      </c>
      <c r="D17" s="2">
        <f>(SUM(F17:M17)+Rules!$B$5*N17+E27)/(9+Rules!$B$5)</f>
        <v>0.12558053730170399</v>
      </c>
      <c r="E17" s="2">
        <f>(SUM(G17:N17)+Rules!$B$5*O17+F27)/(9+Rules!$B$5)</f>
        <v>0.12138641313680808</v>
      </c>
      <c r="F17" s="2">
        <f>(SUM(H17:O17)+Rules!$B$5*P17+G27)/(9+Rules!$B$5)</f>
        <v>0.11769962391415568</v>
      </c>
      <c r="G17" s="2">
        <f>(SUM(I17:P17)+Rules!$B$5*Q17+H27)/(9+Rules!$B$5)</f>
        <v>0.10626657887021028</v>
      </c>
      <c r="H17" s="2">
        <f>(SUM(J17:Q17)+Rules!$B$5*R17+I27)/(9+Rules!$B$5)</f>
        <v>7.8625365391871746E-2</v>
      </c>
      <c r="I17" s="2">
        <f>(SUM(K17:R17)+Rules!$B$5*S17+J27)/(9+Rules!$B$5)</f>
        <v>0.12856654444917001</v>
      </c>
      <c r="J17" s="2">
        <f>(SUM(L17:S17)+Rules!$B$5*T17+K27)/(9+Rules!$B$5)</f>
        <v>0.35076467225512281</v>
      </c>
      <c r="K17" s="2">
        <f>(SUM(M17:T17)+Rules!$B$5*U17+L27)/(9+Rules!$B$5)</f>
        <v>0.11142433852261401</v>
      </c>
      <c r="L17" s="2">
        <f>(SUM(M17:U17)+Rules!$B$5*V17)/(9+Rules!$B$5)</f>
        <v>0.11142433852261401</v>
      </c>
      <c r="M17" s="2">
        <f>(SUM(N17:V17)+Rules!$B$5*W17)/(9+Rules!$B$5)</f>
        <v>0.10346545719957015</v>
      </c>
      <c r="N17" s="2">
        <f>(SUM(O17:W17)+Rules!$B$5*X17)/(9+Rules!$B$5)</f>
        <v>9.6075067399600853E-2</v>
      </c>
      <c r="O17" s="2">
        <f>(SUM(P17:X17)+Rules!$B$5*Y17)/(9+Rules!$B$5)</f>
        <v>8.9212562585343644E-2</v>
      </c>
      <c r="P17" s="2">
        <f>(SUM(Q17:Y17)+Rules!$B$5*Z17)/(9+Rules!$B$5)</f>
        <v>8.2840236686390525E-2</v>
      </c>
      <c r="Q17" s="2">
        <f>(SUM(R17:Z17)+Rules!$B$5*AA17)/(9+Rules!$B$5)</f>
        <v>7.6923076923076927E-2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9">
        <v>0</v>
      </c>
    </row>
    <row r="18" spans="1:32" x14ac:dyDescent="0.2">
      <c r="A18" s="24">
        <v>20</v>
      </c>
      <c r="B18" s="22">
        <f t="shared" si="9"/>
        <v>0.11142433852261401</v>
      </c>
      <c r="C18" s="2">
        <f>(SUM(E18:L18)+Rules!$B$5*M18+D28)/(9+Rules!$B$5)</f>
        <v>0.12402645577124111</v>
      </c>
      <c r="D18" s="2">
        <f>(SUM(F18:M18)+Rules!$B$5*N18+E28)/(9+Rules!$B$5)</f>
        <v>0.12032862035201736</v>
      </c>
      <c r="E18" s="2">
        <f>(SUM(G18:N18)+Rules!$B$5*O18+F28)/(9+Rules!$B$5)</f>
        <v>0.1164846239837672</v>
      </c>
      <c r="F18" s="2">
        <f>(SUM(H18:O18)+Rules!$B$5*P18+G28)/(9+Rules!$B$5)</f>
        <v>0.11314796255776062</v>
      </c>
      <c r="G18" s="2">
        <f>(SUM(I18:P18)+Rules!$B$5*Q18+H28)/(9+Rules!$B$5)</f>
        <v>0.1017149175138152</v>
      </c>
      <c r="H18" s="2">
        <f>(SUM(J18:Q18)+Rules!$B$5*R18+I28)/(9+Rules!$B$5)</f>
        <v>7.8625365391871746E-2</v>
      </c>
      <c r="I18" s="2">
        <f>(SUM(K18:R18)+Rules!$B$5*S18+J28)/(9+Rules!$B$5)</f>
        <v>6.9394946816033906E-2</v>
      </c>
      <c r="J18" s="2">
        <f>(SUM(L18:S18)+Rules!$B$5*T18+K28)/(9+Rules!$B$5)</f>
        <v>0.119995441485892</v>
      </c>
      <c r="K18" s="2">
        <f>(SUM(M18:T18)+Rules!$B$5*U18+L28)/(9+Rules!$B$5)</f>
        <v>0.34219356929184475</v>
      </c>
      <c r="L18" s="2">
        <f>(SUM(M18:U18)+Rules!$B$5*V18)/(9+Rules!$B$5)</f>
        <v>0.11142433852261401</v>
      </c>
      <c r="M18" s="2">
        <f>(SUM(N18:V18)+Rules!$B$5*W18)/(9+Rules!$B$5)</f>
        <v>0.10346545719957015</v>
      </c>
      <c r="N18" s="2">
        <f>(SUM(O18:W18)+Rules!$B$5*X18)/(9+Rules!$B$5)</f>
        <v>9.6075067399600853E-2</v>
      </c>
      <c r="O18" s="2">
        <f>(SUM(P18:X18)+Rules!$B$5*Y18)/(9+Rules!$B$5)</f>
        <v>8.9212562585343644E-2</v>
      </c>
      <c r="P18" s="2">
        <f>(SUM(Q18:Y18)+Rules!$B$5*Z18)/(9+Rules!$B$5)</f>
        <v>8.2840236686390525E-2</v>
      </c>
      <c r="Q18" s="2">
        <f>(SUM(R18:Z18)+Rules!$B$5*AA18)/(9+Rules!$B$5)</f>
        <v>7.6923076923076927E-2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9">
        <v>0</v>
      </c>
    </row>
    <row r="19" spans="1:32" x14ac:dyDescent="0.2">
      <c r="A19" s="25">
        <v>21</v>
      </c>
      <c r="B19" s="22">
        <f t="shared" si="9"/>
        <v>0.34219356929184475</v>
      </c>
      <c r="C19" s="2">
        <f>(SUM(E19:L19)+Rules!$B$5*M19+D29)/(9+Rules!$B$5)</f>
        <v>0.11799348450596003</v>
      </c>
      <c r="D19" s="2">
        <f>(SUM(F19:M19)+Rules!$B$5*N19+E29)/(9+Rules!$B$5)</f>
        <v>0.11469964269825064</v>
      </c>
      <c r="E19" s="2">
        <f>(SUM(G19:N19)+Rules!$B$5*O19+F29)/(9+Rules!$B$5)</f>
        <v>0.11123270703408054</v>
      </c>
      <c r="F19" s="2">
        <f>(SUM(H19:O19)+Rules!$B$5*P19+G29)/(9+Rules!$B$5)</f>
        <v>0.10824617340471974</v>
      </c>
      <c r="G19" s="2">
        <f>(SUM(I19:P19)+Rules!$B$5*Q19+H29)/(9+Rules!$B$5)</f>
        <v>9.7163256157420108E-2</v>
      </c>
      <c r="H19" s="2">
        <f>(SUM(J19:Q19)+Rules!$B$5*R19+I29)/(9+Rules!$B$5)</f>
        <v>7.4073704035476653E-2</v>
      </c>
      <c r="I19" s="2">
        <f>(SUM(K19:R19)+Rules!$B$5*S19+J29)/(9+Rules!$B$5)</f>
        <v>6.9394946816033906E-2</v>
      </c>
      <c r="J19" s="2">
        <f>(SUM(L19:S19)+Rules!$B$5*T19+K29)/(9+Rules!$B$5)</f>
        <v>6.0823843852755896E-2</v>
      </c>
      <c r="K19" s="2">
        <f>(SUM(M19:T19)+Rules!$B$5*U19+L29)/(9+Rules!$B$5)</f>
        <v>0.11142433852261401</v>
      </c>
      <c r="L19" s="2">
        <f>(SUM(M19:U19)+Rules!$B$5*V19)/(9+Rules!$B$5)</f>
        <v>0.34219356929184475</v>
      </c>
      <c r="M19" s="2">
        <f>(SUM(N19:V19)+Rules!$B$5*W19)/(9+Rules!$B$5)</f>
        <v>0.10346545719957015</v>
      </c>
      <c r="N19" s="2">
        <f>(SUM(O19:W19)+Rules!$B$5*X19)/(9+Rules!$B$5)</f>
        <v>9.6075067399600853E-2</v>
      </c>
      <c r="O19" s="2">
        <f>(SUM(P19:X19)+Rules!$B$5*Y19)/(9+Rules!$B$5)</f>
        <v>8.9212562585343644E-2</v>
      </c>
      <c r="P19" s="2">
        <f>(SUM(Q19:Y19)+Rules!$B$5*Z19)/(9+Rules!$B$5)</f>
        <v>8.2840236686390525E-2</v>
      </c>
      <c r="Q19" s="2">
        <f>(SUM(R19:Z19)+Rules!$B$5*AA19)/(9+Rules!$B$5)</f>
        <v>7.6923076923076927E-2</v>
      </c>
      <c r="R19" s="26">
        <v>0</v>
      </c>
      <c r="S19" s="26">
        <v>0</v>
      </c>
      <c r="T19" s="26">
        <v>0</v>
      </c>
      <c r="U19" s="26">
        <v>0</v>
      </c>
      <c r="V19" s="26">
        <v>1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7">
        <v>0</v>
      </c>
    </row>
    <row r="20" spans="1:32" ht="17" thickBot="1" x14ac:dyDescent="0.25">
      <c r="A20" s="139">
        <v>22</v>
      </c>
      <c r="B20" s="22">
        <f t="shared" si="9"/>
        <v>0</v>
      </c>
      <c r="C20" s="2">
        <f>(SUM(E20:L20)+Rules!$B$5*M20+D30)/(9+Rules!$B$5)</f>
        <v>0</v>
      </c>
      <c r="D20" s="2">
        <f>(SUM(F20:M20)+Rules!$B$5*N20+E30)/(9+Rules!$B$5)</f>
        <v>0</v>
      </c>
      <c r="E20" s="2">
        <f>(SUM(G20:N20)+Rules!$B$5*O20+F30)/(9+Rules!$B$5)</f>
        <v>0</v>
      </c>
      <c r="F20" s="2">
        <f>(SUM(H20:O20)+Rules!$B$5*P20+G30)/(9+Rules!$B$5)</f>
        <v>0</v>
      </c>
      <c r="G20" s="2">
        <f>(SUM(I20:P20)+Rules!$B$5*Q20+H30)/(9+Rules!$B$5)</f>
        <v>0</v>
      </c>
      <c r="H20" s="2">
        <f>(SUM(J20:Q20)+Rules!$B$5*R20+I30)/(9+Rules!$B$5)</f>
        <v>0</v>
      </c>
      <c r="I20" s="2">
        <f>(SUM(K20:R20)+Rules!$B$5*S20+J30)/(9+Rules!$B$5)</f>
        <v>0</v>
      </c>
      <c r="J20" s="2">
        <f>(SUM(L20:S20)+Rules!$B$5*T20+K30)/(9+Rules!$B$5)</f>
        <v>0</v>
      </c>
      <c r="K20" s="2">
        <f>(SUM(M20:T20)+Rules!$B$5*U20+L30)/(9+Rules!$B$5)</f>
        <v>0</v>
      </c>
      <c r="L20" s="2">
        <f>(SUM(M20:U20)+Rules!$B$5*V20)/(9+Rules!$B$5)</f>
        <v>0</v>
      </c>
      <c r="M20" s="2">
        <f>(SUM(N20:V20)+Rules!$B$5*W20)/(9+Rules!$B$5)</f>
        <v>0</v>
      </c>
      <c r="N20" s="2">
        <f>(SUM(O20:W20)+Rules!$B$5*X20)/(9+Rules!$B$5)</f>
        <v>0</v>
      </c>
      <c r="O20" s="2">
        <f>(SUM(P20:X20)+Rules!$B$5*Y20)/(9+Rules!$B$5)</f>
        <v>0</v>
      </c>
      <c r="P20" s="2">
        <f>(SUM(Q20:Y20)+Rules!$B$5*Z20)/(9+Rules!$B$5)</f>
        <v>0</v>
      </c>
      <c r="Q20" s="2">
        <f>(SUM(R20:Z20)+Rules!$B$5*AA20)/(9+Rules!$B$5)</f>
        <v>0</v>
      </c>
      <c r="R20" s="120">
        <v>0</v>
      </c>
      <c r="S20" s="120">
        <v>0</v>
      </c>
      <c r="T20" s="120">
        <v>0</v>
      </c>
      <c r="U20" s="120">
        <v>0</v>
      </c>
      <c r="V20" s="120">
        <v>0</v>
      </c>
      <c r="W20" s="120">
        <f>IF(Rules!$B$14=Rules!$E$14,0,1)</f>
        <v>0</v>
      </c>
      <c r="X20" s="120">
        <v>0</v>
      </c>
      <c r="Y20" s="120">
        <v>0</v>
      </c>
      <c r="Z20" s="120">
        <v>0</v>
      </c>
      <c r="AA20" s="120">
        <v>0</v>
      </c>
      <c r="AB20" s="120">
        <v>0</v>
      </c>
      <c r="AC20" s="120">
        <v>0</v>
      </c>
      <c r="AD20" s="120">
        <v>0</v>
      </c>
      <c r="AE20" s="120">
        <v>0</v>
      </c>
      <c r="AF20" s="102">
        <v>0</v>
      </c>
    </row>
    <row r="21" spans="1:32" ht="17" thickBot="1" x14ac:dyDescent="0.25">
      <c r="A21" s="4" t="s">
        <v>2</v>
      </c>
      <c r="B21" s="21">
        <f>SUM(B14:B20)</f>
        <v>1</v>
      </c>
      <c r="C21" s="21">
        <f t="shared" ref="C21:Q21" si="10">SUM(C14:C20)</f>
        <v>1</v>
      </c>
      <c r="D21" s="21">
        <f t="shared" si="10"/>
        <v>0.99999999999999989</v>
      </c>
      <c r="E21" s="21">
        <f t="shared" si="10"/>
        <v>1.0000000000000002</v>
      </c>
      <c r="F21" s="21">
        <f t="shared" si="10"/>
        <v>1</v>
      </c>
      <c r="G21" s="21">
        <f t="shared" si="10"/>
        <v>1</v>
      </c>
      <c r="H21" s="21">
        <f t="shared" si="10"/>
        <v>0.99999999999999989</v>
      </c>
      <c r="I21" s="21">
        <f t="shared" si="10"/>
        <v>1</v>
      </c>
      <c r="J21" s="21">
        <f t="shared" si="10"/>
        <v>1</v>
      </c>
      <c r="K21" s="21">
        <f t="shared" si="10"/>
        <v>1</v>
      </c>
      <c r="L21" s="21">
        <f t="shared" si="10"/>
        <v>1</v>
      </c>
      <c r="M21" s="21">
        <f t="shared" si="10"/>
        <v>0.99999999999999989</v>
      </c>
      <c r="N21" s="21">
        <f t="shared" si="10"/>
        <v>0.99999999999999978</v>
      </c>
      <c r="O21" s="21">
        <f t="shared" si="10"/>
        <v>0.99999999999999978</v>
      </c>
      <c r="P21" s="21">
        <f t="shared" si="10"/>
        <v>0.99999999999999989</v>
      </c>
      <c r="Q21" s="21">
        <f t="shared" si="10"/>
        <v>0.99999999999999978</v>
      </c>
      <c r="R21" s="19">
        <f t="shared" ref="R21:AF21" si="11">SUM(R14:R19)</f>
        <v>1</v>
      </c>
      <c r="S21" s="19">
        <f t="shared" si="11"/>
        <v>1</v>
      </c>
      <c r="T21" s="19">
        <f t="shared" si="11"/>
        <v>1</v>
      </c>
      <c r="U21" s="19">
        <f t="shared" si="11"/>
        <v>1</v>
      </c>
      <c r="V21" s="19">
        <f t="shared" si="11"/>
        <v>1</v>
      </c>
      <c r="W21" s="19">
        <f t="shared" si="11"/>
        <v>1</v>
      </c>
      <c r="X21" s="19">
        <f t="shared" si="11"/>
        <v>1</v>
      </c>
      <c r="Y21" s="19">
        <f t="shared" si="11"/>
        <v>1</v>
      </c>
      <c r="Z21" s="19">
        <f t="shared" si="11"/>
        <v>1</v>
      </c>
      <c r="AA21" s="19">
        <f t="shared" si="11"/>
        <v>1</v>
      </c>
      <c r="AB21" s="19">
        <f t="shared" si="11"/>
        <v>1</v>
      </c>
      <c r="AC21" s="19">
        <f t="shared" si="11"/>
        <v>1</v>
      </c>
      <c r="AD21" s="19">
        <f t="shared" si="11"/>
        <v>1</v>
      </c>
      <c r="AE21" s="19">
        <f t="shared" si="11"/>
        <v>1</v>
      </c>
      <c r="AF21" s="20">
        <f t="shared" si="11"/>
        <v>1</v>
      </c>
    </row>
    <row r="22" spans="1:32" ht="17" thickBot="1" x14ac:dyDescent="0.25"/>
    <row r="23" spans="1:32" ht="17" thickBot="1" x14ac:dyDescent="0.25">
      <c r="A23" s="141" t="s">
        <v>4</v>
      </c>
      <c r="B23" s="117">
        <v>11</v>
      </c>
      <c r="C23" s="118">
        <v>12</v>
      </c>
      <c r="D23" s="118">
        <v>13</v>
      </c>
      <c r="E23" s="118">
        <v>14</v>
      </c>
      <c r="F23" s="118">
        <v>15</v>
      </c>
      <c r="G23" s="118">
        <v>16</v>
      </c>
      <c r="H23" s="118">
        <v>17</v>
      </c>
      <c r="I23" s="118">
        <v>18</v>
      </c>
      <c r="J23" s="118">
        <v>19</v>
      </c>
      <c r="K23" s="118">
        <v>20</v>
      </c>
      <c r="L23" s="118">
        <v>21</v>
      </c>
      <c r="M23" s="118">
        <v>22</v>
      </c>
      <c r="N23" s="118">
        <v>23</v>
      </c>
      <c r="O23" s="118">
        <v>24</v>
      </c>
      <c r="P23" s="118">
        <v>25</v>
      </c>
      <c r="Q23" s="118">
        <v>26</v>
      </c>
      <c r="R23" s="118">
        <v>27</v>
      </c>
      <c r="S23" s="118">
        <v>28</v>
      </c>
      <c r="T23" s="118">
        <v>29</v>
      </c>
      <c r="U23" s="118">
        <v>30</v>
      </c>
      <c r="V23" s="118">
        <v>31</v>
      </c>
      <c r="W23" s="105">
        <v>32</v>
      </c>
    </row>
    <row r="24" spans="1:32" x14ac:dyDescent="0.2">
      <c r="A24" s="141" t="s">
        <v>0</v>
      </c>
      <c r="B24" s="109">
        <f t="shared" ref="B24:B30" si="12">L14</f>
        <v>0.2121090766176992</v>
      </c>
      <c r="C24" s="110">
        <f>(SUM(D24:L24)+Rules!$B$5*M24)/(9+Rules!$B$5)</f>
        <v>0.24495802642312861</v>
      </c>
      <c r="D24" s="110">
        <f>(SUM(E24:M24)+Rules!$B$5*N24)/(9+Rules!$B$5)</f>
        <v>0.27249534667872904</v>
      </c>
      <c r="E24" s="110">
        <f>(SUM(F24:N24)+Rules!$B$5*O24)/(9+Rules!$B$5)</f>
        <v>0.29995101900790128</v>
      </c>
      <c r="F24" s="110">
        <f>(SUM(G24:O24)+Rules!$B$5*P24)/(9+Rules!$B$5)</f>
        <v>0.32719621086821865</v>
      </c>
      <c r="G24" s="110">
        <f>(SUM(H24:P24)+Rules!$B$5*Q24)/(9+Rules!$B$5)</f>
        <v>0.35412091093722581</v>
      </c>
      <c r="H24" s="110">
        <f>IF(Rules!$B$4=Rules!$F$4,0,(SUM(I24:Q24)+Rules!$B$5*R24)/(9+Rules!$B$5))</f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f t="shared" ref="M24:V24" si="13">M14</f>
        <v>0.48267271400214923</v>
      </c>
      <c r="N24" s="110">
        <f t="shared" si="13"/>
        <v>0.51962466300199572</v>
      </c>
      <c r="O24" s="110">
        <f t="shared" si="13"/>
        <v>0.55393718707328177</v>
      </c>
      <c r="P24" s="110">
        <f t="shared" si="13"/>
        <v>0.58579881656804733</v>
      </c>
      <c r="Q24" s="110">
        <f t="shared" si="13"/>
        <v>0.61538461538461542</v>
      </c>
      <c r="R24" s="110">
        <f t="shared" si="13"/>
        <v>0</v>
      </c>
      <c r="S24" s="110">
        <f t="shared" si="13"/>
        <v>0</v>
      </c>
      <c r="T24" s="110">
        <f t="shared" si="13"/>
        <v>0</v>
      </c>
      <c r="U24" s="110">
        <f t="shared" si="13"/>
        <v>0</v>
      </c>
      <c r="V24" s="110">
        <f t="shared" si="13"/>
        <v>0</v>
      </c>
      <c r="W24" s="57">
        <f t="shared" ref="W24:W30" si="14">W14</f>
        <v>1</v>
      </c>
    </row>
    <row r="25" spans="1:32" x14ac:dyDescent="0.2">
      <c r="A25" s="140">
        <v>17</v>
      </c>
      <c r="B25" s="28">
        <f t="shared" si="12"/>
        <v>0.11142433852261401</v>
      </c>
      <c r="C25" s="2">
        <f>(SUM(D25:L25)+Rules!$B$5*M25)/(9+Rules!$B$5)</f>
        <v>0.15100839471537425</v>
      </c>
      <c r="D25" s="2">
        <f>(SUM(E25:M25)+Rules!$B$5*N25)/(9+Rules!$B$5)</f>
        <v>0.14550093066425418</v>
      </c>
      <c r="E25" s="2">
        <f>(SUM(F25:N25)+Rules!$B$5*O25)/(9+Rules!$B$5)</f>
        <v>0.14000979619841974</v>
      </c>
      <c r="F25" s="2">
        <f>(SUM(G25:O25)+Rules!$B$5*P25)/(9+Rules!$B$5)</f>
        <v>0.13456075782635629</v>
      </c>
      <c r="G25" s="2">
        <f>(SUM(H25:P25)+Rules!$B$5*Q25)/(9+Rules!$B$5)</f>
        <v>0.12917581781255486</v>
      </c>
      <c r="H25" s="2">
        <f>IF(Rules!$B$4=Rules!$F$4,1,(SUM(I25:Q25)+Rules!$B$5*R25)/(9+Rules!$B$5))</f>
        <v>1</v>
      </c>
      <c r="I25" s="1">
        <v>0</v>
      </c>
      <c r="J25" s="1">
        <v>0</v>
      </c>
      <c r="K25" s="1">
        <v>0</v>
      </c>
      <c r="L25" s="1">
        <v>0</v>
      </c>
      <c r="M25" s="2">
        <f t="shared" ref="M25:V25" si="15">M15</f>
        <v>0.10346545719957015</v>
      </c>
      <c r="N25" s="2">
        <f t="shared" si="15"/>
        <v>9.6075067399600853E-2</v>
      </c>
      <c r="O25" s="2">
        <f t="shared" si="15"/>
        <v>8.9212562585343644E-2</v>
      </c>
      <c r="P25" s="2">
        <f t="shared" si="15"/>
        <v>8.2840236686390525E-2</v>
      </c>
      <c r="Q25" s="2">
        <f t="shared" si="15"/>
        <v>7.6923076923076927E-2</v>
      </c>
      <c r="R25" s="1">
        <f t="shared" si="15"/>
        <v>1</v>
      </c>
      <c r="S25" s="1">
        <f t="shared" si="15"/>
        <v>0</v>
      </c>
      <c r="T25" s="1">
        <f t="shared" si="15"/>
        <v>0</v>
      </c>
      <c r="U25" s="1">
        <f t="shared" si="15"/>
        <v>0</v>
      </c>
      <c r="V25" s="1">
        <f t="shared" si="15"/>
        <v>0</v>
      </c>
      <c r="W25" s="9">
        <f t="shared" si="14"/>
        <v>0</v>
      </c>
    </row>
    <row r="26" spans="1:32" x14ac:dyDescent="0.2">
      <c r="A26" s="140">
        <v>18</v>
      </c>
      <c r="B26" s="28">
        <f t="shared" si="12"/>
        <v>0.11142433852261401</v>
      </c>
      <c r="C26" s="2">
        <f>(SUM(D26:L26)+Rules!$B$5*M26)/(9+Rules!$B$5)</f>
        <v>0.15100839471537425</v>
      </c>
      <c r="D26" s="2">
        <f>(SUM(E26:M26)+Rules!$B$5*N26)/(9+Rules!$B$5)</f>
        <v>0.14550093066425418</v>
      </c>
      <c r="E26" s="2">
        <f>(SUM(F26:N26)+Rules!$B$5*O26)/(9+Rules!$B$5)</f>
        <v>0.14000979619841974</v>
      </c>
      <c r="F26" s="2">
        <f>(SUM(G26:O26)+Rules!$B$5*P26)/(9+Rules!$B$5)</f>
        <v>0.13456075782635629</v>
      </c>
      <c r="G26" s="2">
        <f>(SUM(H26:P26)+Rules!$B$5*Q26)/(9+Rules!$B$5)</f>
        <v>0.12917581781255486</v>
      </c>
      <c r="H26" s="2">
        <f>IF(Rules!$B$4=Rules!$F$4,0,(SUM(I26:Q26)+Rules!$B$5*R26)/(9+Rules!$B$5))</f>
        <v>0</v>
      </c>
      <c r="I26" s="1">
        <v>1</v>
      </c>
      <c r="J26" s="1">
        <v>0</v>
      </c>
      <c r="K26" s="1">
        <v>0</v>
      </c>
      <c r="L26" s="1">
        <v>0</v>
      </c>
      <c r="M26" s="2">
        <f t="shared" ref="M26:V26" si="16">M16</f>
        <v>0.10346545719957015</v>
      </c>
      <c r="N26" s="2">
        <f t="shared" si="16"/>
        <v>9.6075067399600853E-2</v>
      </c>
      <c r="O26" s="2">
        <f t="shared" si="16"/>
        <v>8.9212562585343644E-2</v>
      </c>
      <c r="P26" s="2">
        <f t="shared" si="16"/>
        <v>8.2840236686390525E-2</v>
      </c>
      <c r="Q26" s="2">
        <f t="shared" si="16"/>
        <v>7.6923076923076927E-2</v>
      </c>
      <c r="R26" s="1">
        <f t="shared" si="16"/>
        <v>0</v>
      </c>
      <c r="S26" s="1">
        <f t="shared" si="16"/>
        <v>1</v>
      </c>
      <c r="T26" s="1">
        <f t="shared" si="16"/>
        <v>0</v>
      </c>
      <c r="U26" s="1">
        <f t="shared" si="16"/>
        <v>0</v>
      </c>
      <c r="V26" s="1">
        <f t="shared" si="16"/>
        <v>0</v>
      </c>
      <c r="W26" s="9">
        <f t="shared" si="14"/>
        <v>0</v>
      </c>
    </row>
    <row r="27" spans="1:32" x14ac:dyDescent="0.2">
      <c r="A27" s="140">
        <v>19</v>
      </c>
      <c r="B27" s="28">
        <f t="shared" si="12"/>
        <v>0.11142433852261401</v>
      </c>
      <c r="C27" s="2">
        <f>(SUM(D27:L27)+Rules!$B$5*M27)/(9+Rules!$B$5)</f>
        <v>0.15100839471537425</v>
      </c>
      <c r="D27" s="2">
        <f>(SUM(E27:M27)+Rules!$B$5*N27)/(9+Rules!$B$5)</f>
        <v>0.14550093066425418</v>
      </c>
      <c r="E27" s="2">
        <f>(SUM(F27:N27)+Rules!$B$5*O27)/(9+Rules!$B$5)</f>
        <v>0.14000979619841974</v>
      </c>
      <c r="F27" s="2">
        <f>(SUM(G27:O27)+Rules!$B$5*P27)/(9+Rules!$B$5)</f>
        <v>0.13456075782635629</v>
      </c>
      <c r="G27" s="2">
        <f>(SUM(H27:P27)+Rules!$B$5*Q27)/(9+Rules!$B$5)</f>
        <v>0.12917581781255486</v>
      </c>
      <c r="H27" s="2">
        <f>IF(Rules!$B$4=Rules!$F$4,0,(SUM(I27:Q27)+Rules!$B$5*R27)/(9+Rules!$B$5))</f>
        <v>0</v>
      </c>
      <c r="I27" s="1">
        <v>0</v>
      </c>
      <c r="J27" s="1">
        <v>1</v>
      </c>
      <c r="K27" s="1">
        <v>0</v>
      </c>
      <c r="L27" s="1">
        <v>0</v>
      </c>
      <c r="M27" s="2">
        <f t="shared" ref="M27:V27" si="17">M17</f>
        <v>0.10346545719957015</v>
      </c>
      <c r="N27" s="2">
        <f t="shared" si="17"/>
        <v>9.6075067399600853E-2</v>
      </c>
      <c r="O27" s="2">
        <f t="shared" si="17"/>
        <v>8.9212562585343644E-2</v>
      </c>
      <c r="P27" s="2">
        <f t="shared" si="17"/>
        <v>8.2840236686390525E-2</v>
      </c>
      <c r="Q27" s="2">
        <f t="shared" si="17"/>
        <v>7.6923076923076927E-2</v>
      </c>
      <c r="R27" s="1">
        <f t="shared" si="17"/>
        <v>0</v>
      </c>
      <c r="S27" s="1">
        <f t="shared" si="17"/>
        <v>0</v>
      </c>
      <c r="T27" s="1">
        <f t="shared" si="17"/>
        <v>1</v>
      </c>
      <c r="U27" s="1">
        <f t="shared" si="17"/>
        <v>0</v>
      </c>
      <c r="V27" s="1">
        <f t="shared" si="17"/>
        <v>0</v>
      </c>
      <c r="W27" s="9">
        <f t="shared" si="14"/>
        <v>0</v>
      </c>
    </row>
    <row r="28" spans="1:32" x14ac:dyDescent="0.2">
      <c r="A28" s="140">
        <v>20</v>
      </c>
      <c r="B28" s="28">
        <f t="shared" si="12"/>
        <v>0.11142433852261401</v>
      </c>
      <c r="C28" s="2">
        <f>(SUM(D28:L28)+Rules!$B$5*M28)/(9+Rules!$B$5)</f>
        <v>0.15100839471537425</v>
      </c>
      <c r="D28" s="2">
        <f>(SUM(E28:M28)+Rules!$B$5*N28)/(9+Rules!$B$5)</f>
        <v>0.14550093066425418</v>
      </c>
      <c r="E28" s="2">
        <f>(SUM(F28:N28)+Rules!$B$5*O28)/(9+Rules!$B$5)</f>
        <v>0.14000979619841974</v>
      </c>
      <c r="F28" s="2">
        <f>(SUM(G28:O28)+Rules!$B$5*P28)/(9+Rules!$B$5)</f>
        <v>0.13456075782635629</v>
      </c>
      <c r="G28" s="2">
        <f>(SUM(H28:P28)+Rules!$B$5*Q28)/(9+Rules!$B$5)</f>
        <v>0.12917581781255486</v>
      </c>
      <c r="H28" s="2">
        <f>IF(Rules!$B$4=Rules!$F$4,0,(SUM(I28:Q28)+Rules!$B$5*R28)/(9+Rules!$B$5))</f>
        <v>0</v>
      </c>
      <c r="I28" s="1">
        <v>0</v>
      </c>
      <c r="J28" s="1">
        <v>0</v>
      </c>
      <c r="K28" s="1">
        <v>1</v>
      </c>
      <c r="L28" s="1">
        <v>0</v>
      </c>
      <c r="M28" s="2">
        <f t="shared" ref="M28:V28" si="18">M18</f>
        <v>0.10346545719957015</v>
      </c>
      <c r="N28" s="2">
        <f t="shared" si="18"/>
        <v>9.6075067399600853E-2</v>
      </c>
      <c r="O28" s="2">
        <f t="shared" si="18"/>
        <v>8.9212562585343644E-2</v>
      </c>
      <c r="P28" s="2">
        <f t="shared" si="18"/>
        <v>8.2840236686390525E-2</v>
      </c>
      <c r="Q28" s="2">
        <f t="shared" si="18"/>
        <v>7.6923076923076927E-2</v>
      </c>
      <c r="R28" s="1">
        <f t="shared" si="18"/>
        <v>0</v>
      </c>
      <c r="S28" s="1">
        <f t="shared" si="18"/>
        <v>0</v>
      </c>
      <c r="T28" s="1">
        <f t="shared" si="18"/>
        <v>0</v>
      </c>
      <c r="U28" s="1">
        <f t="shared" si="18"/>
        <v>1</v>
      </c>
      <c r="V28" s="1">
        <f t="shared" si="18"/>
        <v>0</v>
      </c>
      <c r="W28" s="9">
        <f t="shared" si="14"/>
        <v>0</v>
      </c>
    </row>
    <row r="29" spans="1:32" x14ac:dyDescent="0.2">
      <c r="A29" s="140">
        <v>21</v>
      </c>
      <c r="B29" s="28">
        <f t="shared" si="12"/>
        <v>0.34219356929184475</v>
      </c>
      <c r="C29" s="2">
        <f>(SUM(D29:L29)+Rules!$B$5*M29)/(9+Rules!$B$5)</f>
        <v>0.15100839471537425</v>
      </c>
      <c r="D29" s="2">
        <f>(SUM(E29:M29)+Rules!$B$5*N29)/(9+Rules!$B$5)</f>
        <v>0.14550093066425418</v>
      </c>
      <c r="E29" s="2">
        <f>(SUM(F29:N29)+Rules!$B$5*O29)/(9+Rules!$B$5)</f>
        <v>0.14000979619841974</v>
      </c>
      <c r="F29" s="2">
        <f>(SUM(G29:O29)+Rules!$B$5*P29)/(9+Rules!$B$5)</f>
        <v>0.13456075782635629</v>
      </c>
      <c r="G29" s="2">
        <f>(SUM(H29:P29)+Rules!$B$5*Q29)/(9+Rules!$B$5)</f>
        <v>0.12917581781255486</v>
      </c>
      <c r="H29" s="2">
        <f>IF(Rules!$B$4=Rules!$F$4,0,(SUM(I29:Q29)+Rules!$B$5*R29)/(9+Rules!$B$5))</f>
        <v>0</v>
      </c>
      <c r="I29" s="26">
        <v>0</v>
      </c>
      <c r="J29" s="26">
        <v>0</v>
      </c>
      <c r="K29" s="26">
        <v>0</v>
      </c>
      <c r="L29" s="26">
        <v>1</v>
      </c>
      <c r="M29" s="2">
        <f t="shared" ref="M29:Q30" si="19">M19</f>
        <v>0.10346545719957015</v>
      </c>
      <c r="N29" s="2">
        <f t="shared" si="19"/>
        <v>9.6075067399600853E-2</v>
      </c>
      <c r="O29" s="2">
        <f t="shared" si="19"/>
        <v>8.9212562585343644E-2</v>
      </c>
      <c r="P29" s="2">
        <f t="shared" si="19"/>
        <v>8.2840236686390525E-2</v>
      </c>
      <c r="Q29" s="2">
        <f t="shared" si="19"/>
        <v>7.6923076923076927E-2</v>
      </c>
      <c r="R29" s="26">
        <f t="shared" ref="R29:V30" si="20">R19</f>
        <v>0</v>
      </c>
      <c r="S29" s="26">
        <f t="shared" si="20"/>
        <v>0</v>
      </c>
      <c r="T29" s="26">
        <f t="shared" si="20"/>
        <v>0</v>
      </c>
      <c r="U29" s="1">
        <f t="shared" si="20"/>
        <v>0</v>
      </c>
      <c r="V29" s="1">
        <f t="shared" si="20"/>
        <v>1</v>
      </c>
      <c r="W29" s="9">
        <f t="shared" si="14"/>
        <v>0</v>
      </c>
    </row>
    <row r="30" spans="1:32" ht="17" thickBot="1" x14ac:dyDescent="0.25">
      <c r="A30" s="142">
        <v>22</v>
      </c>
      <c r="B30" s="107">
        <f t="shared" si="12"/>
        <v>0</v>
      </c>
      <c r="C30" s="108">
        <f>(SUM(D30:L30)+Rules!$B$5*M30)/(9+Rules!$B$5)</f>
        <v>0</v>
      </c>
      <c r="D30" s="108">
        <f>(SUM(E30:M30)+Rules!$B$5*N30)/(9+Rules!$B$5)</f>
        <v>0</v>
      </c>
      <c r="E30" s="108">
        <f>(SUM(F30:N30)+Rules!$B$5*O30)/(9+Rules!$B$5)</f>
        <v>0</v>
      </c>
      <c r="F30" s="108">
        <f>(SUM(G30:O30)+Rules!$B$5*P30)/(9+Rules!$B$5)</f>
        <v>0</v>
      </c>
      <c r="G30" s="108">
        <f>(SUM(H30:P30)+Rules!$B$5*Q30)/(9+Rules!$B$5)</f>
        <v>0</v>
      </c>
      <c r="H30" s="108">
        <f>IF(Rules!$B$4=Rules!$F$4,0,(SUM(I30:Q30)+Rules!$B$5*R30)/(9+Rules!$B$5))</f>
        <v>0</v>
      </c>
      <c r="I30" s="111">
        <v>0</v>
      </c>
      <c r="J30" s="111">
        <v>0</v>
      </c>
      <c r="K30" s="111">
        <v>0</v>
      </c>
      <c r="L30" s="111">
        <v>0</v>
      </c>
      <c r="M30" s="108">
        <f t="shared" si="19"/>
        <v>0</v>
      </c>
      <c r="N30" s="108">
        <f t="shared" si="19"/>
        <v>0</v>
      </c>
      <c r="O30" s="108">
        <f t="shared" si="19"/>
        <v>0</v>
      </c>
      <c r="P30" s="108">
        <f t="shared" si="19"/>
        <v>0</v>
      </c>
      <c r="Q30" s="108">
        <f t="shared" si="19"/>
        <v>0</v>
      </c>
      <c r="R30" s="111">
        <f t="shared" si="20"/>
        <v>0</v>
      </c>
      <c r="S30" s="111">
        <f t="shared" si="20"/>
        <v>0</v>
      </c>
      <c r="T30" s="111">
        <f t="shared" si="20"/>
        <v>0</v>
      </c>
      <c r="U30" s="111">
        <f t="shared" si="20"/>
        <v>0</v>
      </c>
      <c r="V30" s="111">
        <f t="shared" si="20"/>
        <v>0</v>
      </c>
      <c r="W30" s="10">
        <f t="shared" si="14"/>
        <v>0</v>
      </c>
    </row>
    <row r="31" spans="1:32" ht="17" thickBot="1" x14ac:dyDescent="0.25">
      <c r="A31" s="104"/>
      <c r="B31" s="143">
        <f t="shared" ref="B31:W31" si="21">SUM(B24:B30)</f>
        <v>1</v>
      </c>
      <c r="C31" s="108">
        <f t="shared" si="21"/>
        <v>0.99999999999999978</v>
      </c>
      <c r="D31" s="108">
        <f t="shared" si="21"/>
        <v>0.99999999999999989</v>
      </c>
      <c r="E31" s="108">
        <f t="shared" si="21"/>
        <v>0.99999999999999978</v>
      </c>
      <c r="F31" s="108">
        <f t="shared" si="21"/>
        <v>1.0000000000000002</v>
      </c>
      <c r="G31" s="108">
        <f t="shared" si="21"/>
        <v>1</v>
      </c>
      <c r="H31" s="108">
        <f t="shared" si="21"/>
        <v>1</v>
      </c>
      <c r="I31" s="108">
        <f t="shared" si="21"/>
        <v>1</v>
      </c>
      <c r="J31" s="108">
        <f t="shared" si="21"/>
        <v>1</v>
      </c>
      <c r="K31" s="108">
        <f t="shared" si="21"/>
        <v>1</v>
      </c>
      <c r="L31" s="108">
        <f t="shared" si="21"/>
        <v>1</v>
      </c>
      <c r="M31" s="108">
        <f t="shared" si="21"/>
        <v>0.99999999999999989</v>
      </c>
      <c r="N31" s="108">
        <f t="shared" si="21"/>
        <v>0.99999999999999978</v>
      </c>
      <c r="O31" s="108">
        <f t="shared" si="21"/>
        <v>0.99999999999999978</v>
      </c>
      <c r="P31" s="108">
        <f t="shared" si="21"/>
        <v>0.99999999999999989</v>
      </c>
      <c r="Q31" s="108">
        <f t="shared" si="21"/>
        <v>0.99999999999999978</v>
      </c>
      <c r="R31" s="108">
        <f t="shared" si="21"/>
        <v>1</v>
      </c>
      <c r="S31" s="108">
        <f t="shared" si="21"/>
        <v>1</v>
      </c>
      <c r="T31" s="108">
        <f t="shared" si="21"/>
        <v>1</v>
      </c>
      <c r="U31" s="108">
        <f t="shared" si="21"/>
        <v>1</v>
      </c>
      <c r="V31" s="108">
        <f t="shared" si="21"/>
        <v>1</v>
      </c>
      <c r="W31" s="108">
        <f t="shared" si="21"/>
        <v>1</v>
      </c>
    </row>
    <row r="32" spans="1:32" ht="17" thickBot="1" x14ac:dyDescent="0.25"/>
    <row r="33" spans="2:15" ht="17" thickBot="1" x14ac:dyDescent="0.25">
      <c r="B33" s="4" t="s">
        <v>5</v>
      </c>
      <c r="C33" s="15" t="s">
        <v>0</v>
      </c>
      <c r="D33" s="11" t="s">
        <v>6</v>
      </c>
      <c r="E33" s="3"/>
      <c r="F33" s="30" t="s">
        <v>8</v>
      </c>
      <c r="I33" s="1" t="s">
        <v>30</v>
      </c>
      <c r="J33" s="1">
        <f>2*(1/(9+Rules!$B$5))*(Rules!$B$5/(9+Rules!$B$5))</f>
        <v>4.7337278106508882E-2</v>
      </c>
      <c r="L33" s="60" t="s">
        <v>33</v>
      </c>
      <c r="M33" s="63" t="s">
        <v>0</v>
      </c>
      <c r="N33" s="62" t="s">
        <v>6</v>
      </c>
      <c r="O33" s="61"/>
    </row>
    <row r="34" spans="2:15" ht="17" thickBot="1" x14ac:dyDescent="0.25">
      <c r="B34" s="5" t="s">
        <v>1</v>
      </c>
      <c r="C34" s="16">
        <f>B14</f>
        <v>0.2121090766176992</v>
      </c>
      <c r="D34" s="12">
        <f>SUM(B15:B19)</f>
        <v>0.78789092338230082</v>
      </c>
      <c r="E34" s="8">
        <f>SUM(C34:D34)</f>
        <v>1</v>
      </c>
      <c r="F34" s="30">
        <f>1/(9+Rules!$B$5)</f>
        <v>7.6923076923076927E-2</v>
      </c>
      <c r="G34" s="30">
        <f>(C34-D34)*F34</f>
        <v>-4.4290911289584747E-2</v>
      </c>
      <c r="L34" s="54">
        <v>5</v>
      </c>
      <c r="M34" s="55">
        <f>F14</f>
        <v>0.41640366958226238</v>
      </c>
      <c r="N34" s="56">
        <f>1-M34</f>
        <v>0.58359633041773762</v>
      </c>
      <c r="O34" s="57">
        <f t="shared" ref="O34:O45" si="22">SUM(M34:N34)</f>
        <v>1</v>
      </c>
    </row>
    <row r="35" spans="2:15" ht="17" thickBot="1" x14ac:dyDescent="0.25">
      <c r="B35" s="6">
        <v>2</v>
      </c>
      <c r="C35" s="17">
        <f>C14</f>
        <v>0.35360813639536137</v>
      </c>
      <c r="D35" s="13">
        <f>SUM(C15:C19)</f>
        <v>0.64639186360463863</v>
      </c>
      <c r="E35" s="9">
        <f t="shared" ref="E35:E43" si="23">SUM(C35:D35)</f>
        <v>1</v>
      </c>
      <c r="F35" s="30">
        <f>1/(9+Rules!$B$5)</f>
        <v>7.6923076923076927E-2</v>
      </c>
      <c r="G35" s="30">
        <f t="shared" ref="G35:G43" si="24">(C35-D35)*F35</f>
        <v>-2.2521825169944405E-2</v>
      </c>
      <c r="L35" s="58">
        <v>6</v>
      </c>
      <c r="M35" s="53">
        <f>G14</f>
        <v>0.42315049208499772</v>
      </c>
      <c r="N35" s="56">
        <f t="shared" ref="N35:N45" si="25">1-M35</f>
        <v>0.57684950791500222</v>
      </c>
      <c r="O35" s="9">
        <f t="shared" si="22"/>
        <v>1</v>
      </c>
    </row>
    <row r="36" spans="2:15" ht="17" thickBot="1" x14ac:dyDescent="0.25">
      <c r="B36" s="6">
        <v>3</v>
      </c>
      <c r="C36" s="17">
        <f>D14</f>
        <v>0.3738748853821432</v>
      </c>
      <c r="D36" s="13">
        <f>SUM(D15:D19)</f>
        <v>0.62612511461785669</v>
      </c>
      <c r="E36" s="9">
        <f t="shared" si="23"/>
        <v>0.99999999999999989</v>
      </c>
      <c r="F36" s="30">
        <f>1/(9+Rules!$B$5)</f>
        <v>7.6923076923076927E-2</v>
      </c>
      <c r="G36" s="30">
        <f t="shared" si="24"/>
        <v>-1.9403863787362578E-2</v>
      </c>
      <c r="L36" s="58">
        <v>7</v>
      </c>
      <c r="M36" s="53">
        <f>H14</f>
        <v>0.2623124083615333</v>
      </c>
      <c r="N36" s="56">
        <f t="shared" si="25"/>
        <v>0.73768759163846664</v>
      </c>
      <c r="O36" s="9">
        <f t="shared" si="22"/>
        <v>1</v>
      </c>
    </row>
    <row r="37" spans="2:15" ht="17" thickBot="1" x14ac:dyDescent="0.25">
      <c r="B37" s="6">
        <v>4</v>
      </c>
      <c r="C37" s="17">
        <f>E14</f>
        <v>0.39446844550254284</v>
      </c>
      <c r="D37" s="13">
        <f>SUM(E15:E19)</f>
        <v>0.60553155449745721</v>
      </c>
      <c r="E37" s="9">
        <f t="shared" si="23"/>
        <v>1</v>
      </c>
      <c r="F37" s="30">
        <f>1/(9+Rules!$B$5)</f>
        <v>7.6923076923076927E-2</v>
      </c>
      <c r="G37" s="30">
        <f t="shared" si="24"/>
        <v>-1.623562376883957E-2</v>
      </c>
      <c r="L37" s="58">
        <v>8</v>
      </c>
      <c r="M37" s="53">
        <f>I14</f>
        <v>0.2447412422511914</v>
      </c>
      <c r="N37" s="56">
        <f t="shared" si="25"/>
        <v>0.75525875774880857</v>
      </c>
      <c r="O37" s="9">
        <f t="shared" si="22"/>
        <v>1</v>
      </c>
    </row>
    <row r="38" spans="2:15" ht="17" thickBot="1" x14ac:dyDescent="0.25">
      <c r="B38" s="6">
        <v>5</v>
      </c>
      <c r="C38" s="17">
        <f>F14</f>
        <v>0.41640366958226238</v>
      </c>
      <c r="D38" s="13">
        <f>SUM(F15:F19)</f>
        <v>0.58359633041773762</v>
      </c>
      <c r="E38" s="9">
        <f t="shared" si="23"/>
        <v>1</v>
      </c>
      <c r="F38" s="30">
        <f>1/(9+Rules!$B$5)</f>
        <v>7.6923076923076927E-2</v>
      </c>
      <c r="G38" s="30">
        <f t="shared" si="24"/>
        <v>-1.2860973910421172E-2</v>
      </c>
      <c r="L38" s="58">
        <v>9</v>
      </c>
      <c r="M38" s="53">
        <f>J14</f>
        <v>0.2284251594344453</v>
      </c>
      <c r="N38" s="56">
        <f t="shared" si="25"/>
        <v>0.7715748405655547</v>
      </c>
      <c r="O38" s="9">
        <f t="shared" si="22"/>
        <v>1</v>
      </c>
    </row>
    <row r="39" spans="2:15" ht="17" thickBot="1" x14ac:dyDescent="0.25">
      <c r="B39" s="6">
        <v>6</v>
      </c>
      <c r="C39" s="17">
        <f>G14</f>
        <v>0.42315049208499772</v>
      </c>
      <c r="D39" s="13">
        <f>SUM(G15:G19)</f>
        <v>0.57684950791500222</v>
      </c>
      <c r="E39" s="9">
        <f t="shared" si="23"/>
        <v>1</v>
      </c>
      <c r="F39" s="30">
        <f>1/(9+Rules!$B$5)</f>
        <v>7.6923076923076927E-2</v>
      </c>
      <c r="G39" s="30">
        <f t="shared" si="24"/>
        <v>-1.1823001217692655E-2</v>
      </c>
      <c r="L39" s="58">
        <v>10</v>
      </c>
      <c r="M39" s="53">
        <f>K14</f>
        <v>0.2121090766176992</v>
      </c>
      <c r="N39" s="56">
        <f t="shared" si="25"/>
        <v>0.78789092338230082</v>
      </c>
      <c r="O39" s="9">
        <f t="shared" si="22"/>
        <v>1</v>
      </c>
    </row>
    <row r="40" spans="2:15" ht="17" thickBot="1" x14ac:dyDescent="0.25">
      <c r="B40" s="6">
        <v>7</v>
      </c>
      <c r="C40" s="17">
        <f>H14</f>
        <v>0.2623124083615333</v>
      </c>
      <c r="D40" s="13">
        <f>SUM(H15:H19)</f>
        <v>0.73768759163846653</v>
      </c>
      <c r="E40" s="9">
        <f t="shared" si="23"/>
        <v>0.99999999999999978</v>
      </c>
      <c r="F40" s="30">
        <f>1/(9+Rules!$B$5)</f>
        <v>7.6923076923076927E-2</v>
      </c>
      <c r="G40" s="30">
        <f t="shared" si="24"/>
        <v>-3.6567321790533326E-2</v>
      </c>
      <c r="L40" s="58">
        <v>11</v>
      </c>
      <c r="M40" s="53">
        <f>L14</f>
        <v>0.2121090766176992</v>
      </c>
      <c r="N40" s="56">
        <f t="shared" si="25"/>
        <v>0.78789092338230082</v>
      </c>
      <c r="O40" s="9">
        <f t="shared" si="22"/>
        <v>1</v>
      </c>
    </row>
    <row r="41" spans="2:15" ht="17" thickBot="1" x14ac:dyDescent="0.25">
      <c r="B41" s="6">
        <v>8</v>
      </c>
      <c r="C41" s="17">
        <f>I14</f>
        <v>0.2447412422511914</v>
      </c>
      <c r="D41" s="13">
        <f>SUM(I15:I19)</f>
        <v>0.75525875774880857</v>
      </c>
      <c r="E41" s="9">
        <f t="shared" si="23"/>
        <v>1</v>
      </c>
      <c r="F41" s="30">
        <f>1/(9+Rules!$B$5)</f>
        <v>7.6923076923076927E-2</v>
      </c>
      <c r="G41" s="30">
        <f t="shared" si="24"/>
        <v>-3.9270578115201321E-2</v>
      </c>
      <c r="L41" s="58">
        <v>12</v>
      </c>
      <c r="M41" s="53">
        <f>M14</f>
        <v>0.48267271400214923</v>
      </c>
      <c r="N41" s="56">
        <f t="shared" si="25"/>
        <v>0.51732728599785083</v>
      </c>
      <c r="O41" s="9">
        <f t="shared" si="22"/>
        <v>1</v>
      </c>
    </row>
    <row r="42" spans="2:15" ht="17" thickBot="1" x14ac:dyDescent="0.25">
      <c r="B42" s="6">
        <v>9</v>
      </c>
      <c r="C42" s="17">
        <f>J14</f>
        <v>0.2284251594344453</v>
      </c>
      <c r="D42" s="13">
        <f>SUM(J15:J19)</f>
        <v>0.7715748405655547</v>
      </c>
      <c r="E42" s="9">
        <f t="shared" si="23"/>
        <v>1</v>
      </c>
      <c r="F42" s="30">
        <f>1/(9+Rules!$B$5)</f>
        <v>7.6923076923076927E-2</v>
      </c>
      <c r="G42" s="30">
        <f t="shared" si="24"/>
        <v>-4.1780744702393034E-2</v>
      </c>
      <c r="L42" s="58">
        <v>13</v>
      </c>
      <c r="M42" s="53">
        <f>N14</f>
        <v>0.51962466300199572</v>
      </c>
      <c r="N42" s="56">
        <f t="shared" si="25"/>
        <v>0.48037533699800428</v>
      </c>
      <c r="O42" s="9">
        <f t="shared" si="22"/>
        <v>1</v>
      </c>
    </row>
    <row r="43" spans="2:15" ht="17" thickBot="1" x14ac:dyDescent="0.25">
      <c r="B43" s="7">
        <v>10</v>
      </c>
      <c r="C43" s="18">
        <f>K14</f>
        <v>0.2121090766176992</v>
      </c>
      <c r="D43" s="14">
        <f>SUM(K15:K19)</f>
        <v>0.78789092338230071</v>
      </c>
      <c r="E43" s="10">
        <f t="shared" si="23"/>
        <v>0.99999999999999989</v>
      </c>
      <c r="F43" s="30">
        <f>4/(9+Rules!$B$5)</f>
        <v>0.30769230769230771</v>
      </c>
      <c r="G43" s="30">
        <f t="shared" si="24"/>
        <v>-0.17716364515833893</v>
      </c>
      <c r="L43" s="58">
        <v>14</v>
      </c>
      <c r="M43" s="53">
        <f>O14</f>
        <v>0.55393718707328177</v>
      </c>
      <c r="N43" s="56">
        <f t="shared" si="25"/>
        <v>0.44606281292671823</v>
      </c>
      <c r="O43" s="9">
        <f t="shared" si="22"/>
        <v>1</v>
      </c>
    </row>
    <row r="44" spans="2:15" ht="17" thickBot="1" x14ac:dyDescent="0.25">
      <c r="C44" s="66">
        <f>SUM(C34:C43)/SUM($C$34:$D$43)</f>
        <v>0.31212025922298758</v>
      </c>
      <c r="D44" s="66">
        <f>SUM(D34:D43)/SUM($C$34:$D$43)</f>
        <v>0.68787974077701231</v>
      </c>
      <c r="F44">
        <f>SUM(F34:F43)</f>
        <v>1</v>
      </c>
      <c r="L44" s="58">
        <v>15</v>
      </c>
      <c r="M44" s="53">
        <f>P14</f>
        <v>0.58579881656804733</v>
      </c>
      <c r="N44" s="56">
        <f t="shared" si="25"/>
        <v>0.41420118343195267</v>
      </c>
      <c r="O44" s="9">
        <f t="shared" si="22"/>
        <v>1</v>
      </c>
    </row>
    <row r="45" spans="2:15" ht="17" thickBot="1" x14ac:dyDescent="0.25">
      <c r="L45" s="59">
        <v>16</v>
      </c>
      <c r="M45" s="64">
        <f>Q14</f>
        <v>0.61538461538461542</v>
      </c>
      <c r="N45" s="65">
        <f t="shared" si="25"/>
        <v>0.38461538461538458</v>
      </c>
      <c r="O45" s="10">
        <f t="shared" si="22"/>
        <v>1</v>
      </c>
    </row>
    <row r="46" spans="2:15" x14ac:dyDescent="0.2">
      <c r="M46" s="66">
        <f>SUM(M34:M45)/SUM($M$34:$N$45)</f>
        <v>0.39638909341499318</v>
      </c>
      <c r="N46" s="66">
        <f>SUM(N34:N45)/SUM($M$34:$N$45)</f>
        <v>0.60361090658500682</v>
      </c>
    </row>
  </sheetData>
  <sheetProtection sheet="1" objects="1" scenarios="1"/>
  <mergeCells count="2">
    <mergeCell ref="A1:L1"/>
    <mergeCell ref="A12:L12"/>
  </mergeCells>
  <phoneticPr fontId="16" type="noConversion"/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W54"/>
  <sheetViews>
    <sheetView topLeftCell="A2" workbookViewId="0">
      <selection activeCell="S7" sqref="S7:T16"/>
    </sheetView>
  </sheetViews>
  <sheetFormatPr baseColWidth="10" defaultColWidth="8.6640625" defaultRowHeight="16" x14ac:dyDescent="0.2"/>
  <cols>
    <col min="14" max="14" width="5.6640625" bestFit="1" customWidth="1"/>
    <col min="19" max="19" width="9.1640625" customWidth="1"/>
  </cols>
  <sheetData>
    <row r="1" spans="1:23" x14ac:dyDescent="0.2">
      <c r="C1" t="s">
        <v>95</v>
      </c>
      <c r="D1">
        <f>C2+E2</f>
        <v>0.99999999999999989</v>
      </c>
    </row>
    <row r="2" spans="1:23" x14ac:dyDescent="0.2">
      <c r="A2" t="s">
        <v>40</v>
      </c>
      <c r="B2" s="149" t="s">
        <v>125</v>
      </c>
      <c r="C2" s="155">
        <f>Analysis!B9</f>
        <v>0.55159898998453116</v>
      </c>
      <c r="D2" s="149" t="s">
        <v>126</v>
      </c>
      <c r="E2" s="155">
        <f>Analysis!E9</f>
        <v>0.44840101001546873</v>
      </c>
      <c r="F2" s="149" t="s">
        <v>47</v>
      </c>
      <c r="G2" s="155">
        <f>Analysis!S9</f>
        <v>1.1507676941182765</v>
      </c>
      <c r="H2" t="s">
        <v>155</v>
      </c>
      <c r="I2" s="169">
        <f>Analysis!T9</f>
        <v>-1.2181319089320113</v>
      </c>
      <c r="J2" t="s">
        <v>48</v>
      </c>
      <c r="K2" s="169">
        <f>C2*G2+E2*I2</f>
        <v>8.8550719485284368E-2</v>
      </c>
      <c r="L2" t="s">
        <v>47</v>
      </c>
      <c r="M2" s="176">
        <v>1</v>
      </c>
      <c r="N2" t="s">
        <v>155</v>
      </c>
      <c r="O2" s="176">
        <v>2</v>
      </c>
    </row>
    <row r="4" spans="1:23" x14ac:dyDescent="0.2">
      <c r="A4" t="s">
        <v>123</v>
      </c>
      <c r="B4">
        <f>$C$2</f>
        <v>0.55159898998453116</v>
      </c>
      <c r="C4" t="s">
        <v>124</v>
      </c>
      <c r="D4">
        <f>$E$2</f>
        <v>0.44840101001546873</v>
      </c>
      <c r="E4" t="s">
        <v>47</v>
      </c>
      <c r="F4">
        <f>G2</f>
        <v>1.1507676941182765</v>
      </c>
      <c r="G4" t="s">
        <v>155</v>
      </c>
      <c r="H4">
        <f>I2</f>
        <v>-1.2181319089320113</v>
      </c>
      <c r="I4" t="s">
        <v>48</v>
      </c>
      <c r="J4">
        <f>K2</f>
        <v>8.8550719485284368E-2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182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0.55159898998453116</v>
      </c>
      <c r="C7" s="95">
        <v>1</v>
      </c>
      <c r="D7" s="109">
        <f>C7*D4</f>
        <v>0.44840101001546873</v>
      </c>
      <c r="E7" s="110"/>
      <c r="F7" s="110"/>
      <c r="G7" s="110"/>
      <c r="H7" s="110"/>
      <c r="I7" s="110"/>
      <c r="J7" s="110"/>
      <c r="K7" s="110"/>
      <c r="L7" s="110"/>
      <c r="M7" s="258"/>
      <c r="N7" s="95">
        <f>B7+D7</f>
        <v>0.99999999999999989</v>
      </c>
      <c r="R7" s="296">
        <f>B7-D7</f>
        <v>0.10319797996906244</v>
      </c>
      <c r="S7" s="297">
        <f>SUM(C7)*B4*F4*POWER(O2,A7-1)</f>
        <v>0.63476229778246918</v>
      </c>
      <c r="T7" s="276">
        <f>SUM(C7)*D4*H4*POWER(O2,A7-1)</f>
        <v>-0.54621157829718481</v>
      </c>
      <c r="U7" s="294">
        <f>S7+T7</f>
        <v>8.8550719485284368E-2</v>
      </c>
      <c r="V7" s="109">
        <f>(U7+W7*D7)/B7</f>
        <v>0.97344581707049749</v>
      </c>
      <c r="W7" s="57">
        <f>COUNT(D7:M7)</f>
        <v>1</v>
      </c>
    </row>
    <row r="8" spans="1:23" x14ac:dyDescent="0.2">
      <c r="A8" s="99">
        <v>2</v>
      </c>
      <c r="B8" s="97">
        <f>C8*B4</f>
        <v>0.73286369707668519</v>
      </c>
      <c r="C8" s="97">
        <f>1/(1-B4*D4)</f>
        <v>1.3286168219728562</v>
      </c>
      <c r="D8" s="93">
        <f>C8*D4</f>
        <v>0.59575312489617094</v>
      </c>
      <c r="E8" s="1">
        <f>D8*D4</f>
        <v>0.26713630292331475</v>
      </c>
      <c r="F8" s="1"/>
      <c r="G8" s="1"/>
      <c r="H8" s="1"/>
      <c r="I8" s="1"/>
      <c r="J8" s="1"/>
      <c r="K8" s="1"/>
      <c r="L8" s="1"/>
      <c r="M8" s="257"/>
      <c r="N8" s="97">
        <f>B8+E8</f>
        <v>1</v>
      </c>
      <c r="R8" s="298">
        <f>B8-E8</f>
        <v>0.46572739415337044</v>
      </c>
      <c r="S8" s="299">
        <f>SUM(C8:D8)*B4*F4*POWER(O2,A8-1)</f>
        <v>2.443034978516224</v>
      </c>
      <c r="T8" s="277">
        <f>SUM(C8:D8)*D4*H4*POWER(O2,A8-1)</f>
        <v>-2.1022262918140018</v>
      </c>
      <c r="U8" s="295">
        <f>S8+T8+U7</f>
        <v>0.42935940618750656</v>
      </c>
      <c r="V8" s="93">
        <f>(U8+W8*E8)/B8</f>
        <v>1.31488572278578</v>
      </c>
      <c r="W8" s="9">
        <f>COUNT(D8:M8)</f>
        <v>2</v>
      </c>
    </row>
    <row r="9" spans="1:23" x14ac:dyDescent="0.2">
      <c r="A9" s="99">
        <v>3</v>
      </c>
      <c r="B9" s="97">
        <f>C9*B4</f>
        <v>0.82158595573604043</v>
      </c>
      <c r="C9" s="97">
        <f>1/(1-D4*B4/(1-D4*B4))</f>
        <v>1.4894624005005532</v>
      </c>
      <c r="D9" s="93">
        <f>C9*D4*C8</f>
        <v>0.88735187951355676</v>
      </c>
      <c r="E9" s="1">
        <f>D9*(D4)</f>
        <v>0.39788947901300337</v>
      </c>
      <c r="F9" s="1">
        <f>E9*D4</f>
        <v>0.17841404426395935</v>
      </c>
      <c r="G9" s="1"/>
      <c r="H9" s="1"/>
      <c r="I9" s="1"/>
      <c r="J9" s="1"/>
      <c r="K9" s="1"/>
      <c r="L9" s="1"/>
      <c r="M9" s="257"/>
      <c r="N9" s="97">
        <f>B9+F9</f>
        <v>0.99999999999999978</v>
      </c>
      <c r="R9" s="298">
        <f>B9-F9</f>
        <v>0.64317191147208108</v>
      </c>
      <c r="S9" s="299">
        <f>SUM(C9:E9)*B4*F4*POWER(O2,A9-1)</f>
        <v>7.0451093349828211</v>
      </c>
      <c r="T9" s="277">
        <f>SUM(C9:E9)*D4*H4*POWER(O2,A9-1)</f>
        <v>-6.0623012781013248</v>
      </c>
      <c r="U9" s="295">
        <f t="shared" ref="U9:U16" si="0">S9+T9+U8</f>
        <v>1.4121674630690029</v>
      </c>
      <c r="V9" s="93">
        <f>(U9+W9*F9)/B9</f>
        <v>2.3703053615567717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0.87333591806722555</v>
      </c>
      <c r="C10" s="97">
        <f>1/(1-D4*B4/(1-D4*B4/(1-D4*B4)))</f>
        <v>1.5832804880438904</v>
      </c>
      <c r="D10" s="93">
        <f>C10*D4*C9</f>
        <v>1.0574357434197761</v>
      </c>
      <c r="E10" s="1">
        <f>D10*D4*C8</f>
        <v>0.62997064851923723</v>
      </c>
      <c r="F10" s="1">
        <f>E10*D4</f>
        <v>0.28247947507612581</v>
      </c>
      <c r="G10" s="1">
        <f>F10*D4</f>
        <v>0.12666408193277423</v>
      </c>
      <c r="H10" s="1"/>
      <c r="I10" s="1"/>
      <c r="J10" s="1"/>
      <c r="K10" s="1"/>
      <c r="L10" s="1"/>
      <c r="M10" s="257"/>
      <c r="N10" s="97">
        <f>B10+G10</f>
        <v>0.99999999999999978</v>
      </c>
      <c r="R10" s="298">
        <f>B10-G10</f>
        <v>0.74667183613445132</v>
      </c>
      <c r="S10" s="299">
        <f>SUM(C10:F10)*B4*F4*POWER(O2,A10-1)</f>
        <v>18.043328319525042</v>
      </c>
      <c r="T10" s="277">
        <f>SUM(C10:F10)*D4*H4*POWER(O2,A10-1)</f>
        <v>-15.526244821993982</v>
      </c>
      <c r="U10" s="295">
        <f t="shared" si="0"/>
        <v>3.9292509606000623</v>
      </c>
      <c r="V10" s="93">
        <f>(U10+W10*G10)/B10</f>
        <v>5.0792681218794238</v>
      </c>
      <c r="W10" s="9">
        <f t="shared" si="1"/>
        <v>4</v>
      </c>
    </row>
    <row r="11" spans="1:23" x14ac:dyDescent="0.2">
      <c r="A11" s="99">
        <v>5</v>
      </c>
      <c r="B11" s="97">
        <f>C11*B4</f>
        <v>0.90664572360390372</v>
      </c>
      <c r="C11" s="97">
        <f>1/(1-D4*B4/(1-D4*B4/(1-D4*B4/(1-D4*B4))))</f>
        <v>1.6436682083651555</v>
      </c>
      <c r="D11" s="93">
        <f>C11*D4*C10</f>
        <v>1.1669133193721153</v>
      </c>
      <c r="E11" s="1">
        <f>D11*D4*C9</f>
        <v>0.77935391909060459</v>
      </c>
      <c r="F11" s="1">
        <f>E11*D4*C8</f>
        <v>0.46430253269830529</v>
      </c>
      <c r="G11" s="1">
        <f>F11*D4</f>
        <v>0.20819372461466029</v>
      </c>
      <c r="H11" s="1">
        <f>G11*D4</f>
        <v>9.3354276396096031E-2</v>
      </c>
      <c r="I11" s="1"/>
      <c r="J11" s="1"/>
      <c r="K11" s="1"/>
      <c r="L11" s="1"/>
      <c r="M11" s="257"/>
      <c r="N11" s="97">
        <f>B11+H11</f>
        <v>0.99999999999999978</v>
      </c>
      <c r="R11" s="298">
        <f>B11-H11</f>
        <v>0.81329144720780766</v>
      </c>
      <c r="S11" s="299">
        <f>SUM(C11:G11)*B4*F4*POWER(O2,A11-1)</f>
        <v>43.290095082580578</v>
      </c>
      <c r="T11" s="277">
        <f>SUM(C11:G11)*D4*H4*POWER(O2,A11-1)</f>
        <v>-37.251032776043644</v>
      </c>
      <c r="U11" s="295">
        <f t="shared" si="0"/>
        <v>9.9683132671369954</v>
      </c>
      <c r="V11" s="93">
        <f>(U11+W11*H11)/B11</f>
        <v>11.509550398184381</v>
      </c>
      <c r="W11" s="9">
        <f t="shared" si="1"/>
        <v>5</v>
      </c>
    </row>
    <row r="12" spans="1:23" x14ac:dyDescent="0.2">
      <c r="A12" s="99">
        <v>6</v>
      </c>
      <c r="B12" s="97">
        <f>C12*B4</f>
        <v>0.92946413851235521</v>
      </c>
      <c r="C12" s="97">
        <f>1/(1-D4*B4/(1-D4*B4/(1-D4*B4/(1-D4*B4/(1-D4*B4)))))</f>
        <v>1.6850359688628522</v>
      </c>
      <c r="D12" s="93">
        <f>C12*D4*C11</f>
        <v>1.2419093966833823</v>
      </c>
      <c r="E12" s="1">
        <f>D12*D4*C10</f>
        <v>0.881686832578363</v>
      </c>
      <c r="F12" s="1">
        <f>E12*D4*C9</f>
        <v>0.58885786713812116</v>
      </c>
      <c r="G12" s="1">
        <f>F12*D4*C8</f>
        <v>0.35081391446722993</v>
      </c>
      <c r="H12" s="1">
        <f>G12*D4</f>
        <v>0.15730531357458616</v>
      </c>
      <c r="I12" s="1">
        <f>H12*D4</f>
        <v>7.0535861487644458E-2</v>
      </c>
      <c r="J12" s="1"/>
      <c r="K12" s="1"/>
      <c r="L12" s="1"/>
      <c r="M12" s="257"/>
      <c r="N12" s="97">
        <f>B12+I12</f>
        <v>0.99999999999999967</v>
      </c>
      <c r="R12" s="298">
        <f>B12-I12</f>
        <v>0.85892827702471075</v>
      </c>
      <c r="S12" s="299">
        <f>SUM(C12:H12)*B4*F4*POWER(O2,A12-1)</f>
        <v>99.644666465312653</v>
      </c>
      <c r="T12" s="277">
        <f>SUM(C12:H12)*D4*H4*POWER(O2,A12-1)</f>
        <v>-85.744019027366619</v>
      </c>
      <c r="U12" s="295">
        <f t="shared" si="0"/>
        <v>23.86896070508303</v>
      </c>
      <c r="V12" s="93">
        <f>(U12+W12*I12)/B12</f>
        <v>26.135678470488923</v>
      </c>
      <c r="W12" s="9">
        <f t="shared" si="1"/>
        <v>6</v>
      </c>
    </row>
    <row r="13" spans="1:23" x14ac:dyDescent="0.2">
      <c r="A13" s="99">
        <v>7</v>
      </c>
      <c r="B13" s="97">
        <f>C13*B4</f>
        <v>0.94577011521603993</v>
      </c>
      <c r="C13" s="97">
        <f>1/(1-D4*B4/(1-D4*B4/(1-D4*B4/(1-D4*B4/(1-D4*B4/(1-D4*B4))))))</f>
        <v>1.7145972570445838</v>
      </c>
      <c r="D13" s="93">
        <f>C13*D4*C12</f>
        <v>1.2955013878191175</v>
      </c>
      <c r="E13" s="1">
        <f>D13*D4*C11</f>
        <v>0.95481365186209588</v>
      </c>
      <c r="F13" s="1">
        <f>E13*D4*C10</f>
        <v>0.67786476747908453</v>
      </c>
      <c r="G13" s="1">
        <f>F13*D4*C9</f>
        <v>0.45272991093505405</v>
      </c>
      <c r="H13" s="1">
        <f>G13*D4*C8</f>
        <v>0.26971525917352357</v>
      </c>
      <c r="I13" s="1">
        <f>H13*D4</f>
        <v>0.12094059462999189</v>
      </c>
      <c r="J13" s="1">
        <f>I13*D4</f>
        <v>5.4229884783959736E-2</v>
      </c>
      <c r="K13" s="1"/>
      <c r="L13" s="1"/>
      <c r="M13" s="257"/>
      <c r="N13" s="97">
        <f>B13+J13</f>
        <v>0.99999999999999967</v>
      </c>
      <c r="R13" s="298">
        <f>B13-J13</f>
        <v>0.89154023043208019</v>
      </c>
      <c r="S13" s="299">
        <f>SUM(C13:I13)*B4*F4*POWER(O2,A13-1)</f>
        <v>222.87419669177066</v>
      </c>
      <c r="T13" s="277">
        <f>SUM(C13:I13)*D4*H4*POWER(O2,A13-1)</f>
        <v>-191.78276208592325</v>
      </c>
      <c r="U13" s="295">
        <f t="shared" si="0"/>
        <v>54.960395310930437</v>
      </c>
      <c r="V13" s="93">
        <f>(U13+W13*J13)/B13</f>
        <v>58.513166798230849</v>
      </c>
      <c r="W13" s="9">
        <f t="shared" si="1"/>
        <v>7</v>
      </c>
    </row>
    <row r="14" spans="1:23" x14ac:dyDescent="0.2">
      <c r="A14" s="99">
        <v>8</v>
      </c>
      <c r="B14" s="97">
        <f>C14*B4</f>
        <v>0.95777726835614252</v>
      </c>
      <c r="C14" s="97">
        <f>1/(1-D4*B4/(1-D4*B4/(1-D4*B4/(1-D4*B4/(1-D4*B4/(1-D4*B4/(1-D4*B4)))))))</f>
        <v>1.7363651597386029</v>
      </c>
      <c r="D14" s="93">
        <f>C14*D4*C13</f>
        <v>1.3349646629324925</v>
      </c>
      <c r="E14" s="1">
        <f>D14*D4*C12</f>
        <v>1.0086616938251376</v>
      </c>
      <c r="F14" s="1">
        <f>E14*D4*C11</f>
        <v>0.74340634786649573</v>
      </c>
      <c r="G14" s="1">
        <f>F14*D4*C10</f>
        <v>0.52777729995400213</v>
      </c>
      <c r="H14" s="1">
        <f>G14*D4*C9</f>
        <v>0.35249002672069274</v>
      </c>
      <c r="I14" s="1">
        <f>H14*D4*C8</f>
        <v>0.20999703491358748</v>
      </c>
      <c r="J14" s="1">
        <f>I14*D4</f>
        <v>9.4162882555506283E-2</v>
      </c>
      <c r="K14" s="1">
        <f>J14*D4</f>
        <v>4.2222731643856981E-2</v>
      </c>
      <c r="L14" s="1"/>
      <c r="M14" s="257"/>
      <c r="N14" s="97">
        <f>B14+K14</f>
        <v>0.99999999999999956</v>
      </c>
      <c r="R14" s="298">
        <f>B14-K14</f>
        <v>0.91555453671228548</v>
      </c>
      <c r="S14" s="299">
        <f>SUM(C14:J14)*B4*F4*POWER(O2,A14-1)</f>
        <v>488.1332314305036</v>
      </c>
      <c r="T14" s="277">
        <f>SUM(C14:J14)*D4*H4*POWER(O2,A14-1)</f>
        <v>-420.03758523530246</v>
      </c>
      <c r="U14" s="295">
        <f t="shared" si="0"/>
        <v>123.05604150613158</v>
      </c>
      <c r="V14" s="93">
        <f>(U14+W14*K14)/B14</f>
        <v>128.83352678756555</v>
      </c>
      <c r="W14" s="9">
        <f t="shared" si="1"/>
        <v>8</v>
      </c>
    </row>
    <row r="15" spans="1:23" x14ac:dyDescent="0.2">
      <c r="A15" s="99">
        <v>9</v>
      </c>
      <c r="B15" s="97">
        <f>C15*B4</f>
        <v>0.9668156645244621</v>
      </c>
      <c r="C15" s="97">
        <f>1/(1-D4*B4/(1-D4*B4/(1-D4*B4/(1-D4*B4/(1-D4*B4/(1-D4*B4/(1-D4*B4/(1-D4*B4))))))))</f>
        <v>1.7527509695976331</v>
      </c>
      <c r="D15" s="93">
        <f>C15*D4*C14</f>
        <v>1.3646706815375838</v>
      </c>
      <c r="E15" s="1">
        <f>D15*D4*C13</f>
        <v>1.0491958596237512</v>
      </c>
      <c r="F15" s="1">
        <f>E15*D4*C12</f>
        <v>0.79274283605208062</v>
      </c>
      <c r="G15" s="1">
        <f>F15*D4*C11</f>
        <v>0.58426929480378598</v>
      </c>
      <c r="H15" s="1">
        <f>G15*D4*C10</f>
        <v>0.41479881325004297</v>
      </c>
      <c r="I15" s="1">
        <f>H15*D4*C9</f>
        <v>0.27703435668597776</v>
      </c>
      <c r="J15" s="1">
        <f>I15*D4*C8</f>
        <v>0.16504408369927168</v>
      </c>
      <c r="K15" s="1">
        <f>J15*D4</f>
        <v>7.400593382783098E-2</v>
      </c>
      <c r="L15" s="1">
        <f>K15*D4</f>
        <v>3.3184335475537355E-2</v>
      </c>
      <c r="M15" s="257"/>
      <c r="N15" s="97">
        <f>B15+L15</f>
        <v>0.99999999999999944</v>
      </c>
      <c r="R15" s="298">
        <f>B15-L15</f>
        <v>0.93363132904892476</v>
      </c>
      <c r="S15" s="299">
        <f>SUM(C15:K15)*B4*F4*POWER(O2,A15-1)</f>
        <v>1052.1028199443454</v>
      </c>
      <c r="T15" s="277">
        <f>SUM(C15:K15)*D4*H4*POWER(O2,A15-1)</f>
        <v>-905.33219099546682</v>
      </c>
      <c r="U15" s="295">
        <f t="shared" si="0"/>
        <v>269.82667045501012</v>
      </c>
      <c r="V15" s="93">
        <f>(U15+W15*L15)/B15</f>
        <v>279.39693096217445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0.97373266668598557</v>
      </c>
      <c r="C16" s="145">
        <f>1/(1-D4*B4/(1-D4*B4/(1-D4*B4/(1-D4*B4/(1-D4*B4/(1-D4*B4/(1-D4*B4/(1-D4*B4/(1-D4*B4)))))))))</f>
        <v>1.7652908804515623</v>
      </c>
      <c r="D16" s="94">
        <f>C16*D4*C15</f>
        <v>1.3874044266705849</v>
      </c>
      <c r="E16" s="111">
        <f>D16*D4*C14</f>
        <v>1.0802162870561418</v>
      </c>
      <c r="F16" s="111">
        <f>E16*D4*C13</f>
        <v>0.83049960053401506</v>
      </c>
      <c r="G16" s="111">
        <f>F16*D4*C12</f>
        <v>0.62750210328084222</v>
      </c>
      <c r="H16" s="111">
        <f>G16*D4*C11</f>
        <v>0.46248315935295792</v>
      </c>
      <c r="I16" s="111">
        <f>H16*D4*C10</f>
        <v>0.32833740768828501</v>
      </c>
      <c r="J16" s="111">
        <f>I16*D4*C9</f>
        <v>0.21928882053004817</v>
      </c>
      <c r="K16" s="111">
        <f>J16*D4*C8</f>
        <v>0.13064200008557181</v>
      </c>
      <c r="L16" s="111">
        <f>K16*D4</f>
        <v>5.8580004788811348E-2</v>
      </c>
      <c r="M16" s="259">
        <f>L16*D4</f>
        <v>2.6267333314014003E-2</v>
      </c>
      <c r="N16" s="145">
        <f>B16+M16</f>
        <v>0.99999999999999956</v>
      </c>
      <c r="R16" s="300">
        <f>B16-M16</f>
        <v>0.94746533337197159</v>
      </c>
      <c r="S16" s="301">
        <f>SUM(C16:L16)*B4*F4*POWER(O2,A16-1)</f>
        <v>2239.317786617039</v>
      </c>
      <c r="T16" s="278">
        <f>SUM(C16:L16)*D4*H4*POWER(O2,A16-1)</f>
        <v>-1926.9280907358136</v>
      </c>
      <c r="U16" s="302">
        <f t="shared" si="0"/>
        <v>582.21636633623552</v>
      </c>
      <c r="V16" s="94">
        <f>(U16+W16*M16)/B16</f>
        <v>598.19194692501424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6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2</v>
      </c>
      <c r="D21" s="57">
        <f>SUM($C$21:C21)</f>
        <v>2</v>
      </c>
      <c r="E21" s="276">
        <f t="shared" ref="E21:E30" si="3">D21/R7</f>
        <v>19.380224308650003</v>
      </c>
      <c r="F21" s="8">
        <f t="shared" ref="F21:F30" si="4">U7/E21</f>
        <v>4.5691276878442218E-3</v>
      </c>
      <c r="G21" s="281">
        <f>E21*U7</f>
        <v>1.7161328063171557</v>
      </c>
      <c r="O21" s="101">
        <v>1</v>
      </c>
      <c r="P21" s="109">
        <v>1</v>
      </c>
      <c r="Q21" s="110">
        <f>P21*2+1</f>
        <v>3</v>
      </c>
      <c r="R21" s="57">
        <f>SUM($Q$21)</f>
        <v>3</v>
      </c>
      <c r="S21" s="276">
        <f>R21/R7</f>
        <v>29.070336462975007</v>
      </c>
      <c r="T21" s="8">
        <f>U7/S21</f>
        <v>3.0460851252294809E-3</v>
      </c>
      <c r="U21" s="281">
        <f>S21*U7</f>
        <v>2.5741992094757338</v>
      </c>
    </row>
    <row r="22" spans="1:21" x14ac:dyDescent="0.2">
      <c r="A22" s="97">
        <v>2</v>
      </c>
      <c r="B22" s="93">
        <f>C21</f>
        <v>2</v>
      </c>
      <c r="C22" s="1">
        <f t="shared" si="2"/>
        <v>4</v>
      </c>
      <c r="D22" s="9">
        <f>SUM($C$21:C22)</f>
        <v>6</v>
      </c>
      <c r="E22" s="277">
        <f t="shared" si="3"/>
        <v>12.883072963545962</v>
      </c>
      <c r="F22" s="9">
        <f t="shared" si="4"/>
        <v>3.3327406233157657E-2</v>
      </c>
      <c r="G22" s="282">
        <f t="shared" ref="G22:G30" si="5">E22*U8</f>
        <v>5.5314685574984148</v>
      </c>
      <c r="O22" s="99">
        <v>2</v>
      </c>
      <c r="P22" s="93">
        <f>Q21</f>
        <v>3</v>
      </c>
      <c r="Q22" s="1">
        <f>P22*2+1</f>
        <v>7</v>
      </c>
      <c r="R22" s="9">
        <f>SUM($Q$21:Q22)</f>
        <v>10</v>
      </c>
      <c r="S22" s="277">
        <f>R22/R8</f>
        <v>21.471788272576603</v>
      </c>
      <c r="T22" s="9">
        <f>U8/S22</f>
        <v>1.9996443739894593E-2</v>
      </c>
      <c r="U22" s="282">
        <f t="shared" ref="U22:U30" si="6">S22*U8</f>
        <v>9.2191142624973583</v>
      </c>
    </row>
    <row r="23" spans="1:21" x14ac:dyDescent="0.2">
      <c r="A23" s="97">
        <v>3</v>
      </c>
      <c r="B23" s="93">
        <f t="shared" ref="B23:B30" si="7">C22</f>
        <v>4</v>
      </c>
      <c r="C23" s="1">
        <f t="shared" si="2"/>
        <v>8</v>
      </c>
      <c r="D23" s="9">
        <f>SUM($C$21:C23)</f>
        <v>14</v>
      </c>
      <c r="E23" s="277">
        <f t="shared" si="3"/>
        <v>21.767119723802981</v>
      </c>
      <c r="F23" s="9">
        <f t="shared" si="4"/>
        <v>6.4876174752912144E-2</v>
      </c>
      <c r="G23" s="282">
        <f t="shared" si="5"/>
        <v>30.738818238682111</v>
      </c>
      <c r="O23" s="99">
        <v>3</v>
      </c>
      <c r="P23" s="93">
        <f t="shared" ref="P23:P30" si="8">Q22</f>
        <v>7</v>
      </c>
      <c r="Q23" s="1">
        <f>P23*2+1</f>
        <v>15</v>
      </c>
      <c r="R23" s="9">
        <f>SUM($Q$21:Q23)</f>
        <v>25</v>
      </c>
      <c r="S23" s="277">
        <f t="shared" ref="S23:S30" si="9">R23/R9</f>
        <v>38.869856649648177</v>
      </c>
      <c r="T23" s="9">
        <f t="shared" ref="T23:T30" si="10">U9/S23</f>
        <v>3.6330657861630804E-2</v>
      </c>
      <c r="U23" s="282">
        <f t="shared" si="6"/>
        <v>54.890746854789477</v>
      </c>
    </row>
    <row r="24" spans="1:21" x14ac:dyDescent="0.2">
      <c r="A24" s="97">
        <v>4</v>
      </c>
      <c r="B24" s="93">
        <f t="shared" si="7"/>
        <v>8</v>
      </c>
      <c r="C24" s="1">
        <f t="shared" si="2"/>
        <v>16</v>
      </c>
      <c r="D24" s="9">
        <f>SUM($C$21:C24)</f>
        <v>30</v>
      </c>
      <c r="E24" s="277">
        <f t="shared" si="3"/>
        <v>40.178293258402711</v>
      </c>
      <c r="F24" s="9">
        <f t="shared" si="4"/>
        <v>9.7795367646143508E-2</v>
      </c>
      <c r="G24" s="282">
        <f t="shared" si="5"/>
        <v>157.87059738084986</v>
      </c>
      <c r="O24" s="99">
        <v>4</v>
      </c>
      <c r="P24" s="93">
        <f t="shared" si="8"/>
        <v>15</v>
      </c>
      <c r="Q24" s="1">
        <f t="shared" ref="Q24:Q30" si="11">P24*2+1</f>
        <v>31</v>
      </c>
      <c r="R24" s="9">
        <f>SUM($Q$21:Q24)</f>
        <v>56</v>
      </c>
      <c r="S24" s="277">
        <f t="shared" si="9"/>
        <v>74.999480749018403</v>
      </c>
      <c r="T24" s="9">
        <f t="shared" si="10"/>
        <v>5.2390375524719729E-2</v>
      </c>
      <c r="U24" s="282">
        <f t="shared" si="6"/>
        <v>294.69178177758641</v>
      </c>
    </row>
    <row r="25" spans="1:21" x14ac:dyDescent="0.2">
      <c r="A25" s="97">
        <v>5</v>
      </c>
      <c r="B25" s="93">
        <f t="shared" si="7"/>
        <v>16</v>
      </c>
      <c r="C25" s="1">
        <f t="shared" si="2"/>
        <v>32</v>
      </c>
      <c r="D25" s="9">
        <f>SUM($C$21:C25)</f>
        <v>62</v>
      </c>
      <c r="E25" s="277">
        <f t="shared" si="3"/>
        <v>76.233434167860011</v>
      </c>
      <c r="F25" s="9">
        <f t="shared" si="4"/>
        <v>0.13076038585888122</v>
      </c>
      <c r="G25" s="282">
        <f t="shared" si="5"/>
        <v>759.91875321489363</v>
      </c>
      <c r="O25" s="99">
        <v>5</v>
      </c>
      <c r="P25" s="93">
        <f t="shared" si="8"/>
        <v>31</v>
      </c>
      <c r="Q25" s="1">
        <f t="shared" si="11"/>
        <v>63</v>
      </c>
      <c r="R25" s="9">
        <f>SUM($Q$21:Q25)</f>
        <v>119</v>
      </c>
      <c r="S25" s="277">
        <f t="shared" si="9"/>
        <v>146.31901074153777</v>
      </c>
      <c r="T25" s="9">
        <f t="shared" si="10"/>
        <v>6.8127259859249042E-2</v>
      </c>
      <c r="U25" s="282">
        <f t="shared" si="6"/>
        <v>1458.5537360092314</v>
      </c>
    </row>
    <row r="26" spans="1:21" x14ac:dyDescent="0.2">
      <c r="A26" s="97">
        <v>6</v>
      </c>
      <c r="B26" s="93">
        <f t="shared" si="7"/>
        <v>32</v>
      </c>
      <c r="C26" s="1">
        <f t="shared" si="2"/>
        <v>64</v>
      </c>
      <c r="D26" s="9">
        <f>SUM($C$21:C26)</f>
        <v>126</v>
      </c>
      <c r="E26" s="277">
        <f t="shared" si="3"/>
        <v>146.69443697494555</v>
      </c>
      <c r="F26" s="9">
        <f t="shared" si="4"/>
        <v>0.16271210549831341</v>
      </c>
      <c r="G26" s="282">
        <f t="shared" si="5"/>
        <v>3501.4437518092541</v>
      </c>
      <c r="O26" s="99">
        <v>6</v>
      </c>
      <c r="P26" s="93">
        <f t="shared" si="8"/>
        <v>63</v>
      </c>
      <c r="Q26" s="1">
        <f t="shared" si="11"/>
        <v>127</v>
      </c>
      <c r="R26" s="9">
        <f>SUM($Q$21:Q26)</f>
        <v>246</v>
      </c>
      <c r="S26" s="277">
        <f t="shared" si="9"/>
        <v>286.40342457013179</v>
      </c>
      <c r="T26" s="9">
        <f t="shared" si="10"/>
        <v>8.3340346718648345E-2</v>
      </c>
      <c r="U26" s="282">
        <f t="shared" si="6"/>
        <v>6836.1520868656871</v>
      </c>
    </row>
    <row r="27" spans="1:21" x14ac:dyDescent="0.2">
      <c r="A27" s="97">
        <v>7</v>
      </c>
      <c r="B27" s="93">
        <f t="shared" si="7"/>
        <v>64</v>
      </c>
      <c r="C27" s="1">
        <f t="shared" si="2"/>
        <v>128</v>
      </c>
      <c r="D27" s="9">
        <f>SUM($C$21:C27)</f>
        <v>254</v>
      </c>
      <c r="E27" s="277">
        <f t="shared" si="3"/>
        <v>284.90021126348978</v>
      </c>
      <c r="F27" s="9">
        <f t="shared" si="4"/>
        <v>0.19291103740214621</v>
      </c>
      <c r="G27" s="282">
        <f t="shared" si="5"/>
        <v>15658.228235208995</v>
      </c>
      <c r="O27" s="99">
        <v>7</v>
      </c>
      <c r="P27" s="93">
        <f t="shared" si="8"/>
        <v>127</v>
      </c>
      <c r="Q27" s="1">
        <f t="shared" si="11"/>
        <v>255</v>
      </c>
      <c r="R27" s="9">
        <f>SUM($Q$21:Q27)</f>
        <v>501</v>
      </c>
      <c r="S27" s="277">
        <f t="shared" si="9"/>
        <v>561.94884190160781</v>
      </c>
      <c r="T27" s="9">
        <f t="shared" si="10"/>
        <v>9.7803200599092088E-2</v>
      </c>
      <c r="U27" s="282">
        <f t="shared" si="6"/>
        <v>30884.930495431916</v>
      </c>
    </row>
    <row r="28" spans="1:21" x14ac:dyDescent="0.2">
      <c r="A28" s="97">
        <v>8</v>
      </c>
      <c r="B28" s="93">
        <f t="shared" si="7"/>
        <v>128</v>
      </c>
      <c r="C28" s="1">
        <f t="shared" si="2"/>
        <v>256</v>
      </c>
      <c r="D28" s="9">
        <f>SUM($C$21:C28)</f>
        <v>510</v>
      </c>
      <c r="E28" s="277">
        <f t="shared" si="3"/>
        <v>557.03945483290022</v>
      </c>
      <c r="F28" s="9">
        <f t="shared" si="4"/>
        <v>0.22091081778587071</v>
      </c>
      <c r="G28" s="282">
        <f t="shared" si="5"/>
        <v>68547.070274470272</v>
      </c>
      <c r="O28" s="99">
        <v>8</v>
      </c>
      <c r="P28" s="93">
        <f t="shared" si="8"/>
        <v>255</v>
      </c>
      <c r="Q28" s="1">
        <f t="shared" si="11"/>
        <v>511</v>
      </c>
      <c r="R28" s="9">
        <f>SUM($Q$21:Q28)</f>
        <v>1012</v>
      </c>
      <c r="S28" s="277">
        <f t="shared" si="9"/>
        <v>1105.3410358644999</v>
      </c>
      <c r="T28" s="9">
        <f t="shared" si="10"/>
        <v>0.11132857418062655</v>
      </c>
      <c r="U28" s="282">
        <f t="shared" si="6"/>
        <v>136018.89238777236</v>
      </c>
    </row>
    <row r="29" spans="1:21" x14ac:dyDescent="0.2">
      <c r="A29" s="97">
        <v>9</v>
      </c>
      <c r="B29" s="93">
        <f t="shared" si="7"/>
        <v>256</v>
      </c>
      <c r="C29" s="1">
        <f t="shared" si="2"/>
        <v>512</v>
      </c>
      <c r="D29" s="9">
        <f>SUM($C$21:C29)</f>
        <v>1022</v>
      </c>
      <c r="E29" s="277">
        <f t="shared" si="3"/>
        <v>1094.6504987585356</v>
      </c>
      <c r="F29" s="9">
        <f t="shared" si="4"/>
        <v>0.24649572695670974</v>
      </c>
      <c r="G29" s="282">
        <f t="shared" si="5"/>
        <v>295365.89939193183</v>
      </c>
      <c r="O29" s="99">
        <v>9</v>
      </c>
      <c r="P29" s="93">
        <f t="shared" si="8"/>
        <v>511</v>
      </c>
      <c r="Q29" s="1">
        <f t="shared" si="11"/>
        <v>1023</v>
      </c>
      <c r="R29" s="9">
        <f>SUM($Q$21:Q29)</f>
        <v>2035</v>
      </c>
      <c r="S29" s="277">
        <f t="shared" si="9"/>
        <v>2179.6612181737964</v>
      </c>
      <c r="T29" s="9">
        <f t="shared" si="10"/>
        <v>0.12379294002445078</v>
      </c>
      <c r="U29" s="282">
        <f t="shared" si="6"/>
        <v>588130.72921974689</v>
      </c>
    </row>
    <row r="30" spans="1:21" ht="17" thickBot="1" x14ac:dyDescent="0.25">
      <c r="A30" s="145">
        <v>10</v>
      </c>
      <c r="B30" s="94">
        <f t="shared" si="7"/>
        <v>512</v>
      </c>
      <c r="C30" s="111">
        <f t="shared" si="2"/>
        <v>1024</v>
      </c>
      <c r="D30" s="10">
        <f>SUM($C$21:C30)</f>
        <v>2046</v>
      </c>
      <c r="E30" s="278">
        <f t="shared" si="3"/>
        <v>2159.4457632749582</v>
      </c>
      <c r="F30" s="10">
        <f t="shared" si="4"/>
        <v>0.26961379453830858</v>
      </c>
      <c r="G30" s="283">
        <f t="shared" si="5"/>
        <v>1257264.6655941247</v>
      </c>
      <c r="O30" s="100">
        <v>10</v>
      </c>
      <c r="P30" s="94">
        <f t="shared" si="8"/>
        <v>1023</v>
      </c>
      <c r="Q30" s="111">
        <f t="shared" si="11"/>
        <v>2047</v>
      </c>
      <c r="R30" s="10">
        <f>SUM($Q$21:Q30)</f>
        <v>4082</v>
      </c>
      <c r="S30" s="278">
        <f t="shared" si="9"/>
        <v>4308.3370506785823</v>
      </c>
      <c r="T30" s="10">
        <f t="shared" si="10"/>
        <v>0.13513714444521788</v>
      </c>
      <c r="U30" s="283">
        <f t="shared" si="6"/>
        <v>2508384.342597858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8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2</v>
      </c>
      <c r="D33" s="57">
        <f>SUM($C$33:C33)</f>
        <v>2</v>
      </c>
      <c r="E33" s="8">
        <f t="shared" ref="E33:E42" si="13">D33/R7</f>
        <v>19.380224308650003</v>
      </c>
      <c r="F33" s="8">
        <f t="shared" ref="F33:F42" si="14">U7/E33</f>
        <v>4.5691276878442218E-3</v>
      </c>
      <c r="G33" s="284">
        <f>E33*U7</f>
        <v>1.7161328063171557</v>
      </c>
      <c r="O33" s="101">
        <v>1</v>
      </c>
      <c r="P33" s="109">
        <v>1</v>
      </c>
      <c r="Q33" s="110">
        <f>P33*2+1</f>
        <v>3</v>
      </c>
      <c r="R33" s="57">
        <f>SUM($Q$21)</f>
        <v>3</v>
      </c>
      <c r="S33" s="276">
        <f>R33/R7</f>
        <v>29.070336462975007</v>
      </c>
      <c r="T33" s="8">
        <f>U7/S33</f>
        <v>3.0460851252294809E-3</v>
      </c>
      <c r="U33" s="284">
        <f>S33*U7</f>
        <v>2.5741992094757338</v>
      </c>
    </row>
    <row r="34" spans="1:21" x14ac:dyDescent="0.2">
      <c r="A34" s="97">
        <v>2</v>
      </c>
      <c r="B34" s="93">
        <f t="shared" ref="B34:B42" si="15">B33*($O$2+1)</f>
        <v>3</v>
      </c>
      <c r="C34" s="1">
        <f t="shared" si="12"/>
        <v>6</v>
      </c>
      <c r="D34" s="9">
        <f>SUM($C$33:C34)</f>
        <v>8</v>
      </c>
      <c r="E34" s="9">
        <f t="shared" si="13"/>
        <v>17.17743061806128</v>
      </c>
      <c r="F34" s="9">
        <f t="shared" si="14"/>
        <v>2.4995554674868248E-2</v>
      </c>
      <c r="G34" s="282">
        <f t="shared" ref="G34:G42" si="16">E34*U8</f>
        <v>7.3752914099978852</v>
      </c>
      <c r="O34" s="99">
        <v>2</v>
      </c>
      <c r="P34" s="93">
        <f>Q33+1</f>
        <v>4</v>
      </c>
      <c r="Q34" s="1">
        <f>P34*2+1</f>
        <v>9</v>
      </c>
      <c r="R34" s="9">
        <f>SUM($Q$33:Q34)</f>
        <v>12</v>
      </c>
      <c r="S34" s="277">
        <f>R34/R8</f>
        <v>25.766145927091923</v>
      </c>
      <c r="T34" s="9">
        <f t="shared" ref="T34:T42" si="17">U8/S34</f>
        <v>1.6663703116578828E-2</v>
      </c>
      <c r="U34" s="282">
        <f t="shared" ref="U34:U42" si="18">S34*U8</f>
        <v>11.06293711499683</v>
      </c>
    </row>
    <row r="35" spans="1:21" x14ac:dyDescent="0.2">
      <c r="A35" s="97">
        <v>3</v>
      </c>
      <c r="B35" s="93">
        <f t="shared" si="15"/>
        <v>9</v>
      </c>
      <c r="C35" s="1">
        <f t="shared" si="12"/>
        <v>18</v>
      </c>
      <c r="D35" s="9">
        <f>SUM($C$33:C35)</f>
        <v>26</v>
      </c>
      <c r="E35" s="9">
        <f t="shared" si="13"/>
        <v>40.424650915634103</v>
      </c>
      <c r="F35" s="9">
        <f t="shared" si="14"/>
        <v>3.4933324866952699E-2</v>
      </c>
      <c r="G35" s="282">
        <f t="shared" si="16"/>
        <v>57.086376728981058</v>
      </c>
      <c r="O35" s="99">
        <v>3</v>
      </c>
      <c r="P35" s="93">
        <f t="shared" ref="P35:P42" si="19">Q34+1</f>
        <v>10</v>
      </c>
      <c r="Q35" s="1">
        <f>P35*2+1</f>
        <v>21</v>
      </c>
      <c r="R35" s="9">
        <f>SUM($Q$33:Q35)</f>
        <v>33</v>
      </c>
      <c r="S35" s="277">
        <f t="shared" ref="S35:S42" si="20">R35/R9</f>
        <v>51.308210777535592</v>
      </c>
      <c r="T35" s="9">
        <f t="shared" si="17"/>
        <v>2.7523225652750609E-2</v>
      </c>
      <c r="U35" s="282">
        <f t="shared" si="18"/>
        <v>72.455785848322108</v>
      </c>
    </row>
    <row r="36" spans="1:21" x14ac:dyDescent="0.2">
      <c r="A36" s="97">
        <v>4</v>
      </c>
      <c r="B36" s="93">
        <f t="shared" si="15"/>
        <v>27</v>
      </c>
      <c r="C36" s="1">
        <f t="shared" si="12"/>
        <v>54</v>
      </c>
      <c r="D36" s="9">
        <f>SUM($C$33:C36)</f>
        <v>80</v>
      </c>
      <c r="E36" s="9">
        <f t="shared" si="13"/>
        <v>107.14211535574057</v>
      </c>
      <c r="F36" s="9">
        <f t="shared" si="14"/>
        <v>3.667326286730381E-2</v>
      </c>
      <c r="G36" s="282">
        <f t="shared" si="16"/>
        <v>420.98825968226635</v>
      </c>
      <c r="O36" s="99">
        <v>4</v>
      </c>
      <c r="P36" s="93">
        <f t="shared" si="19"/>
        <v>22</v>
      </c>
      <c r="Q36" s="1">
        <f t="shared" ref="Q36:Q42" si="21">P36*2+1</f>
        <v>45</v>
      </c>
      <c r="R36" s="9">
        <f>SUM($Q$33:Q36)</f>
        <v>78</v>
      </c>
      <c r="S36" s="277">
        <f t="shared" si="20"/>
        <v>104.46356247184706</v>
      </c>
      <c r="T36" s="9">
        <f t="shared" si="17"/>
        <v>3.7613602940824421E-2</v>
      </c>
      <c r="U36" s="282">
        <f t="shared" si="18"/>
        <v>410.46355319020967</v>
      </c>
    </row>
    <row r="37" spans="1:21" x14ac:dyDescent="0.2">
      <c r="A37" s="97">
        <v>5</v>
      </c>
      <c r="B37" s="93">
        <f t="shared" si="15"/>
        <v>81</v>
      </c>
      <c r="C37" s="1">
        <f t="shared" si="12"/>
        <v>162</v>
      </c>
      <c r="D37" s="9">
        <f>SUM($C$33:C37)</f>
        <v>242</v>
      </c>
      <c r="E37" s="9">
        <f t="shared" si="13"/>
        <v>297.55630755842134</v>
      </c>
      <c r="F37" s="9">
        <f t="shared" si="14"/>
        <v>3.3500594724176186E-2</v>
      </c>
      <c r="G37" s="282">
        <f t="shared" si="16"/>
        <v>2966.1344883549077</v>
      </c>
      <c r="O37" s="99">
        <v>5</v>
      </c>
      <c r="P37" s="93">
        <f t="shared" si="19"/>
        <v>46</v>
      </c>
      <c r="Q37" s="1">
        <f t="shared" si="21"/>
        <v>93</v>
      </c>
      <c r="R37" s="9">
        <f>SUM($Q$33:Q37)</f>
        <v>171</v>
      </c>
      <c r="S37" s="277">
        <f t="shared" si="20"/>
        <v>210.25672972103325</v>
      </c>
      <c r="T37" s="9">
        <f t="shared" si="17"/>
        <v>4.7410198381582669E-2</v>
      </c>
      <c r="U37" s="282">
        <f t="shared" si="18"/>
        <v>2095.9049483830131</v>
      </c>
    </row>
    <row r="38" spans="1:21" x14ac:dyDescent="0.2">
      <c r="A38" s="97">
        <v>6</v>
      </c>
      <c r="B38" s="93">
        <f t="shared" si="15"/>
        <v>243</v>
      </c>
      <c r="C38" s="1">
        <f t="shared" si="12"/>
        <v>486</v>
      </c>
      <c r="D38" s="9">
        <f>SUM($C$33:C38)</f>
        <v>728</v>
      </c>
      <c r="E38" s="9">
        <f t="shared" si="13"/>
        <v>847.56785807746314</v>
      </c>
      <c r="F38" s="9">
        <f t="shared" si="14"/>
        <v>2.8161710567015785E-2</v>
      </c>
      <c r="G38" s="282">
        <f t="shared" si="16"/>
        <v>20230.563899342356</v>
      </c>
      <c r="O38" s="99">
        <v>6</v>
      </c>
      <c r="P38" s="93">
        <f t="shared" si="19"/>
        <v>94</v>
      </c>
      <c r="Q38" s="1">
        <f t="shared" si="21"/>
        <v>189</v>
      </c>
      <c r="R38" s="9">
        <f>SUM($Q$33:Q38)</f>
        <v>360</v>
      </c>
      <c r="S38" s="277">
        <f t="shared" si="20"/>
        <v>419.1269627855587</v>
      </c>
      <c r="T38" s="9">
        <f t="shared" si="17"/>
        <v>5.6949236924409702E-2</v>
      </c>
      <c r="U38" s="282">
        <f t="shared" si="18"/>
        <v>10004.125005169299</v>
      </c>
    </row>
    <row r="39" spans="1:21" x14ac:dyDescent="0.2">
      <c r="A39" s="97">
        <v>7</v>
      </c>
      <c r="B39" s="93">
        <f t="shared" si="15"/>
        <v>729</v>
      </c>
      <c r="C39" s="1">
        <f t="shared" si="12"/>
        <v>1458</v>
      </c>
      <c r="D39" s="9">
        <f>SUM($C$33:C39)</f>
        <v>2186</v>
      </c>
      <c r="E39" s="9">
        <f t="shared" si="13"/>
        <v>2451.9364638660968</v>
      </c>
      <c r="F39" s="9">
        <f t="shared" si="14"/>
        <v>2.2415097667038034E-2</v>
      </c>
      <c r="G39" s="282">
        <f t="shared" si="16"/>
        <v>134759.39733136559</v>
      </c>
      <c r="O39" s="99">
        <v>7</v>
      </c>
      <c r="P39" s="93">
        <f t="shared" si="19"/>
        <v>190</v>
      </c>
      <c r="Q39" s="1">
        <f t="shared" si="21"/>
        <v>381</v>
      </c>
      <c r="R39" s="9">
        <f>SUM($Q$33:Q39)</f>
        <v>741</v>
      </c>
      <c r="S39" s="277">
        <f t="shared" si="20"/>
        <v>831.14589191435402</v>
      </c>
      <c r="T39" s="9">
        <f t="shared" si="17"/>
        <v>6.6126050607483319E-2</v>
      </c>
      <c r="U39" s="282">
        <f t="shared" si="18"/>
        <v>45680.106780668757</v>
      </c>
    </row>
    <row r="40" spans="1:21" x14ac:dyDescent="0.2">
      <c r="A40" s="97">
        <v>8</v>
      </c>
      <c r="B40" s="93">
        <f t="shared" si="15"/>
        <v>2187</v>
      </c>
      <c r="C40" s="1">
        <f t="shared" si="12"/>
        <v>4374</v>
      </c>
      <c r="D40" s="9">
        <f>SUM($C$33:C40)</f>
        <v>6560</v>
      </c>
      <c r="E40" s="9">
        <f t="shared" si="13"/>
        <v>7165.056517066324</v>
      </c>
      <c r="F40" s="9">
        <f t="shared" si="14"/>
        <v>1.7174469065669828E-2</v>
      </c>
      <c r="G40" s="282">
        <f t="shared" si="16"/>
        <v>881703.49215789209</v>
      </c>
      <c r="O40" s="99">
        <v>8</v>
      </c>
      <c r="P40" s="93">
        <f t="shared" si="19"/>
        <v>382</v>
      </c>
      <c r="Q40" s="1">
        <f t="shared" si="21"/>
        <v>765</v>
      </c>
      <c r="R40" s="9">
        <f>SUM($Q$33:Q40)</f>
        <v>1506</v>
      </c>
      <c r="S40" s="277">
        <f t="shared" si="20"/>
        <v>1644.9047430947994</v>
      </c>
      <c r="T40" s="9">
        <f t="shared" si="17"/>
        <v>7.4810436301988095E-2</v>
      </c>
      <c r="U40" s="282">
        <f t="shared" si="18"/>
        <v>202415.46633990633</v>
      </c>
    </row>
    <row r="41" spans="1:21" x14ac:dyDescent="0.2">
      <c r="A41" s="97">
        <v>9</v>
      </c>
      <c r="B41" s="93">
        <f t="shared" si="15"/>
        <v>6561</v>
      </c>
      <c r="C41" s="1">
        <f t="shared" si="12"/>
        <v>13122</v>
      </c>
      <c r="D41" s="9">
        <f>SUM($C$33:C41)</f>
        <v>19682</v>
      </c>
      <c r="E41" s="9">
        <f t="shared" si="13"/>
        <v>21081.126337148238</v>
      </c>
      <c r="F41" s="9">
        <f t="shared" si="14"/>
        <v>1.279944278781411E-2</v>
      </c>
      <c r="G41" s="282">
        <f t="shared" si="16"/>
        <v>5688250.1289941324</v>
      </c>
      <c r="O41" s="99">
        <v>9</v>
      </c>
      <c r="P41" s="93">
        <f t="shared" si="19"/>
        <v>766</v>
      </c>
      <c r="Q41" s="1">
        <f t="shared" si="21"/>
        <v>1533</v>
      </c>
      <c r="R41" s="9">
        <f>SUM($Q$33:Q41)</f>
        <v>3039</v>
      </c>
      <c r="S41" s="277">
        <f t="shared" si="20"/>
        <v>3255.0321582457827</v>
      </c>
      <c r="T41" s="9">
        <f t="shared" si="17"/>
        <v>8.2895239535951737E-2</v>
      </c>
      <c r="U41" s="282">
        <f t="shared" si="18"/>
        <v>878294.48948344518</v>
      </c>
    </row>
    <row r="42" spans="1:21" ht="17" thickBot="1" x14ac:dyDescent="0.25">
      <c r="A42" s="145">
        <v>10</v>
      </c>
      <c r="B42" s="94">
        <f t="shared" si="15"/>
        <v>19683</v>
      </c>
      <c r="C42" s="111">
        <f t="shared" si="12"/>
        <v>39366</v>
      </c>
      <c r="D42" s="10">
        <f>SUM($C$33:C42)</f>
        <v>59048</v>
      </c>
      <c r="E42" s="9">
        <f t="shared" si="13"/>
        <v>62322.069125053633</v>
      </c>
      <c r="F42" s="10">
        <f t="shared" si="14"/>
        <v>9.3420577094123318E-3</v>
      </c>
      <c r="G42" s="283">
        <f t="shared" si="16"/>
        <v>36284928.62854442</v>
      </c>
      <c r="O42" s="100">
        <v>10</v>
      </c>
      <c r="P42" s="94">
        <f t="shared" si="19"/>
        <v>1534</v>
      </c>
      <c r="Q42" s="111">
        <f t="shared" si="21"/>
        <v>3069</v>
      </c>
      <c r="R42" s="10">
        <f>SUM($Q$33:Q42)</f>
        <v>6108</v>
      </c>
      <c r="S42" s="278">
        <f t="shared" si="20"/>
        <v>6446.6738622108724</v>
      </c>
      <c r="T42" s="10">
        <f t="shared" si="17"/>
        <v>9.0312675773637746E-2</v>
      </c>
      <c r="U42" s="283">
        <f t="shared" si="18"/>
        <v>3753359.0310111996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6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2</v>
      </c>
      <c r="D45" s="57">
        <f>SUM(C45:C45)</f>
        <v>2</v>
      </c>
      <c r="E45" s="57">
        <f t="shared" ref="E45:E54" si="23">D45/R7</f>
        <v>19.380224308650003</v>
      </c>
      <c r="F45" s="8">
        <f t="shared" ref="F45:F54" si="24">U7/E45</f>
        <v>4.5691276878442218E-3</v>
      </c>
      <c r="G45" s="281">
        <f>E45*U7</f>
        <v>1.7161328063171557</v>
      </c>
      <c r="O45" s="101">
        <v>1</v>
      </c>
      <c r="P45" s="109">
        <v>1</v>
      </c>
      <c r="Q45" s="110">
        <f>P45*2+1</f>
        <v>3</v>
      </c>
      <c r="R45" s="57">
        <f>SUM($Q$21)</f>
        <v>3</v>
      </c>
      <c r="S45" s="276">
        <f>R45/R7</f>
        <v>29.070336462975007</v>
      </c>
      <c r="T45" s="8">
        <f>U7/S45</f>
        <v>3.0460851252294809E-3</v>
      </c>
      <c r="U45" s="284">
        <f>S45*U7</f>
        <v>2.5741992094757338</v>
      </c>
    </row>
    <row r="46" spans="1:21" x14ac:dyDescent="0.2">
      <c r="A46" s="97">
        <v>2</v>
      </c>
      <c r="B46" s="93">
        <f t="shared" ref="B46:B54" si="25">B45*$O$2*2</f>
        <v>4</v>
      </c>
      <c r="C46" s="1">
        <f t="shared" si="22"/>
        <v>8</v>
      </c>
      <c r="D46" s="9">
        <f>SUM($C$45:C46)</f>
        <v>10</v>
      </c>
      <c r="E46" s="9">
        <f t="shared" si="23"/>
        <v>21.471788272576603</v>
      </c>
      <c r="F46" s="9">
        <f t="shared" si="24"/>
        <v>1.9996443739894593E-2</v>
      </c>
      <c r="G46" s="282">
        <f t="shared" ref="G46:G54" si="26">E46*U8</f>
        <v>9.2191142624973583</v>
      </c>
      <c r="O46" s="99">
        <v>2</v>
      </c>
      <c r="P46" s="93">
        <f>Q45*2</f>
        <v>6</v>
      </c>
      <c r="Q46" s="1">
        <f>P46*2+1</f>
        <v>13</v>
      </c>
      <c r="R46" s="9">
        <f>SUM($Q$45:Q46)</f>
        <v>16</v>
      </c>
      <c r="S46" s="277">
        <f t="shared" ref="S46:S54" si="27">R46/R8</f>
        <v>34.354861236122559</v>
      </c>
      <c r="T46" s="9">
        <f t="shared" ref="T46:T54" si="28">U8/S46</f>
        <v>1.2497777337434124E-2</v>
      </c>
      <c r="U46" s="282">
        <f t="shared" ref="U46:U54" si="29">S46*U8</f>
        <v>14.75058281999577</v>
      </c>
    </row>
    <row r="47" spans="1:21" x14ac:dyDescent="0.2">
      <c r="A47" s="97">
        <v>3</v>
      </c>
      <c r="B47" s="93">
        <f t="shared" si="25"/>
        <v>16</v>
      </c>
      <c r="C47" s="1">
        <f t="shared" si="22"/>
        <v>32</v>
      </c>
      <c r="D47" s="9">
        <f>SUM($C$45:C47)</f>
        <v>42</v>
      </c>
      <c r="E47" s="9">
        <f t="shared" si="23"/>
        <v>65.301359171408933</v>
      </c>
      <c r="F47" s="9">
        <f t="shared" si="24"/>
        <v>2.162539158430405E-2</v>
      </c>
      <c r="G47" s="282">
        <f t="shared" si="26"/>
        <v>92.216454716046314</v>
      </c>
      <c r="O47" s="99">
        <v>3</v>
      </c>
      <c r="P47" s="93">
        <f t="shared" ref="P47:P54" si="30">Q46*2</f>
        <v>26</v>
      </c>
      <c r="Q47" s="1">
        <f>P47*2+1</f>
        <v>53</v>
      </c>
      <c r="R47" s="9">
        <f>SUM($Q$45:Q47)</f>
        <v>69</v>
      </c>
      <c r="S47" s="277">
        <f t="shared" si="27"/>
        <v>107.28080435302897</v>
      </c>
      <c r="T47" s="9">
        <f t="shared" si="28"/>
        <v>1.3163281833924203E-2</v>
      </c>
      <c r="U47" s="282">
        <f t="shared" si="29"/>
        <v>151.49846131921896</v>
      </c>
    </row>
    <row r="48" spans="1:21" x14ac:dyDescent="0.2">
      <c r="A48" s="97">
        <v>4</v>
      </c>
      <c r="B48" s="93">
        <f t="shared" si="25"/>
        <v>64</v>
      </c>
      <c r="C48" s="1">
        <f t="shared" si="22"/>
        <v>128</v>
      </c>
      <c r="D48" s="9">
        <f>SUM($C$45:C48)</f>
        <v>170</v>
      </c>
      <c r="E48" s="9">
        <f t="shared" si="23"/>
        <v>227.67699513094871</v>
      </c>
      <c r="F48" s="9">
        <f t="shared" si="24"/>
        <v>1.7258006055201794E-2</v>
      </c>
      <c r="G48" s="282">
        <f t="shared" si="26"/>
        <v>894.60005182481598</v>
      </c>
      <c r="O48" s="99">
        <v>4</v>
      </c>
      <c r="P48" s="93">
        <f t="shared" si="30"/>
        <v>106</v>
      </c>
      <c r="Q48" s="1">
        <f t="shared" ref="Q48:Q54" si="31">P48*2+1</f>
        <v>213</v>
      </c>
      <c r="R48" s="9">
        <f>SUM($Q$45:Q48)</f>
        <v>282</v>
      </c>
      <c r="S48" s="277">
        <f t="shared" si="27"/>
        <v>377.67595662898549</v>
      </c>
      <c r="T48" s="9">
        <f t="shared" si="28"/>
        <v>1.0403762515547182E-2</v>
      </c>
      <c r="U48" s="282">
        <f t="shared" si="29"/>
        <v>1483.9836153799888</v>
      </c>
    </row>
    <row r="49" spans="1:21" x14ac:dyDescent="0.2">
      <c r="A49" s="97">
        <v>5</v>
      </c>
      <c r="B49" s="93">
        <f t="shared" si="25"/>
        <v>256</v>
      </c>
      <c r="C49" s="1">
        <f t="shared" si="22"/>
        <v>512</v>
      </c>
      <c r="D49" s="9">
        <f>SUM($C$45:C49)</f>
        <v>682</v>
      </c>
      <c r="E49" s="9">
        <f t="shared" si="23"/>
        <v>838.56777584646011</v>
      </c>
      <c r="F49" s="9">
        <f t="shared" si="24"/>
        <v>1.188730780535284E-2</v>
      </c>
      <c r="G49" s="282">
        <f t="shared" si="26"/>
        <v>8359.1062853638305</v>
      </c>
      <c r="O49" s="99">
        <v>5</v>
      </c>
      <c r="P49" s="93">
        <f t="shared" si="30"/>
        <v>426</v>
      </c>
      <c r="Q49" s="1">
        <f t="shared" si="31"/>
        <v>853</v>
      </c>
      <c r="R49" s="9">
        <f>SUM($Q$45:Q49)</f>
        <v>1135</v>
      </c>
      <c r="S49" s="277">
        <f t="shared" si="27"/>
        <v>1395.5636738793728</v>
      </c>
      <c r="T49" s="9">
        <f t="shared" si="28"/>
        <v>7.1428580821591512E-3</v>
      </c>
      <c r="U49" s="282">
        <f t="shared" si="29"/>
        <v>13911.415885466198</v>
      </c>
    </row>
    <row r="50" spans="1:21" x14ac:dyDescent="0.2">
      <c r="A50" s="97">
        <v>6</v>
      </c>
      <c r="B50" s="93">
        <f t="shared" si="25"/>
        <v>1024</v>
      </c>
      <c r="C50" s="1">
        <f t="shared" si="22"/>
        <v>2048</v>
      </c>
      <c r="D50" s="9">
        <f>SUM($C$45:C50)</f>
        <v>2730</v>
      </c>
      <c r="E50" s="9">
        <f t="shared" si="23"/>
        <v>3178.3794677904866</v>
      </c>
      <c r="F50" s="9">
        <f t="shared" si="24"/>
        <v>7.5097894845375431E-3</v>
      </c>
      <c r="G50" s="282">
        <f t="shared" si="26"/>
        <v>75864.614622533845</v>
      </c>
      <c r="O50" s="99">
        <v>6</v>
      </c>
      <c r="P50" s="93">
        <f t="shared" si="30"/>
        <v>1706</v>
      </c>
      <c r="Q50" s="1">
        <f t="shared" si="31"/>
        <v>3413</v>
      </c>
      <c r="R50" s="9">
        <f>SUM($Q$45:Q50)</f>
        <v>4548</v>
      </c>
      <c r="S50" s="277">
        <f t="shared" si="27"/>
        <v>5294.9706298575584</v>
      </c>
      <c r="T50" s="9">
        <f t="shared" si="28"/>
        <v>4.5078551655205563E-3</v>
      </c>
      <c r="U50" s="282">
        <f t="shared" si="29"/>
        <v>126385.44589863881</v>
      </c>
    </row>
    <row r="51" spans="1:21" x14ac:dyDescent="0.2">
      <c r="A51" s="97">
        <v>7</v>
      </c>
      <c r="B51" s="93">
        <f t="shared" si="25"/>
        <v>4096</v>
      </c>
      <c r="C51" s="1">
        <f t="shared" si="22"/>
        <v>8192</v>
      </c>
      <c r="D51" s="9">
        <f>SUM($C$45:C51)</f>
        <v>10922</v>
      </c>
      <c r="E51" s="9">
        <f t="shared" si="23"/>
        <v>12250.709084330059</v>
      </c>
      <c r="F51" s="9">
        <f t="shared" si="24"/>
        <v>4.4863031953987498E-3</v>
      </c>
      <c r="G51" s="282">
        <f t="shared" si="26"/>
        <v>673303.81411398668</v>
      </c>
      <c r="O51" s="99">
        <v>7</v>
      </c>
      <c r="P51" s="93">
        <f t="shared" si="30"/>
        <v>6826</v>
      </c>
      <c r="Q51" s="1">
        <f t="shared" si="31"/>
        <v>13653</v>
      </c>
      <c r="R51" s="9">
        <f>SUM($Q$45:Q51)</f>
        <v>18201</v>
      </c>
      <c r="S51" s="277">
        <f t="shared" si="27"/>
        <v>20415.231280341643</v>
      </c>
      <c r="T51" s="9">
        <f t="shared" si="28"/>
        <v>2.6921269985245395E-3</v>
      </c>
      <c r="U51" s="282">
        <f t="shared" si="29"/>
        <v>1122029.1815316491</v>
      </c>
    </row>
    <row r="52" spans="1:21" x14ac:dyDescent="0.2">
      <c r="A52" s="97">
        <v>8</v>
      </c>
      <c r="B52" s="93">
        <f t="shared" si="25"/>
        <v>16384</v>
      </c>
      <c r="C52" s="1">
        <f t="shared" si="22"/>
        <v>32768</v>
      </c>
      <c r="D52" s="9">
        <f>SUM($C$45:C52)</f>
        <v>43690</v>
      </c>
      <c r="E52" s="9">
        <f t="shared" si="23"/>
        <v>47719.71329735178</v>
      </c>
      <c r="F52" s="9">
        <f t="shared" si="24"/>
        <v>2.578725499445962E-3</v>
      </c>
      <c r="G52" s="282">
        <f t="shared" si="26"/>
        <v>5872199.02017962</v>
      </c>
      <c r="O52" s="99">
        <v>8</v>
      </c>
      <c r="P52" s="93">
        <f t="shared" si="30"/>
        <v>27306</v>
      </c>
      <c r="Q52" s="1">
        <f t="shared" si="31"/>
        <v>54613</v>
      </c>
      <c r="R52" s="9">
        <f>SUM($Q$45:Q52)</f>
        <v>72814</v>
      </c>
      <c r="S52" s="277">
        <f t="shared" si="27"/>
        <v>79529.942870985877</v>
      </c>
      <c r="T52" s="9">
        <f t="shared" si="28"/>
        <v>1.5472919640562813E-3</v>
      </c>
      <c r="U52" s="282">
        <f t="shared" si="29"/>
        <v>9786639.9509123117</v>
      </c>
    </row>
    <row r="53" spans="1:21" x14ac:dyDescent="0.2">
      <c r="A53" s="97">
        <v>9</v>
      </c>
      <c r="B53" s="93">
        <f t="shared" si="25"/>
        <v>65536</v>
      </c>
      <c r="C53" s="1">
        <f t="shared" si="22"/>
        <v>131072</v>
      </c>
      <c r="D53" s="9">
        <f>SUM($C$45:C53)</f>
        <v>174762</v>
      </c>
      <c r="E53" s="9">
        <f t="shared" si="23"/>
        <v>187185.2352877096</v>
      </c>
      <c r="F53" s="9">
        <f t="shared" si="24"/>
        <v>1.4414954792790042E-3</v>
      </c>
      <c r="G53" s="282">
        <f t="shared" si="26"/>
        <v>50507568.796020351</v>
      </c>
      <c r="O53" s="99">
        <v>9</v>
      </c>
      <c r="P53" s="93">
        <f t="shared" si="30"/>
        <v>109226</v>
      </c>
      <c r="Q53" s="1">
        <f t="shared" si="31"/>
        <v>218453</v>
      </c>
      <c r="R53" s="9">
        <f>SUM($Q$45:Q53)</f>
        <v>291267</v>
      </c>
      <c r="S53" s="277">
        <f t="shared" si="27"/>
        <v>311972.17888640158</v>
      </c>
      <c r="T53" s="9">
        <f t="shared" si="28"/>
        <v>8.6490619586069596E-4</v>
      </c>
      <c r="U53" s="282">
        <f t="shared" si="29"/>
        <v>84178414.303512543</v>
      </c>
    </row>
    <row r="54" spans="1:21" ht="17" thickBot="1" x14ac:dyDescent="0.25">
      <c r="A54" s="145">
        <v>10</v>
      </c>
      <c r="B54" s="94">
        <f t="shared" si="25"/>
        <v>262144</v>
      </c>
      <c r="C54" s="111">
        <f t="shared" si="22"/>
        <v>524288</v>
      </c>
      <c r="D54" s="10">
        <f>SUM($C$45:C54)</f>
        <v>699050</v>
      </c>
      <c r="E54" s="10">
        <f t="shared" si="23"/>
        <v>737810.63578561076</v>
      </c>
      <c r="F54" s="10">
        <f t="shared" si="24"/>
        <v>7.8911354499017141E-4</v>
      </c>
      <c r="G54" s="283">
        <f t="shared" si="26"/>
        <v>429565427.41132599</v>
      </c>
      <c r="O54" s="100">
        <v>10</v>
      </c>
      <c r="P54" s="94">
        <f t="shared" si="30"/>
        <v>436906</v>
      </c>
      <c r="Q54" s="111">
        <f t="shared" si="31"/>
        <v>873813</v>
      </c>
      <c r="R54" s="10">
        <f>SUM($Q$45:Q54)</f>
        <v>1165080</v>
      </c>
      <c r="S54" s="278">
        <f t="shared" si="27"/>
        <v>1229680.8748173942</v>
      </c>
      <c r="T54" s="10">
        <f t="shared" si="28"/>
        <v>4.7346948160244728E-4</v>
      </c>
      <c r="U54" s="283">
        <f t="shared" si="29"/>
        <v>715940330.68934655</v>
      </c>
    </row>
  </sheetData>
  <mergeCells count="2">
    <mergeCell ref="A18:F18"/>
    <mergeCell ref="O18:T18"/>
  </mergeCells>
  <conditionalFormatting sqref="E21:E30">
    <cfRule type="cellIs" dxfId="898" priority="63" stopIfTrue="1" operator="lessThan">
      <formula>0</formula>
    </cfRule>
    <cfRule type="cellIs" dxfId="897" priority="64" operator="equal">
      <formula>MIN($E$21:$E$30)</formula>
    </cfRule>
  </conditionalFormatting>
  <conditionalFormatting sqref="E45:E54">
    <cfRule type="cellIs" dxfId="896" priority="59" stopIfTrue="1" operator="lessThan">
      <formula>0</formula>
    </cfRule>
    <cfRule type="cellIs" dxfId="895" priority="60" operator="equal">
      <formula>MIN($E$45:$E$54)</formula>
    </cfRule>
  </conditionalFormatting>
  <conditionalFormatting sqref="F45:F54">
    <cfRule type="cellIs" dxfId="894" priority="55" operator="equal">
      <formula>MAX($F$45:$F$54)</formula>
    </cfRule>
  </conditionalFormatting>
  <conditionalFormatting sqref="F21:F30">
    <cfRule type="cellIs" dxfId="893" priority="53" operator="equal">
      <formula>MAX($F$21:$F$30)</formula>
    </cfRule>
  </conditionalFormatting>
  <conditionalFormatting sqref="E33:E42">
    <cfRule type="cellIs" dxfId="892" priority="49" stopIfTrue="1" operator="lessThan">
      <formula>0</formula>
    </cfRule>
    <cfRule type="cellIs" dxfId="891" priority="50" operator="equal">
      <formula>MIN($E$33:$E$42)</formula>
    </cfRule>
  </conditionalFormatting>
  <conditionalFormatting sqref="F33:F42">
    <cfRule type="cellIs" dxfId="890" priority="35" operator="lessThanOrEqual">
      <formula>0</formula>
    </cfRule>
    <cfRule type="cellIs" dxfId="889" priority="36" operator="equal">
      <formula>MAX($F$33:$F$42)</formula>
    </cfRule>
  </conditionalFormatting>
  <conditionalFormatting sqref="U7:U16">
    <cfRule type="cellIs" dxfId="888" priority="23" operator="lessThanOrEqual">
      <formula>0</formula>
    </cfRule>
    <cfRule type="cellIs" dxfId="887" priority="24" operator="greaterThan">
      <formula>0</formula>
    </cfRule>
  </conditionalFormatting>
  <conditionalFormatting sqref="R7:R16">
    <cfRule type="cellIs" dxfId="886" priority="25" operator="lessThanOrEqual">
      <formula>0</formula>
    </cfRule>
    <cfRule type="cellIs" dxfId="885" priority="26" operator="greaterThan">
      <formula>0</formula>
    </cfRule>
  </conditionalFormatting>
  <conditionalFormatting sqref="S21:S30">
    <cfRule type="cellIs" dxfId="884" priority="13" stopIfTrue="1" operator="lessThan">
      <formula>0</formula>
    </cfRule>
    <cfRule type="cellIs" dxfId="883" priority="14" operator="equal">
      <formula>MIN($E$21:$E$30)</formula>
    </cfRule>
  </conditionalFormatting>
  <conditionalFormatting sqref="S45:S54">
    <cfRule type="cellIs" dxfId="882" priority="6" stopIfTrue="1" operator="lessThan">
      <formula>0</formula>
    </cfRule>
    <cfRule type="cellIs" dxfId="881" priority="7" operator="equal">
      <formula>MIN($E$21:$E$30)</formula>
    </cfRule>
  </conditionalFormatting>
  <conditionalFormatting sqref="T21:T30">
    <cfRule type="cellIs" dxfId="880" priority="11" operator="equal">
      <formula>MAX($T$21:$T$30)</formula>
    </cfRule>
  </conditionalFormatting>
  <conditionalFormatting sqref="S33:S42">
    <cfRule type="cellIs" dxfId="879" priority="9" stopIfTrue="1" operator="lessThan">
      <formula>0</formula>
    </cfRule>
    <cfRule type="cellIs" dxfId="878" priority="10" operator="equal">
      <formula>MIN($E$21:$E$30)</formula>
    </cfRule>
  </conditionalFormatting>
  <conditionalFormatting sqref="T33:T42">
    <cfRule type="cellIs" dxfId="877" priority="8" operator="equal">
      <formula>MAX($T$21:$T$30)</formula>
    </cfRule>
  </conditionalFormatting>
  <conditionalFormatting sqref="T45:T54">
    <cfRule type="cellIs" dxfId="876" priority="5" operator="equal">
      <formula>MAX($T$21:$T$30)</formula>
    </cfRule>
  </conditionalFormatting>
  <conditionalFormatting sqref="S7:T16">
    <cfRule type="cellIs" dxfId="875" priority="1" operator="lessThanOrEqual">
      <formula>0</formula>
    </cfRule>
    <cfRule type="cellIs" dxfId="87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49" t="s">
        <v>125</v>
      </c>
      <c r="C2" s="155">
        <f>Analysis!B10</f>
        <v>0.61511098106420115</v>
      </c>
      <c r="D2" s="149" t="s">
        <v>126</v>
      </c>
      <c r="E2" s="155">
        <f>Analysis!F10</f>
        <v>0.3848890189357988</v>
      </c>
      <c r="F2" s="149" t="s">
        <v>47</v>
      </c>
      <c r="G2" s="155">
        <f>Analysis!S10</f>
        <v>1.7986623728274731</v>
      </c>
      <c r="H2" t="s">
        <v>155</v>
      </c>
      <c r="I2" s="169">
        <f>Analysis!T10</f>
        <v>-1.9039533703761744</v>
      </c>
      <c r="J2" t="s">
        <v>48</v>
      </c>
      <c r="K2" s="169">
        <f>C2*G2+E2*I2</f>
        <v>0.3735662319295775</v>
      </c>
      <c r="L2" t="s">
        <v>47</v>
      </c>
      <c r="M2" s="176">
        <v>1</v>
      </c>
      <c r="N2" t="s">
        <v>155</v>
      </c>
      <c r="O2" s="176">
        <v>3</v>
      </c>
    </row>
    <row r="4" spans="1:23" x14ac:dyDescent="0.2">
      <c r="A4" t="s">
        <v>123</v>
      </c>
      <c r="B4">
        <f>$C$2</f>
        <v>0.61511098106420115</v>
      </c>
      <c r="C4" t="s">
        <v>124</v>
      </c>
      <c r="D4">
        <f>$E$2</f>
        <v>0.3848890189357988</v>
      </c>
      <c r="E4" t="s">
        <v>47</v>
      </c>
      <c r="F4">
        <f>G2</f>
        <v>1.7986623728274731</v>
      </c>
      <c r="G4" t="s">
        <v>155</v>
      </c>
      <c r="H4">
        <f>I2</f>
        <v>-1.9039533703761744</v>
      </c>
      <c r="I4" t="s">
        <v>48</v>
      </c>
      <c r="J4">
        <f>K2</f>
        <v>0.3735662319295775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182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0.61511098106420115</v>
      </c>
      <c r="C7" s="95">
        <v>1</v>
      </c>
      <c r="D7" s="109">
        <f>C7*D4</f>
        <v>0.3848890189357988</v>
      </c>
      <c r="E7" s="110"/>
      <c r="F7" s="110"/>
      <c r="G7" s="110"/>
      <c r="H7" s="110"/>
      <c r="I7" s="110"/>
      <c r="J7" s="110"/>
      <c r="K7" s="110"/>
      <c r="L7" s="110"/>
      <c r="M7" s="258"/>
      <c r="N7" s="95">
        <f>B7+D7</f>
        <v>1</v>
      </c>
      <c r="R7" s="296">
        <f>B7-D7</f>
        <v>0.23022196212840235</v>
      </c>
      <c r="S7" s="297">
        <f>SUM(C7)*B4*F4*POWER(O2,A7-1)</f>
        <v>1.1063769767531708</v>
      </c>
      <c r="T7" s="276">
        <f>SUM(C7)*D4*H4*POWER(O2,A7-1)</f>
        <v>-0.73281074482359332</v>
      </c>
      <c r="U7" s="294">
        <f>S7+T7</f>
        <v>0.3735662319295775</v>
      </c>
      <c r="V7" s="109">
        <f>(U7+W7*D7)/B7</f>
        <v>1.2330380601451396</v>
      </c>
      <c r="W7" s="57">
        <f>COUNT(D7:M7)</f>
        <v>1</v>
      </c>
    </row>
    <row r="8" spans="1:23" x14ac:dyDescent="0.2">
      <c r="A8" s="99">
        <v>2</v>
      </c>
      <c r="B8" s="97">
        <f>C8*B4</f>
        <v>0.80590965937213388</v>
      </c>
      <c r="C8" s="97">
        <f>1/(1-B4*D4)</f>
        <v>1.3101857781466244</v>
      </c>
      <c r="D8" s="93">
        <f>C8*D4</f>
        <v>0.50427611877449041</v>
      </c>
      <c r="E8" s="1">
        <f>D8*D4</f>
        <v>0.19409034062786595</v>
      </c>
      <c r="F8" s="1"/>
      <c r="G8" s="1"/>
      <c r="H8" s="1"/>
      <c r="I8" s="1"/>
      <c r="J8" s="1"/>
      <c r="K8" s="1"/>
      <c r="L8" s="1"/>
      <c r="M8" s="257"/>
      <c r="N8" s="97">
        <f>B8+E8</f>
        <v>0.99999999999999978</v>
      </c>
      <c r="R8" s="298">
        <f>B8-E8</f>
        <v>0.61181931874426798</v>
      </c>
      <c r="S8" s="299">
        <f>SUM(C8:D8)*B4*F4*POWER(O2,A8-1)</f>
        <v>6.0224366038482202</v>
      </c>
      <c r="T8" s="277">
        <f>SUM(C8:D8)*D4*H4*POWER(O2,A8-1)</f>
        <v>-3.9889715224103766</v>
      </c>
      <c r="U8" s="295">
        <f>S8+T8+U7</f>
        <v>2.4070313133674213</v>
      </c>
      <c r="V8" s="93">
        <f>(U8+W8*E8)/B8</f>
        <v>3.4683937115244903</v>
      </c>
      <c r="W8" s="9">
        <f>COUNT(D8:M8)</f>
        <v>2</v>
      </c>
    </row>
    <row r="9" spans="1:23" x14ac:dyDescent="0.2">
      <c r="A9" s="99">
        <v>3</v>
      </c>
      <c r="B9" s="97">
        <f>C9*B4</f>
        <v>0.89170527596768934</v>
      </c>
      <c r="C9" s="97">
        <f>1/(1-D4*B4/(1-D4*B4))</f>
        <v>1.4496656756557222</v>
      </c>
      <c r="D9" s="93">
        <f>C9*D4*C8</f>
        <v>0.73103178044026684</v>
      </c>
      <c r="E9" s="1">
        <f>D9*(D4)</f>
        <v>0.2813661047845446</v>
      </c>
      <c r="F9" s="1">
        <f>E9*D4</f>
        <v>0.10829472403231054</v>
      </c>
      <c r="G9" s="1"/>
      <c r="H9" s="1"/>
      <c r="I9" s="1"/>
      <c r="J9" s="1"/>
      <c r="K9" s="1"/>
      <c r="L9" s="1"/>
      <c r="M9" s="257"/>
      <c r="N9" s="97">
        <f>B9+F9</f>
        <v>0.99999999999999989</v>
      </c>
      <c r="R9" s="298">
        <f>B9-F9</f>
        <v>0.78341055193537878</v>
      </c>
      <c r="S9" s="299">
        <f>SUM(C9:E9)*B4*F4*POWER(O2,A9-1)</f>
        <v>24.515733951550363</v>
      </c>
      <c r="T9" s="277">
        <f>SUM(C9:E9)*D4*H4*POWER(O2,A9-1)</f>
        <v>-16.23803968666703</v>
      </c>
      <c r="U9" s="295">
        <f t="shared" ref="U9:U16" si="0">S9+T9+U8</f>
        <v>10.684725578250754</v>
      </c>
      <c r="V9" s="93">
        <f>(U9+W9*F9)/B9</f>
        <v>12.346691274647808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0.93653786476261258</v>
      </c>
      <c r="C10" s="97">
        <f>1/(1-D4*B4/(1-D4*B4/(1-D4*B4)))</f>
        <v>1.5225510413459242</v>
      </c>
      <c r="D10" s="93">
        <f>C10*D4*C9</f>
        <v>0.8495231875748025</v>
      </c>
      <c r="E10" s="1">
        <f>D10*D4*C8</f>
        <v>0.4283942558391548</v>
      </c>
      <c r="F10" s="1">
        <f>E10*D4</f>
        <v>0.1648842448476639</v>
      </c>
      <c r="G10" s="1">
        <f>F10*D4</f>
        <v>6.346213523738739E-2</v>
      </c>
      <c r="H10" s="1"/>
      <c r="I10" s="1"/>
      <c r="J10" s="1"/>
      <c r="K10" s="1"/>
      <c r="L10" s="1"/>
      <c r="M10" s="257"/>
      <c r="N10" s="97">
        <f>B10+G10</f>
        <v>1</v>
      </c>
      <c r="R10" s="298">
        <f>B10-G10</f>
        <v>0.87307572952522516</v>
      </c>
      <c r="S10" s="299">
        <f>SUM(C10:F10)*B4*F4*POWER(O2,A10-1)</f>
        <v>88.58154567572889</v>
      </c>
      <c r="T10" s="277">
        <f>SUM(C10:F10)*D4*H4*POWER(O2,A10-1)</f>
        <v>-58.672143246106288</v>
      </c>
      <c r="U10" s="295">
        <f t="shared" si="0"/>
        <v>40.594128007873358</v>
      </c>
      <c r="V10" s="93">
        <f>(U10+W10*G10)/B10</f>
        <v>43.615937044015602</v>
      </c>
      <c r="W10" s="9">
        <f t="shared" si="1"/>
        <v>4</v>
      </c>
    </row>
    <row r="11" spans="1:23" x14ac:dyDescent="0.2">
      <c r="A11" s="99">
        <v>5</v>
      </c>
      <c r="B11" s="97">
        <f>C11*B4</f>
        <v>0.96180692545267643</v>
      </c>
      <c r="C11" s="97">
        <f>1/(1-D4*B4/(1-D4*B4/(1-D4*B4/(1-D4*B4))))</f>
        <v>1.5636315316443514</v>
      </c>
      <c r="D11" s="93">
        <f>C11*D4*C10</f>
        <v>0.91630868086473538</v>
      </c>
      <c r="E11" s="1">
        <f>D11*D4*C9</f>
        <v>0.5112639578129019</v>
      </c>
      <c r="F11" s="1">
        <f>E11*D4*C8</f>
        <v>0.25781820431517494</v>
      </c>
      <c r="G11" s="1">
        <f>F11*D4</f>
        <v>9.9231395722657004E-2</v>
      </c>
      <c r="H11" s="1">
        <f>G11*D4</f>
        <v>3.8193074547323479E-2</v>
      </c>
      <c r="I11" s="1"/>
      <c r="J11" s="1"/>
      <c r="K11" s="1"/>
      <c r="L11" s="1"/>
      <c r="M11" s="257"/>
      <c r="N11" s="97">
        <f>B11+H11</f>
        <v>0.99999999999999989</v>
      </c>
      <c r="R11" s="298">
        <f>B11-H11</f>
        <v>0.92361385090535297</v>
      </c>
      <c r="S11" s="299">
        <f>SUM(C11:G11)*B4*F4*POWER(O2,A11-1)</f>
        <v>300.05890159210145</v>
      </c>
      <c r="T11" s="277">
        <f>SUM(C11:G11)*D4*H4*POWER(O2,A11-1)</f>
        <v>-198.74454348457857</v>
      </c>
      <c r="U11" s="295">
        <f t="shared" si="0"/>
        <v>141.90848611539624</v>
      </c>
      <c r="V11" s="93">
        <f>(U11+W11*H11)/B11</f>
        <v>147.74217956608439</v>
      </c>
      <c r="W11" s="9">
        <f t="shared" si="1"/>
        <v>5</v>
      </c>
    </row>
    <row r="12" spans="1:23" x14ac:dyDescent="0.2">
      <c r="A12" s="99">
        <v>6</v>
      </c>
      <c r="B12" s="97">
        <f>C12*B4</f>
        <v>0.9766595165574159</v>
      </c>
      <c r="C12" s="97">
        <f>1/(1-D4*B4/(1-D4*B4/(1-D4*B4/(1-D4*B4/(1-D4*B4)))))</f>
        <v>1.5877777289355184</v>
      </c>
      <c r="D12" s="93">
        <f>C12*D4*C11</f>
        <v>0.95556370643653021</v>
      </c>
      <c r="E12" s="1">
        <f>D12*D4*C10</f>
        <v>0.55997292303659418</v>
      </c>
      <c r="F12" s="1">
        <f>E12*D4*C9</f>
        <v>0.31244271595197415</v>
      </c>
      <c r="G12" s="1">
        <f>F12*D4*C8</f>
        <v>0.15755740013962208</v>
      </c>
      <c r="H12" s="1">
        <f>G12*D4</f>
        <v>6.0642113165814228E-2</v>
      </c>
      <c r="I12" s="1">
        <f>H12*D4</f>
        <v>2.3340483442583927E-2</v>
      </c>
      <c r="J12" s="1"/>
      <c r="K12" s="1"/>
      <c r="L12" s="1"/>
      <c r="M12" s="257"/>
      <c r="N12" s="97">
        <f>B12+I12</f>
        <v>0.99999999999999978</v>
      </c>
      <c r="R12" s="298">
        <f>B12-I12</f>
        <v>0.95331903311483202</v>
      </c>
      <c r="S12" s="299">
        <f>SUM(C12:H12)*B4*F4*POWER(O2,A12-1)</f>
        <v>976.9877944567595</v>
      </c>
      <c r="T12" s="277">
        <f>SUM(C12:H12)*D4*H4*POWER(O2,A12-1)</f>
        <v>-647.10959138039175</v>
      </c>
      <c r="U12" s="295">
        <f t="shared" si="0"/>
        <v>471.78668919176403</v>
      </c>
      <c r="V12" s="93">
        <f>(U12+W12*I12)/B12</f>
        <v>483.20496968676787</v>
      </c>
      <c r="W12" s="9">
        <f t="shared" si="1"/>
        <v>6</v>
      </c>
    </row>
    <row r="13" spans="1:23" x14ac:dyDescent="0.2">
      <c r="A13" s="99">
        <v>7</v>
      </c>
      <c r="B13" s="97">
        <f>C13*B4</f>
        <v>0.98560555155171359</v>
      </c>
      <c r="C13" s="97">
        <f>1/(1-D4*B4/(1-D4*B4/(1-D4*B4/(1-D4*B4/(1-D4*B4/(1-D4*B4))))))</f>
        <v>1.6023215027742168</v>
      </c>
      <c r="D13" s="93">
        <f>C13*D4*C12</f>
        <v>0.97920785243037389</v>
      </c>
      <c r="E13" s="1">
        <f>D13*D4*C11</f>
        <v>0.58931138016870543</v>
      </c>
      <c r="F13" s="1">
        <f>E13*D4*C10</f>
        <v>0.34534423388935864</v>
      </c>
      <c r="G13" s="1">
        <f>F13*D4*C9</f>
        <v>0.19268840677086405</v>
      </c>
      <c r="H13" s="1">
        <f>G13*D4*C8</f>
        <v>9.7168161899251551E-2</v>
      </c>
      <c r="I13" s="1">
        <f>H13*D4</f>
        <v>3.7398958505197796E-2</v>
      </c>
      <c r="J13" s="1">
        <f>I13*D4</f>
        <v>1.4394448448286228E-2</v>
      </c>
      <c r="K13" s="1"/>
      <c r="L13" s="1"/>
      <c r="M13" s="257"/>
      <c r="N13" s="97">
        <f>B13+J13</f>
        <v>0.99999999999999978</v>
      </c>
      <c r="R13" s="298">
        <f>B13-J13</f>
        <v>0.9712111031034274</v>
      </c>
      <c r="S13" s="299">
        <f>SUM(C13:I13)*B4*F4*POWER(O2,A13-1)</f>
        <v>3099.9223819724348</v>
      </c>
      <c r="T13" s="277">
        <f>SUM(C13:I13)*D4*H4*POWER(O2,A13-1)</f>
        <v>-2053.2390653094244</v>
      </c>
      <c r="U13" s="295">
        <f t="shared" si="0"/>
        <v>1518.4700058547744</v>
      </c>
      <c r="V13" s="93">
        <f>(U13+W13*J13)/B13</f>
        <v>1540.7489990322308</v>
      </c>
      <c r="W13" s="9">
        <f t="shared" si="1"/>
        <v>7</v>
      </c>
    </row>
    <row r="14" spans="1:23" x14ac:dyDescent="0.2">
      <c r="A14" s="99">
        <v>8</v>
      </c>
      <c r="B14" s="97">
        <f>C14*B4</f>
        <v>0.9910734648882864</v>
      </c>
      <c r="C14" s="97">
        <f>1/(1-D4*B4/(1-D4*B4/(1-D4*B4/(1-D4*B4/(1-D4*B4/(1-D4*B4/(1-D4*B4)))))))</f>
        <v>1.6112108146299615</v>
      </c>
      <c r="D14" s="93">
        <f>C14*D4*C13</f>
        <v>0.99365941016450099</v>
      </c>
      <c r="E14" s="1">
        <f>D14*D4*C12</f>
        <v>0.60724336245240951</v>
      </c>
      <c r="F14" s="1">
        <f>E14*D4*C11</f>
        <v>0.36545399747042984</v>
      </c>
      <c r="G14" s="1">
        <f>F14*D4*C10</f>
        <v>0.21416085795271611</v>
      </c>
      <c r="H14" s="1">
        <f>G14*D4*C9</f>
        <v>0.1194932779008295</v>
      </c>
      <c r="I14" s="1">
        <f>H14*D4*C8</f>
        <v>6.0257606399471884E-2</v>
      </c>
      <c r="J14" s="1">
        <f>I14*D4</f>
        <v>2.3192491010512246E-2</v>
      </c>
      <c r="K14" s="1">
        <f>J14*D4</f>
        <v>8.9265351117133913E-3</v>
      </c>
      <c r="L14" s="1"/>
      <c r="M14" s="257"/>
      <c r="N14" s="97">
        <f>B14+K14</f>
        <v>0.99999999999999978</v>
      </c>
      <c r="R14" s="298">
        <f>B14-K14</f>
        <v>0.98214692977657303</v>
      </c>
      <c r="S14" s="299">
        <f>SUM(C14:J14)*B4*F4*POWER(O2,A14-1)</f>
        <v>9665.6934759389114</v>
      </c>
      <c r="T14" s="277">
        <f>SUM(C14:J14)*D4*H4*POWER(O2,A14-1)</f>
        <v>-6402.0891469793869</v>
      </c>
      <c r="U14" s="295">
        <f t="shared" si="0"/>
        <v>4782.0743348142987</v>
      </c>
      <c r="V14" s="93">
        <f>(U14+W14*K14)/B14</f>
        <v>4825.2182270203703</v>
      </c>
      <c r="W14" s="9">
        <f t="shared" si="1"/>
        <v>8</v>
      </c>
    </row>
    <row r="15" spans="1:23" x14ac:dyDescent="0.2">
      <c r="A15" s="99">
        <v>9</v>
      </c>
      <c r="B15" s="97">
        <f>C15*B4</f>
        <v>0.99444548761465845</v>
      </c>
      <c r="C15" s="97">
        <f>1/(1-D4*B4/(1-D4*B4/(1-D4*B4/(1-D4*B4/(1-D4*B4/(1-D4*B4/(1-D4*B4/(1-D4*B4))))))))</f>
        <v>1.616692789151922</v>
      </c>
      <c r="D15" s="93">
        <f>C15*D4*C14</f>
        <v>1.0025715816111496</v>
      </c>
      <c r="E15" s="1">
        <f>D15*D4*C13</f>
        <v>0.6183018866219695</v>
      </c>
      <c r="F15" s="1">
        <f>E15*D4*C12</f>
        <v>0.37785554366242613</v>
      </c>
      <c r="G15" s="1">
        <f>F15*D4*C11</f>
        <v>0.22740276376198082</v>
      </c>
      <c r="H15" s="1">
        <f>G15*D4*C10</f>
        <v>0.13326101595598275</v>
      </c>
      <c r="I15" s="1">
        <f>H15*D4*C9</f>
        <v>7.4354369725633446E-2</v>
      </c>
      <c r="J15" s="1">
        <f>I15*D4*C8</f>
        <v>3.7495132979165909E-2</v>
      </c>
      <c r="K15" s="1">
        <f>J15*D4</f>
        <v>1.4431464947218482E-2</v>
      </c>
      <c r="L15" s="1">
        <f>K15*D4</f>
        <v>5.5545123853412912E-3</v>
      </c>
      <c r="M15" s="257"/>
      <c r="N15" s="97">
        <f>B15+L15</f>
        <v>0.99999999999999978</v>
      </c>
      <c r="R15" s="298">
        <f>B15-L15</f>
        <v>0.98889097522931713</v>
      </c>
      <c r="S15" s="299">
        <f>SUM(C15:K15)*B4*F4*POWER(O2,A15-1)</f>
        <v>29778.829943776007</v>
      </c>
      <c r="T15" s="277">
        <f>SUM(C15:K15)*D4*H4*POWER(O2,A15-1)</f>
        <v>-19724.060613692698</v>
      </c>
      <c r="U15" s="295">
        <f t="shared" si="0"/>
        <v>14836.843664897608</v>
      </c>
      <c r="V15" s="93">
        <f>(U15+W15*L15)/B15</f>
        <v>14919.765678758131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0.99653645233016519</v>
      </c>
      <c r="C16" s="145">
        <f>1/(1-D4*B4/(1-D4*B4/(1-D4*B4/(1-D4*B4/(1-D4*B4/(1-D4*B4/(1-D4*B4/(1-D4*B4/(1-D4*B4)))))))))</f>
        <v>1.6200921183459631</v>
      </c>
      <c r="D16" s="94">
        <f>C16*D4*C15</f>
        <v>1.0080979488825645</v>
      </c>
      <c r="E16" s="111">
        <f>D16*D4*C14</f>
        <v>0.62515919030005218</v>
      </c>
      <c r="F16" s="111">
        <f>E16*D4*C13</f>
        <v>0.38554564471138653</v>
      </c>
      <c r="G16" s="111">
        <f>F16*D4*C12</f>
        <v>0.23561396518618549</v>
      </c>
      <c r="H16" s="111">
        <f>G16*D4*C11</f>
        <v>0.14179828181143508</v>
      </c>
      <c r="I16" s="111">
        <f>H16*D4*C10</f>
        <v>8.3095661558374695E-2</v>
      </c>
      <c r="J16" s="111">
        <f>I16*D4*C9</f>
        <v>4.636408853545225E-2</v>
      </c>
      <c r="K16" s="111">
        <f>J16*D4*C8</f>
        <v>2.3380302617174709E-2</v>
      </c>
      <c r="L16" s="111">
        <f>K16*D4</f>
        <v>8.998821736746463E-3</v>
      </c>
      <c r="M16" s="259">
        <f>L16*D4</f>
        <v>3.4635476698344873E-3</v>
      </c>
      <c r="N16" s="145">
        <f>B16+M16</f>
        <v>0.99999999999999967</v>
      </c>
      <c r="R16" s="300">
        <f>B16-M16</f>
        <v>0.99307290466033071</v>
      </c>
      <c r="S16" s="301">
        <f>SUM(C16:L16)*B4*F4*POWER(O2,A16-1)</f>
        <v>90986.725674905756</v>
      </c>
      <c r="T16" s="278">
        <f>SUM(C16:L16)*D4*H4*POWER(O2,A16-1)</f>
        <v>-60265.218466998944</v>
      </c>
      <c r="U16" s="295">
        <f t="shared" si="0"/>
        <v>45558.350872804418</v>
      </c>
      <c r="V16" s="94">
        <f>(U16+W16*M16)/B16</f>
        <v>45716.72757354092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6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>B21*$O$2</f>
        <v>3</v>
      </c>
      <c r="D21" s="57">
        <f>SUM($C$21:C21)</f>
        <v>3</v>
      </c>
      <c r="E21" s="57">
        <f t="shared" ref="E21:E30" si="2">D21/R7</f>
        <v>13.030902752565376</v>
      </c>
      <c r="F21" s="8">
        <f t="shared" ref="F21:F30" si="3">U7/E21</f>
        <v>2.8667716966580385E-2</v>
      </c>
      <c r="G21" s="281">
        <f>E21*U7</f>
        <v>4.867905239916607</v>
      </c>
      <c r="O21" s="101">
        <v>1</v>
      </c>
      <c r="P21" s="109">
        <v>1</v>
      </c>
      <c r="Q21" s="110">
        <f>P21*3+3</f>
        <v>6</v>
      </c>
      <c r="R21" s="57">
        <f>SUM($Q$21)</f>
        <v>6</v>
      </c>
      <c r="S21" s="191">
        <f>R21/R7</f>
        <v>26.061805505130753</v>
      </c>
      <c r="T21" s="8">
        <f>U7/S21</f>
        <v>1.4333858483290192E-2</v>
      </c>
      <c r="U21" s="281">
        <f>S21*U7</f>
        <v>9.7358104798332139</v>
      </c>
    </row>
    <row r="22" spans="1:21" x14ac:dyDescent="0.2">
      <c r="A22" s="97">
        <v>2</v>
      </c>
      <c r="B22" s="93">
        <f>C21</f>
        <v>3</v>
      </c>
      <c r="C22" s="1">
        <f t="shared" ref="C22:C30" si="4">B22*$O$2</f>
        <v>9</v>
      </c>
      <c r="D22" s="9">
        <f>SUM($C$21:C22)</f>
        <v>12</v>
      </c>
      <c r="E22" s="9">
        <f t="shared" si="2"/>
        <v>19.613633686215511</v>
      </c>
      <c r="F22" s="9">
        <f t="shared" si="3"/>
        <v>0.12272235486171469</v>
      </c>
      <c r="G22" s="282">
        <f t="shared" ref="G22:G30" si="5">E22*U8</f>
        <v>47.210630451638821</v>
      </c>
      <c r="O22" s="99">
        <v>2</v>
      </c>
      <c r="P22" s="93">
        <f>Q21</f>
        <v>6</v>
      </c>
      <c r="Q22" s="1">
        <f>P22*3+3</f>
        <v>21</v>
      </c>
      <c r="R22" s="9">
        <f>SUM($Q$21:Q22)</f>
        <v>27</v>
      </c>
      <c r="S22" s="192">
        <f t="shared" ref="S22:S30" si="6">R22/R8</f>
        <v>44.130675793984899</v>
      </c>
      <c r="T22" s="9">
        <f>U8/S22</f>
        <v>5.4543268827428756E-2</v>
      </c>
      <c r="U22" s="282">
        <f t="shared" ref="U22:U30" si="7">S22*U8</f>
        <v>106.22391851618734</v>
      </c>
    </row>
    <row r="23" spans="1:21" x14ac:dyDescent="0.2">
      <c r="A23" s="97">
        <v>3</v>
      </c>
      <c r="B23" s="93">
        <f t="shared" ref="B23:B30" si="8">C22</f>
        <v>9</v>
      </c>
      <c r="C23" s="1">
        <f t="shared" si="4"/>
        <v>27</v>
      </c>
      <c r="D23" s="9">
        <f>SUM($C$21:C23)</f>
        <v>39</v>
      </c>
      <c r="E23" s="9">
        <f t="shared" si="2"/>
        <v>49.782326653186303</v>
      </c>
      <c r="F23" s="9">
        <f t="shared" si="3"/>
        <v>0.21462889134706367</v>
      </c>
      <c r="G23" s="282">
        <f t="shared" si="5"/>
        <v>531.91049893613399</v>
      </c>
      <c r="O23" s="99">
        <v>3</v>
      </c>
      <c r="P23" s="93">
        <f t="shared" ref="P23:P30" si="9">Q22</f>
        <v>21</v>
      </c>
      <c r="Q23" s="1">
        <f t="shared" ref="Q23:Q30" si="10">P23*3+3</f>
        <v>66</v>
      </c>
      <c r="R23" s="9">
        <f>SUM($Q$21:Q23)</f>
        <v>93</v>
      </c>
      <c r="S23" s="192">
        <f t="shared" si="6"/>
        <v>118.71170201913657</v>
      </c>
      <c r="T23" s="9">
        <f t="shared" ref="T23:T30" si="11">U9/S23</f>
        <v>9.0005664113284756E-2</v>
      </c>
      <c r="U23" s="282">
        <f t="shared" si="7"/>
        <v>1268.4019590015503</v>
      </c>
    </row>
    <row r="24" spans="1:21" x14ac:dyDescent="0.2">
      <c r="A24" s="97">
        <v>4</v>
      </c>
      <c r="B24" s="93">
        <f t="shared" si="8"/>
        <v>27</v>
      </c>
      <c r="C24" s="1">
        <f t="shared" si="4"/>
        <v>81</v>
      </c>
      <c r="D24" s="9">
        <f>SUM($C$21:C24)</f>
        <v>120</v>
      </c>
      <c r="E24" s="9">
        <f t="shared" si="2"/>
        <v>137.44512181693045</v>
      </c>
      <c r="F24" s="9">
        <f t="shared" si="3"/>
        <v>0.29534789937428674</v>
      </c>
      <c r="G24" s="282">
        <f t="shared" si="5"/>
        <v>5579.4648690942222</v>
      </c>
      <c r="O24" s="99">
        <v>4</v>
      </c>
      <c r="P24" s="93">
        <f t="shared" si="9"/>
        <v>66</v>
      </c>
      <c r="Q24" s="1">
        <f t="shared" si="10"/>
        <v>201</v>
      </c>
      <c r="R24" s="9">
        <f>SUM($Q$21:Q24)</f>
        <v>294</v>
      </c>
      <c r="S24" s="192">
        <f t="shared" si="6"/>
        <v>336.74054845147964</v>
      </c>
      <c r="T24" s="9">
        <f t="shared" si="11"/>
        <v>0.12055016300991295</v>
      </c>
      <c r="U24" s="282">
        <f t="shared" si="7"/>
        <v>13669.688929280845</v>
      </c>
    </row>
    <row r="25" spans="1:21" x14ac:dyDescent="0.2">
      <c r="A25" s="97">
        <v>5</v>
      </c>
      <c r="B25" s="93">
        <f t="shared" si="8"/>
        <v>81</v>
      </c>
      <c r="C25" s="1">
        <f t="shared" si="4"/>
        <v>243</v>
      </c>
      <c r="D25" s="9">
        <f>SUM($C$21:C25)</f>
        <v>363</v>
      </c>
      <c r="E25" s="9">
        <f t="shared" si="2"/>
        <v>393.02139053477481</v>
      </c>
      <c r="F25" s="9">
        <f t="shared" si="3"/>
        <v>0.36107064280217616</v>
      </c>
      <c r="G25" s="282">
        <f t="shared" si="5"/>
        <v>55773.070541757814</v>
      </c>
      <c r="O25" s="99">
        <v>5</v>
      </c>
      <c r="P25" s="93">
        <f t="shared" si="9"/>
        <v>201</v>
      </c>
      <c r="Q25" s="1">
        <f t="shared" si="10"/>
        <v>606</v>
      </c>
      <c r="R25" s="9">
        <f>SUM($Q$21:Q25)</f>
        <v>900</v>
      </c>
      <c r="S25" s="9">
        <f t="shared" si="6"/>
        <v>974.43319967299533</v>
      </c>
      <c r="T25" s="9">
        <f t="shared" si="11"/>
        <v>0.14563182593021104</v>
      </c>
      <c r="U25" s="282">
        <f t="shared" si="7"/>
        <v>138280.34018617639</v>
      </c>
    </row>
    <row r="26" spans="1:21" x14ac:dyDescent="0.2">
      <c r="A26" s="97">
        <v>6</v>
      </c>
      <c r="B26" s="93">
        <f t="shared" si="8"/>
        <v>243</v>
      </c>
      <c r="C26" s="1">
        <f t="shared" si="4"/>
        <v>729</v>
      </c>
      <c r="D26" s="9">
        <f>SUM($C$21:C26)</f>
        <v>1092</v>
      </c>
      <c r="E26" s="9">
        <f t="shared" si="2"/>
        <v>1145.4717277930013</v>
      </c>
      <c r="F26" s="9">
        <f t="shared" si="3"/>
        <v>0.41187109008858996</v>
      </c>
      <c r="G26" s="282">
        <f t="shared" si="5"/>
        <v>540418.3140182296</v>
      </c>
      <c r="O26" s="99">
        <v>6</v>
      </c>
      <c r="P26" s="93">
        <f t="shared" si="9"/>
        <v>606</v>
      </c>
      <c r="Q26" s="1">
        <f t="shared" si="10"/>
        <v>1821</v>
      </c>
      <c r="R26" s="9">
        <f>SUM($Q$21:Q26)</f>
        <v>2721</v>
      </c>
      <c r="S26" s="9">
        <f t="shared" si="6"/>
        <v>2854.2386184292641</v>
      </c>
      <c r="T26" s="9">
        <f t="shared" si="11"/>
        <v>0.16529335919762597</v>
      </c>
      <c r="U26" s="282">
        <f t="shared" si="7"/>
        <v>1346591.7879520173</v>
      </c>
    </row>
    <row r="27" spans="1:21" x14ac:dyDescent="0.2">
      <c r="A27" s="97">
        <v>7</v>
      </c>
      <c r="B27" s="93">
        <f t="shared" si="8"/>
        <v>729</v>
      </c>
      <c r="C27" s="1">
        <f t="shared" si="4"/>
        <v>2187</v>
      </c>
      <c r="D27" s="9">
        <f>SUM($C$21:C27)</f>
        <v>3279</v>
      </c>
      <c r="E27" s="9">
        <f t="shared" si="2"/>
        <v>3376.1969869601139</v>
      </c>
      <c r="F27" s="9">
        <f t="shared" si="3"/>
        <v>0.44975752650676526</v>
      </c>
      <c r="G27" s="282">
        <f t="shared" si="5"/>
        <v>5126653.8585561961</v>
      </c>
      <c r="O27" s="99">
        <v>7</v>
      </c>
      <c r="P27" s="93">
        <f t="shared" si="9"/>
        <v>1821</v>
      </c>
      <c r="Q27" s="1">
        <f t="shared" si="10"/>
        <v>5466</v>
      </c>
      <c r="R27" s="9">
        <f>SUM($Q$21:Q27)</f>
        <v>8187</v>
      </c>
      <c r="S27" s="9">
        <f t="shared" si="6"/>
        <v>8429.6812236177047</v>
      </c>
      <c r="T27" s="9">
        <f t="shared" si="11"/>
        <v>0.18013374000435853</v>
      </c>
      <c r="U27" s="282">
        <f t="shared" si="7"/>
        <v>12800218.096980657</v>
      </c>
    </row>
    <row r="28" spans="1:21" x14ac:dyDescent="0.2">
      <c r="A28" s="97">
        <v>8</v>
      </c>
      <c r="B28" s="93">
        <f t="shared" si="8"/>
        <v>2187</v>
      </c>
      <c r="C28" s="1">
        <f t="shared" si="4"/>
        <v>6561</v>
      </c>
      <c r="D28" s="9">
        <f>SUM($C$21:C28)</f>
        <v>9840</v>
      </c>
      <c r="E28" s="9">
        <f t="shared" si="2"/>
        <v>10018.86754585537</v>
      </c>
      <c r="F28" s="9">
        <f t="shared" si="3"/>
        <v>0.47730687255093607</v>
      </c>
      <c r="G28" s="282">
        <f t="shared" si="5"/>
        <v>47910969.35493888</v>
      </c>
      <c r="O28" s="99">
        <v>8</v>
      </c>
      <c r="P28" s="93">
        <f t="shared" si="9"/>
        <v>5466</v>
      </c>
      <c r="Q28" s="1">
        <f t="shared" si="10"/>
        <v>16401</v>
      </c>
      <c r="R28" s="9">
        <f>SUM($Q$21:Q28)</f>
        <v>24588</v>
      </c>
      <c r="S28" s="9">
        <f t="shared" si="6"/>
        <v>25034.95073348494</v>
      </c>
      <c r="T28" s="9">
        <f t="shared" si="11"/>
        <v>0.19101592752160448</v>
      </c>
      <c r="U28" s="282">
        <f t="shared" si="7"/>
        <v>119718995.37593874</v>
      </c>
    </row>
    <row r="29" spans="1:21" x14ac:dyDescent="0.2">
      <c r="A29" s="97">
        <v>9</v>
      </c>
      <c r="B29" s="93">
        <f t="shared" si="8"/>
        <v>6561</v>
      </c>
      <c r="C29" s="1">
        <f t="shared" si="4"/>
        <v>19683</v>
      </c>
      <c r="D29" s="9">
        <f>SUM($C$21:C29)</f>
        <v>29523</v>
      </c>
      <c r="E29" s="9">
        <f t="shared" si="2"/>
        <v>29854.65611429391</v>
      </c>
      <c r="F29" s="9">
        <f t="shared" si="3"/>
        <v>0.49696916983726286</v>
      </c>
      <c r="G29" s="282">
        <f t="shared" si="5"/>
        <v>442948865.43705821</v>
      </c>
      <c r="O29" s="99">
        <v>9</v>
      </c>
      <c r="P29" s="93">
        <f t="shared" si="9"/>
        <v>16401</v>
      </c>
      <c r="Q29" s="1">
        <f t="shared" si="10"/>
        <v>49206</v>
      </c>
      <c r="R29" s="9">
        <f>SUM($Q$21:Q29)</f>
        <v>73794</v>
      </c>
      <c r="S29" s="9">
        <f t="shared" si="6"/>
        <v>74622.98862914354</v>
      </c>
      <c r="T29" s="9">
        <f t="shared" si="11"/>
        <v>0.19882403448932856</v>
      </c>
      <c r="U29" s="282">
        <f t="shared" si="7"/>
        <v>1107169616.0980346</v>
      </c>
    </row>
    <row r="30" spans="1:21" ht="17" thickBot="1" x14ac:dyDescent="0.25">
      <c r="A30" s="145">
        <v>10</v>
      </c>
      <c r="B30" s="94">
        <f t="shared" si="8"/>
        <v>19683</v>
      </c>
      <c r="C30" s="111">
        <f t="shared" si="4"/>
        <v>59049</v>
      </c>
      <c r="D30" s="10">
        <f>SUM($C$21:C30)</f>
        <v>88572</v>
      </c>
      <c r="E30" s="10">
        <f t="shared" si="2"/>
        <v>89189.826431016205</v>
      </c>
      <c r="F30" s="9">
        <f t="shared" si="3"/>
        <v>0.51080210261471337</v>
      </c>
      <c r="G30" s="283">
        <f t="shared" si="5"/>
        <v>4063341406.8287616</v>
      </c>
      <c r="O30" s="100">
        <v>10</v>
      </c>
      <c r="P30" s="94">
        <f t="shared" si="9"/>
        <v>49206</v>
      </c>
      <c r="Q30" s="111">
        <f t="shared" si="10"/>
        <v>147621</v>
      </c>
      <c r="R30" s="10">
        <f>SUM($Q$21:Q30)</f>
        <v>221415</v>
      </c>
      <c r="S30" s="10">
        <f t="shared" si="6"/>
        <v>222959.46144631997</v>
      </c>
      <c r="T30" s="10">
        <f t="shared" si="11"/>
        <v>0.20433468298349433</v>
      </c>
      <c r="U30" s="283">
        <f t="shared" si="7"/>
        <v>10157665374.982954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6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3</v>
      </c>
      <c r="D33" s="57">
        <f>SUM($C$33:C33)</f>
        <v>3</v>
      </c>
      <c r="E33" s="8">
        <f t="shared" ref="E33:E42" si="13">D33/R7</f>
        <v>13.030902752565376</v>
      </c>
      <c r="F33" s="8">
        <f t="shared" ref="F33:F42" si="14">U7/E33</f>
        <v>2.8667716966580385E-2</v>
      </c>
      <c r="G33" s="284">
        <f>E33*U7</f>
        <v>4.867905239916607</v>
      </c>
      <c r="O33" s="101">
        <v>1</v>
      </c>
      <c r="P33" s="109">
        <v>1</v>
      </c>
      <c r="Q33" s="110">
        <f>P33*3+3</f>
        <v>6</v>
      </c>
      <c r="R33" s="57">
        <f>SUM($Q$21)</f>
        <v>6</v>
      </c>
      <c r="S33" s="276">
        <f>R33/R7</f>
        <v>26.061805505130753</v>
      </c>
      <c r="T33" s="8">
        <f>U7/S33</f>
        <v>1.4333858483290192E-2</v>
      </c>
      <c r="U33" s="284">
        <f>S33*U7</f>
        <v>9.7358104798332139</v>
      </c>
    </row>
    <row r="34" spans="1:21" x14ac:dyDescent="0.2">
      <c r="A34" s="97">
        <v>2</v>
      </c>
      <c r="B34" s="93">
        <f t="shared" ref="B34:B42" si="15">B33*($O$2+1)</f>
        <v>4</v>
      </c>
      <c r="C34" s="1">
        <f t="shared" si="12"/>
        <v>12</v>
      </c>
      <c r="D34" s="9">
        <f>SUM($C$33:C34)</f>
        <v>15</v>
      </c>
      <c r="E34" s="9">
        <f t="shared" si="13"/>
        <v>24.517042107769388</v>
      </c>
      <c r="F34" s="9">
        <f t="shared" si="14"/>
        <v>9.8177883889371764E-2</v>
      </c>
      <c r="G34" s="282">
        <f t="shared" ref="G34:G42" si="16">E34*U8</f>
        <v>59.013288064548519</v>
      </c>
      <c r="O34" s="99">
        <v>2</v>
      </c>
      <c r="P34" s="93">
        <f>Q33+1</f>
        <v>7</v>
      </c>
      <c r="Q34" s="1">
        <f t="shared" ref="Q34:Q42" si="17">P34*3+3</f>
        <v>24</v>
      </c>
      <c r="R34" s="9">
        <f>SUM($Q$33:Q34)</f>
        <v>30</v>
      </c>
      <c r="S34" s="277">
        <f>R34/R8</f>
        <v>49.034084215538776</v>
      </c>
      <c r="T34" s="9">
        <f t="shared" ref="T34:T42" si="18">U8/S34</f>
        <v>4.9088941944685882E-2</v>
      </c>
      <c r="U34" s="282">
        <f t="shared" ref="U34:U42" si="19">S34*U8</f>
        <v>118.02657612909704</v>
      </c>
    </row>
    <row r="35" spans="1:21" x14ac:dyDescent="0.2">
      <c r="A35" s="97">
        <v>3</v>
      </c>
      <c r="B35" s="93">
        <f t="shared" si="15"/>
        <v>16</v>
      </c>
      <c r="C35" s="1">
        <f t="shared" si="12"/>
        <v>48</v>
      </c>
      <c r="D35" s="9">
        <f>SUM($C$33:C35)</f>
        <v>63</v>
      </c>
      <c r="E35" s="9">
        <f t="shared" si="13"/>
        <v>80.417604593608644</v>
      </c>
      <c r="F35" s="9">
        <f t="shared" si="14"/>
        <v>0.13286550416722989</v>
      </c>
      <c r="G35" s="282">
        <f t="shared" si="16"/>
        <v>859.24003674298558</v>
      </c>
      <c r="O35" s="99">
        <v>3</v>
      </c>
      <c r="P35" s="93">
        <f t="shared" ref="P35:P42" si="20">Q34+1</f>
        <v>25</v>
      </c>
      <c r="Q35" s="1">
        <f t="shared" si="17"/>
        <v>78</v>
      </c>
      <c r="R35" s="9">
        <f>SUM($Q$33:Q35)</f>
        <v>108</v>
      </c>
      <c r="S35" s="277">
        <f t="shared" ref="S35:S42" si="21">R35/R9</f>
        <v>137.85875073190053</v>
      </c>
      <c r="T35" s="9">
        <f t="shared" si="18"/>
        <v>7.7504877430884106E-2</v>
      </c>
      <c r="U35" s="282">
        <f t="shared" si="19"/>
        <v>1472.9829201308326</v>
      </c>
    </row>
    <row r="36" spans="1:21" x14ac:dyDescent="0.2">
      <c r="A36" s="97">
        <v>4</v>
      </c>
      <c r="B36" s="93">
        <f t="shared" si="15"/>
        <v>64</v>
      </c>
      <c r="C36" s="1">
        <f t="shared" si="12"/>
        <v>192</v>
      </c>
      <c r="D36" s="9">
        <f>SUM($C$33:C36)</f>
        <v>255</v>
      </c>
      <c r="E36" s="9">
        <f t="shared" si="13"/>
        <v>292.07088386097723</v>
      </c>
      <c r="F36" s="9">
        <f t="shared" si="14"/>
        <v>0.13898724676437021</v>
      </c>
      <c r="G36" s="282">
        <f t="shared" si="16"/>
        <v>11856.362846825223</v>
      </c>
      <c r="O36" s="99">
        <v>4</v>
      </c>
      <c r="P36" s="93">
        <f t="shared" si="20"/>
        <v>79</v>
      </c>
      <c r="Q36" s="1">
        <f t="shared" si="17"/>
        <v>240</v>
      </c>
      <c r="R36" s="9">
        <f>SUM($Q$33:Q36)</f>
        <v>348</v>
      </c>
      <c r="S36" s="277">
        <f t="shared" si="21"/>
        <v>398.59085326909832</v>
      </c>
      <c r="T36" s="9">
        <f t="shared" si="18"/>
        <v>0.10184410323251267</v>
      </c>
      <c r="U36" s="282">
        <f t="shared" si="19"/>
        <v>16180.448120373245</v>
      </c>
    </row>
    <row r="37" spans="1:21" x14ac:dyDescent="0.2">
      <c r="A37" s="97">
        <v>5</v>
      </c>
      <c r="B37" s="93">
        <f t="shared" si="15"/>
        <v>256</v>
      </c>
      <c r="C37" s="1">
        <f t="shared" si="12"/>
        <v>768</v>
      </c>
      <c r="D37" s="9">
        <f>SUM($C$33:C37)</f>
        <v>1023</v>
      </c>
      <c r="E37" s="9">
        <f t="shared" si="13"/>
        <v>1107.6057369616381</v>
      </c>
      <c r="F37" s="9">
        <f t="shared" si="14"/>
        <v>0.12812184099432056</v>
      </c>
      <c r="G37" s="282">
        <f t="shared" si="16"/>
        <v>157178.65334495384</v>
      </c>
      <c r="O37" s="99">
        <v>5</v>
      </c>
      <c r="P37" s="93">
        <f t="shared" si="20"/>
        <v>241</v>
      </c>
      <c r="Q37" s="1">
        <f t="shared" si="17"/>
        <v>726</v>
      </c>
      <c r="R37" s="9">
        <f>SUM($Q$33:Q37)</f>
        <v>1074</v>
      </c>
      <c r="S37" s="277">
        <f t="shared" si="21"/>
        <v>1162.8236182764413</v>
      </c>
      <c r="T37" s="9">
        <f t="shared" si="18"/>
        <v>0.1220378429582774</v>
      </c>
      <c r="U37" s="282">
        <f t="shared" si="19"/>
        <v>165014.5392888372</v>
      </c>
    </row>
    <row r="38" spans="1:21" x14ac:dyDescent="0.2">
      <c r="A38" s="97">
        <v>6</v>
      </c>
      <c r="B38" s="93">
        <f t="shared" si="15"/>
        <v>1024</v>
      </c>
      <c r="C38" s="1">
        <f t="shared" si="12"/>
        <v>3072</v>
      </c>
      <c r="D38" s="9">
        <f>SUM($C$33:C38)</f>
        <v>4095</v>
      </c>
      <c r="E38" s="9">
        <f t="shared" si="13"/>
        <v>4295.5189792237543</v>
      </c>
      <c r="F38" s="9">
        <f t="shared" si="14"/>
        <v>0.10983229069029067</v>
      </c>
      <c r="G38" s="282">
        <f t="shared" si="16"/>
        <v>2026568.6775683609</v>
      </c>
      <c r="O38" s="99">
        <v>6</v>
      </c>
      <c r="P38" s="93">
        <f t="shared" si="20"/>
        <v>727</v>
      </c>
      <c r="Q38" s="1">
        <f t="shared" si="17"/>
        <v>2184</v>
      </c>
      <c r="R38" s="9">
        <f>SUM($Q$33:Q38)</f>
        <v>3258</v>
      </c>
      <c r="S38" s="277">
        <f t="shared" si="21"/>
        <v>3417.5337812725256</v>
      </c>
      <c r="T38" s="9">
        <f t="shared" si="18"/>
        <v>0.13804887365768578</v>
      </c>
      <c r="U38" s="282">
        <f t="shared" si="19"/>
        <v>1612346.9478675751</v>
      </c>
    </row>
    <row r="39" spans="1:21" x14ac:dyDescent="0.2">
      <c r="A39" s="97">
        <v>7</v>
      </c>
      <c r="B39" s="93">
        <f t="shared" si="15"/>
        <v>4096</v>
      </c>
      <c r="C39" s="1">
        <f t="shared" si="12"/>
        <v>12288</v>
      </c>
      <c r="D39" s="9">
        <f>SUM($C$33:C39)</f>
        <v>16383</v>
      </c>
      <c r="E39" s="9">
        <f t="shared" si="13"/>
        <v>16868.629227620477</v>
      </c>
      <c r="F39" s="9">
        <f t="shared" si="14"/>
        <v>9.0017391772916025E-2</v>
      </c>
      <c r="G39" s="282">
        <f t="shared" si="16"/>
        <v>25614507.522026885</v>
      </c>
      <c r="O39" s="99">
        <v>7</v>
      </c>
      <c r="P39" s="93">
        <f t="shared" si="20"/>
        <v>2185</v>
      </c>
      <c r="Q39" s="1">
        <f t="shared" si="17"/>
        <v>6558</v>
      </c>
      <c r="R39" s="9">
        <f>SUM($Q$33:Q39)</f>
        <v>9816</v>
      </c>
      <c r="S39" s="277">
        <f t="shared" si="21"/>
        <v>10106.968473315181</v>
      </c>
      <c r="T39" s="9">
        <f t="shared" si="18"/>
        <v>0.15023990723468655</v>
      </c>
      <c r="U39" s="282">
        <f t="shared" si="19"/>
        <v>15347128.476848923</v>
      </c>
    </row>
    <row r="40" spans="1:21" x14ac:dyDescent="0.2">
      <c r="A40" s="97">
        <v>8</v>
      </c>
      <c r="B40" s="93">
        <f t="shared" si="15"/>
        <v>16384</v>
      </c>
      <c r="C40" s="1">
        <f t="shared" si="12"/>
        <v>49152</v>
      </c>
      <c r="D40" s="9">
        <f>SUM($C$33:C40)</f>
        <v>65535</v>
      </c>
      <c r="E40" s="9">
        <f t="shared" si="13"/>
        <v>66726.26876195443</v>
      </c>
      <c r="F40" s="9">
        <f t="shared" si="14"/>
        <v>7.1667042433832484E-2</v>
      </c>
      <c r="G40" s="282">
        <f t="shared" si="16"/>
        <v>319089977.30446333</v>
      </c>
      <c r="O40" s="99">
        <v>8</v>
      </c>
      <c r="P40" s="93">
        <f t="shared" si="20"/>
        <v>6559</v>
      </c>
      <c r="Q40" s="1">
        <f t="shared" si="17"/>
        <v>19680</v>
      </c>
      <c r="R40" s="9">
        <f>SUM($Q$33:Q40)</f>
        <v>29496</v>
      </c>
      <c r="S40" s="277">
        <f t="shared" si="21"/>
        <v>30032.166375259145</v>
      </c>
      <c r="T40" s="9">
        <f t="shared" si="18"/>
        <v>0.15923174755564182</v>
      </c>
      <c r="U40" s="282">
        <f t="shared" si="19"/>
        <v>143616052.04199973</v>
      </c>
    </row>
    <row r="41" spans="1:21" x14ac:dyDescent="0.2">
      <c r="A41" s="97">
        <v>9</v>
      </c>
      <c r="B41" s="93">
        <f t="shared" si="15"/>
        <v>65536</v>
      </c>
      <c r="C41" s="1">
        <f t="shared" si="12"/>
        <v>196608</v>
      </c>
      <c r="D41" s="9">
        <f>SUM($C$33:C41)</f>
        <v>262143</v>
      </c>
      <c r="E41" s="9">
        <f t="shared" si="13"/>
        <v>265087.86768855969</v>
      </c>
      <c r="F41" s="9">
        <f t="shared" si="14"/>
        <v>5.5969531137987708E-2</v>
      </c>
      <c r="G41" s="282">
        <f t="shared" si="16"/>
        <v>3933067250.3562222</v>
      </c>
      <c r="O41" s="99">
        <v>9</v>
      </c>
      <c r="P41" s="93">
        <f t="shared" si="20"/>
        <v>19681</v>
      </c>
      <c r="Q41" s="1">
        <f t="shared" si="17"/>
        <v>59046</v>
      </c>
      <c r="R41" s="9">
        <f>SUM($Q$33:Q41)</f>
        <v>88542</v>
      </c>
      <c r="S41" s="277">
        <f t="shared" si="21"/>
        <v>89536.665029699259</v>
      </c>
      <c r="T41" s="9">
        <f t="shared" si="18"/>
        <v>0.1657069052100191</v>
      </c>
      <c r="U41" s="282">
        <f t="shared" si="19"/>
        <v>1328441501.3219526</v>
      </c>
    </row>
    <row r="42" spans="1:21" ht="17" thickBot="1" x14ac:dyDescent="0.25">
      <c r="A42" s="145">
        <v>10</v>
      </c>
      <c r="B42" s="94">
        <f t="shared" si="15"/>
        <v>262144</v>
      </c>
      <c r="C42" s="111">
        <f t="shared" si="12"/>
        <v>786432</v>
      </c>
      <c r="D42" s="10">
        <f>SUM($C$33:C42)</f>
        <v>1048575</v>
      </c>
      <c r="E42" s="9">
        <f t="shared" si="13"/>
        <v>1055889.2454715127</v>
      </c>
      <c r="F42" s="9">
        <f t="shared" si="14"/>
        <v>4.3146903018659033E-2</v>
      </c>
      <c r="G42" s="283">
        <f t="shared" si="16"/>
        <v>48104572728.011887</v>
      </c>
      <c r="O42" s="100">
        <v>10</v>
      </c>
      <c r="P42" s="94">
        <f t="shared" si="20"/>
        <v>59047</v>
      </c>
      <c r="Q42" s="111">
        <f t="shared" si="17"/>
        <v>177144</v>
      </c>
      <c r="R42" s="10">
        <f>SUM($Q$33:Q42)</f>
        <v>265686</v>
      </c>
      <c r="S42" s="278">
        <f t="shared" si="21"/>
        <v>267539.27003060753</v>
      </c>
      <c r="T42" s="10">
        <f t="shared" si="18"/>
        <v>0.17028659331989793</v>
      </c>
      <c r="U42" s="283">
        <f t="shared" si="19"/>
        <v>12188647936.308386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6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3</v>
      </c>
      <c r="D45" s="57">
        <f>SUM(C45:C45)</f>
        <v>3</v>
      </c>
      <c r="E45" s="57">
        <f t="shared" ref="E45:E54" si="23">D45/R7</f>
        <v>13.030902752565376</v>
      </c>
      <c r="F45" s="8">
        <f t="shared" ref="F45:F54" si="24">U7/E45</f>
        <v>2.8667716966580385E-2</v>
      </c>
      <c r="G45" s="281">
        <f>E45*U7</f>
        <v>4.867905239916607</v>
      </c>
      <c r="O45" s="101">
        <v>1</v>
      </c>
      <c r="P45" s="109">
        <v>1</v>
      </c>
      <c r="Q45" s="110">
        <f>P45*3+3</f>
        <v>6</v>
      </c>
      <c r="R45" s="57">
        <f>SUM($Q$21)</f>
        <v>6</v>
      </c>
      <c r="S45" s="276">
        <f>R45/R7</f>
        <v>26.061805505130753</v>
      </c>
      <c r="T45" s="8">
        <f>U7/S45</f>
        <v>1.4333858483290192E-2</v>
      </c>
      <c r="U45" s="284">
        <f>S45*U7</f>
        <v>9.7358104798332139</v>
      </c>
    </row>
    <row r="46" spans="1:21" x14ac:dyDescent="0.2">
      <c r="A46" s="97">
        <v>2</v>
      </c>
      <c r="B46" s="93">
        <f t="shared" ref="B46:B54" si="25">B45*$O$2*2</f>
        <v>6</v>
      </c>
      <c r="C46" s="1">
        <f t="shared" si="22"/>
        <v>18</v>
      </c>
      <c r="D46" s="9">
        <f>SUM($C$45:C46)</f>
        <v>21</v>
      </c>
      <c r="E46" s="9">
        <f t="shared" si="23"/>
        <v>34.323858950877145</v>
      </c>
      <c r="F46" s="9">
        <f t="shared" si="24"/>
        <v>7.0127059920979826E-2</v>
      </c>
      <c r="G46" s="282">
        <f t="shared" ref="G46:G54" si="26">E46*U8</f>
        <v>82.618603290367929</v>
      </c>
      <c r="O46" s="99">
        <v>2</v>
      </c>
      <c r="P46" s="93">
        <f>Q45*2</f>
        <v>12</v>
      </c>
      <c r="Q46" s="1">
        <f t="shared" ref="Q46:Q54" si="27">P46*3+3</f>
        <v>39</v>
      </c>
      <c r="R46" s="9">
        <f>SUM($Q$45:Q46)</f>
        <v>45</v>
      </c>
      <c r="S46" s="277">
        <f t="shared" ref="S46:S54" si="28">R46/R8</f>
        <v>73.551126323308168</v>
      </c>
      <c r="T46" s="9">
        <f t="shared" ref="T46:T54" si="29">U8/S46</f>
        <v>3.2725961296457252E-2</v>
      </c>
      <c r="U46" s="282">
        <f t="shared" ref="U46:U54" si="30">S46*U8</f>
        <v>177.03986419364557</v>
      </c>
    </row>
    <row r="47" spans="1:21" x14ac:dyDescent="0.2">
      <c r="A47" s="97">
        <v>3</v>
      </c>
      <c r="B47" s="93">
        <f t="shared" si="25"/>
        <v>36</v>
      </c>
      <c r="C47" s="1">
        <f t="shared" si="22"/>
        <v>108</v>
      </c>
      <c r="D47" s="9">
        <f>SUM($C$45:C47)</f>
        <v>129</v>
      </c>
      <c r="E47" s="9">
        <f t="shared" si="23"/>
        <v>164.66461892977009</v>
      </c>
      <c r="F47" s="9">
        <f t="shared" si="24"/>
        <v>6.4887804360740167E-2</v>
      </c>
      <c r="G47" s="282">
        <f t="shared" si="26"/>
        <v>1759.3962657118277</v>
      </c>
      <c r="O47" s="99">
        <v>3</v>
      </c>
      <c r="P47" s="93">
        <f t="shared" ref="P47:P54" si="31">Q46*2</f>
        <v>78</v>
      </c>
      <c r="Q47" s="1">
        <f t="shared" si="27"/>
        <v>237</v>
      </c>
      <c r="R47" s="9">
        <f>SUM($Q$45:Q47)</f>
        <v>282</v>
      </c>
      <c r="S47" s="277">
        <f t="shared" si="28"/>
        <v>359.9645157999625</v>
      </c>
      <c r="T47" s="9">
        <f t="shared" si="29"/>
        <v>2.9682719016083273E-2</v>
      </c>
      <c r="U47" s="282">
        <f t="shared" si="30"/>
        <v>3846.1220692305069</v>
      </c>
    </row>
    <row r="48" spans="1:21" x14ac:dyDescent="0.2">
      <c r="A48" s="97">
        <v>4</v>
      </c>
      <c r="B48" s="93">
        <f t="shared" si="25"/>
        <v>216</v>
      </c>
      <c r="C48" s="1">
        <f t="shared" si="22"/>
        <v>648</v>
      </c>
      <c r="D48" s="9">
        <f>SUM($C$45:C48)</f>
        <v>777</v>
      </c>
      <c r="E48" s="9">
        <f t="shared" si="23"/>
        <v>889.95716376462474</v>
      </c>
      <c r="F48" s="9">
        <f t="shared" si="24"/>
        <v>4.5613575192940035E-2</v>
      </c>
      <c r="G48" s="282">
        <f t="shared" si="26"/>
        <v>36127.035027385093</v>
      </c>
      <c r="O48" s="99">
        <v>4</v>
      </c>
      <c r="P48" s="93">
        <f t="shared" si="31"/>
        <v>474</v>
      </c>
      <c r="Q48" s="1">
        <f t="shared" si="27"/>
        <v>1425</v>
      </c>
      <c r="R48" s="9">
        <f>SUM($Q$45:Q48)</f>
        <v>1707</v>
      </c>
      <c r="S48" s="277">
        <f t="shared" si="28"/>
        <v>1955.1568578458357</v>
      </c>
      <c r="T48" s="9">
        <f t="shared" si="29"/>
        <v>2.0762593980617697E-2</v>
      </c>
      <c r="U48" s="282">
        <f t="shared" si="30"/>
        <v>79367.887762865314</v>
      </c>
    </row>
    <row r="49" spans="1:21" x14ac:dyDescent="0.2">
      <c r="A49" s="97">
        <v>5</v>
      </c>
      <c r="B49" s="93">
        <f t="shared" si="25"/>
        <v>1296</v>
      </c>
      <c r="C49" s="1">
        <f t="shared" si="22"/>
        <v>3888</v>
      </c>
      <c r="D49" s="9">
        <f>SUM($C$45:C49)</f>
        <v>4665</v>
      </c>
      <c r="E49" s="9">
        <f t="shared" si="23"/>
        <v>5050.8120849716925</v>
      </c>
      <c r="F49" s="9">
        <f t="shared" si="24"/>
        <v>2.8096172205185413E-2</v>
      </c>
      <c r="G49" s="282">
        <f t="shared" si="26"/>
        <v>716753.09663168096</v>
      </c>
      <c r="O49" s="99">
        <v>5</v>
      </c>
      <c r="P49" s="93">
        <f t="shared" si="31"/>
        <v>2850</v>
      </c>
      <c r="Q49" s="1">
        <f t="shared" si="27"/>
        <v>8553</v>
      </c>
      <c r="R49" s="9">
        <f>SUM($Q$45:Q49)</f>
        <v>10260</v>
      </c>
      <c r="S49" s="277">
        <f t="shared" si="28"/>
        <v>11108.538476272148</v>
      </c>
      <c r="T49" s="9">
        <f t="shared" si="29"/>
        <v>1.2774721572825529E-2</v>
      </c>
      <c r="U49" s="282">
        <f t="shared" si="30"/>
        <v>1576395.878122411</v>
      </c>
    </row>
    <row r="50" spans="1:21" x14ac:dyDescent="0.2">
      <c r="A50" s="97">
        <v>6</v>
      </c>
      <c r="B50" s="93">
        <f t="shared" si="25"/>
        <v>7776</v>
      </c>
      <c r="C50" s="1">
        <f t="shared" si="22"/>
        <v>23328</v>
      </c>
      <c r="D50" s="9">
        <f>SUM($C$45:C50)</f>
        <v>27993</v>
      </c>
      <c r="E50" s="9">
        <f t="shared" si="23"/>
        <v>29363.727175924436</v>
      </c>
      <c r="F50" s="9">
        <f t="shared" si="24"/>
        <v>1.6066989260770201E-2</v>
      </c>
      <c r="G50" s="282">
        <f t="shared" si="26"/>
        <v>13853415.626659617</v>
      </c>
      <c r="O50" s="99">
        <v>6</v>
      </c>
      <c r="P50" s="93">
        <f t="shared" si="31"/>
        <v>17106</v>
      </c>
      <c r="Q50" s="1">
        <f t="shared" si="27"/>
        <v>51321</v>
      </c>
      <c r="R50" s="9">
        <f>SUM($Q$45:Q50)</f>
        <v>61581</v>
      </c>
      <c r="S50" s="277">
        <f t="shared" si="28"/>
        <v>64596.42350661246</v>
      </c>
      <c r="T50" s="9">
        <f t="shared" si="29"/>
        <v>7.3036038774417474E-3</v>
      </c>
      <c r="U50" s="282">
        <f t="shared" si="30"/>
        <v>30475732.779813733</v>
      </c>
    </row>
    <row r="51" spans="1:21" x14ac:dyDescent="0.2">
      <c r="A51" s="97">
        <v>7</v>
      </c>
      <c r="B51" s="93">
        <f t="shared" si="25"/>
        <v>46656</v>
      </c>
      <c r="C51" s="1">
        <f t="shared" si="22"/>
        <v>139968</v>
      </c>
      <c r="D51" s="9">
        <f>SUM($C$45:C51)</f>
        <v>167961</v>
      </c>
      <c r="E51" s="9">
        <f t="shared" si="23"/>
        <v>172939.7444729514</v>
      </c>
      <c r="F51" s="9">
        <f t="shared" si="24"/>
        <v>8.780341444833523E-3</v>
      </c>
      <c r="G51" s="282">
        <f t="shared" si="26"/>
        <v>262603814.80236569</v>
      </c>
      <c r="O51" s="99">
        <v>7</v>
      </c>
      <c r="P51" s="93">
        <f t="shared" si="31"/>
        <v>102642</v>
      </c>
      <c r="Q51" s="1">
        <f t="shared" si="27"/>
        <v>307929</v>
      </c>
      <c r="R51" s="9">
        <f>SUM($Q$45:Q51)</f>
        <v>369510</v>
      </c>
      <c r="S51" s="277">
        <f t="shared" si="28"/>
        <v>380463.1133429801</v>
      </c>
      <c r="T51" s="9">
        <f t="shared" si="29"/>
        <v>3.9911096571559179E-3</v>
      </c>
      <c r="U51" s="282">
        <f t="shared" si="30"/>
        <v>577721825.94544065</v>
      </c>
    </row>
    <row r="52" spans="1:21" x14ac:dyDescent="0.2">
      <c r="A52" s="97">
        <v>8</v>
      </c>
      <c r="B52" s="93">
        <f t="shared" si="25"/>
        <v>279936</v>
      </c>
      <c r="C52" s="1">
        <f t="shared" si="22"/>
        <v>839808</v>
      </c>
      <c r="D52" s="9">
        <f>SUM($C$45:C52)</f>
        <v>1007769</v>
      </c>
      <c r="E52" s="9">
        <f t="shared" si="23"/>
        <v>1026087.8178677968</v>
      </c>
      <c r="F52" s="9">
        <f t="shared" si="24"/>
        <v>4.6604922615214508E-3</v>
      </c>
      <c r="G52" s="282">
        <f t="shared" si="26"/>
        <v>4906828219.0911999</v>
      </c>
      <c r="O52" s="99">
        <v>8</v>
      </c>
      <c r="P52" s="93">
        <f t="shared" si="31"/>
        <v>615858</v>
      </c>
      <c r="Q52" s="1">
        <f t="shared" si="27"/>
        <v>1847577</v>
      </c>
      <c r="R52" s="9">
        <f>SUM($Q$45:Q52)</f>
        <v>2217087</v>
      </c>
      <c r="S52" s="277">
        <f t="shared" si="28"/>
        <v>2257388.3120566914</v>
      </c>
      <c r="T52" s="9">
        <f t="shared" si="29"/>
        <v>2.1184101597732569E-3</v>
      </c>
      <c r="U52" s="282">
        <f t="shared" si="30"/>
        <v>10794998710.796076</v>
      </c>
    </row>
    <row r="53" spans="1:21" x14ac:dyDescent="0.2">
      <c r="A53" s="97">
        <v>9</v>
      </c>
      <c r="B53" s="93">
        <f t="shared" si="25"/>
        <v>1679616</v>
      </c>
      <c r="C53" s="1">
        <f t="shared" si="22"/>
        <v>5038848</v>
      </c>
      <c r="D53" s="9">
        <f>SUM($C$45:C53)</f>
        <v>6046617</v>
      </c>
      <c r="E53" s="9">
        <f t="shared" si="23"/>
        <v>6114543.6164970873</v>
      </c>
      <c r="F53" s="9">
        <f t="shared" si="24"/>
        <v>2.4264842309518709E-3</v>
      </c>
      <c r="G53" s="282">
        <f t="shared" si="26"/>
        <v>90720527720.164917</v>
      </c>
      <c r="O53" s="99">
        <v>9</v>
      </c>
      <c r="P53" s="93">
        <f t="shared" si="31"/>
        <v>3695154</v>
      </c>
      <c r="Q53" s="1">
        <f t="shared" si="27"/>
        <v>11085465</v>
      </c>
      <c r="R53" s="9">
        <f>SUM($Q$45:Q53)</f>
        <v>13302552</v>
      </c>
      <c r="S53" s="277">
        <f t="shared" si="28"/>
        <v>13451990.495630955</v>
      </c>
      <c r="T53" s="9">
        <f t="shared" si="29"/>
        <v>1.1029478254327072E-3</v>
      </c>
      <c r="U53" s="282">
        <f t="shared" si="30"/>
        <v>199585079965.36496</v>
      </c>
    </row>
    <row r="54" spans="1:21" ht="17" thickBot="1" x14ac:dyDescent="0.25">
      <c r="A54" s="145">
        <v>10</v>
      </c>
      <c r="B54" s="94">
        <f t="shared" si="25"/>
        <v>10077696</v>
      </c>
      <c r="C54" s="111">
        <f t="shared" si="22"/>
        <v>30233088</v>
      </c>
      <c r="D54" s="10">
        <f>SUM($C$45:C54)</f>
        <v>36279705</v>
      </c>
      <c r="E54" s="10">
        <f t="shared" si="23"/>
        <v>36532770.987653784</v>
      </c>
      <c r="F54" s="9">
        <f t="shared" si="24"/>
        <v>1.2470543471285226E-3</v>
      </c>
      <c r="G54" s="283">
        <f t="shared" si="26"/>
        <v>1664372799011.3408</v>
      </c>
      <c r="O54" s="100">
        <v>10</v>
      </c>
      <c r="P54" s="94">
        <f t="shared" si="31"/>
        <v>22170930</v>
      </c>
      <c r="Q54" s="111">
        <f t="shared" si="27"/>
        <v>66512793</v>
      </c>
      <c r="R54" s="10">
        <f>SUM($Q$45:Q54)</f>
        <v>79815345</v>
      </c>
      <c r="S54" s="278">
        <f t="shared" si="28"/>
        <v>80372090.130985826</v>
      </c>
      <c r="T54" s="10">
        <f t="shared" si="29"/>
        <v>5.668429276699913E-4</v>
      </c>
      <c r="U54" s="283">
        <f t="shared" si="30"/>
        <v>3661619882568.1133</v>
      </c>
    </row>
  </sheetData>
  <mergeCells count="2">
    <mergeCell ref="A18:F18"/>
    <mergeCell ref="O18:T18"/>
  </mergeCells>
  <conditionalFormatting sqref="F45:F54">
    <cfRule type="cellIs" dxfId="873" priority="88" operator="equal">
      <formula>MAX($F$45:$F$54)</formula>
    </cfRule>
  </conditionalFormatting>
  <conditionalFormatting sqref="F21:F30">
    <cfRule type="cellIs" dxfId="872" priority="86" operator="equal">
      <formula>MAX($F$21:$F$30)</formula>
    </cfRule>
  </conditionalFormatting>
  <conditionalFormatting sqref="F33:F42">
    <cfRule type="cellIs" dxfId="871" priority="60" operator="lessThanOrEqual">
      <formula>0</formula>
    </cfRule>
    <cfRule type="cellIs" dxfId="870" priority="61" operator="equal">
      <formula>MAX($F$33:$F$42)</formula>
    </cfRule>
  </conditionalFormatting>
  <conditionalFormatting sqref="E21:E30">
    <cfRule type="cellIs" dxfId="869" priority="42" stopIfTrue="1" operator="lessThan">
      <formula>0</formula>
    </cfRule>
    <cfRule type="cellIs" dxfId="868" priority="43" operator="equal">
      <formula>MIN($E$21:$E$30)</formula>
    </cfRule>
  </conditionalFormatting>
  <conditionalFormatting sqref="E33:E42">
    <cfRule type="cellIs" dxfId="867" priority="40" stopIfTrue="1" operator="lessThan">
      <formula>0</formula>
    </cfRule>
    <cfRule type="cellIs" dxfId="866" priority="41" operator="equal">
      <formula>MIN($E$33:$E$42)</formula>
    </cfRule>
  </conditionalFormatting>
  <conditionalFormatting sqref="E45:E54">
    <cfRule type="cellIs" dxfId="865" priority="38" stopIfTrue="1" operator="lessThan">
      <formula>0</formula>
    </cfRule>
    <cfRule type="cellIs" dxfId="864" priority="39" operator="equal">
      <formula>MIN($E$45:$E$54)</formula>
    </cfRule>
  </conditionalFormatting>
  <conditionalFormatting sqref="R7:R16">
    <cfRule type="cellIs" dxfId="863" priority="28" operator="lessThanOrEqual">
      <formula>0</formula>
    </cfRule>
    <cfRule type="cellIs" dxfId="862" priority="29" operator="greaterThan">
      <formula>0</formula>
    </cfRule>
  </conditionalFormatting>
  <conditionalFormatting sqref="S21:S30">
    <cfRule type="cellIs" dxfId="861" priority="22" stopIfTrue="1" operator="lessThan">
      <formula>0</formula>
    </cfRule>
    <cfRule type="cellIs" dxfId="860" priority="23" operator="equal">
      <formula>MIN($E$21:$E$30)</formula>
    </cfRule>
  </conditionalFormatting>
  <conditionalFormatting sqref="T21:T30">
    <cfRule type="cellIs" dxfId="859" priority="19" operator="equal">
      <formula>MAX($T$21:$T$30)</formula>
    </cfRule>
  </conditionalFormatting>
  <conditionalFormatting sqref="S33:S42">
    <cfRule type="cellIs" dxfId="858" priority="17" stopIfTrue="1" operator="lessThan">
      <formula>0</formula>
    </cfRule>
    <cfRule type="cellIs" dxfId="857" priority="18" operator="equal">
      <formula>MIN($E$21:$E$30)</formula>
    </cfRule>
  </conditionalFormatting>
  <conditionalFormatting sqref="T33:T42">
    <cfRule type="cellIs" dxfId="856" priority="16" operator="equal">
      <formula>MAX($T$21:$T$30)</formula>
    </cfRule>
  </conditionalFormatting>
  <conditionalFormatting sqref="S45:S54">
    <cfRule type="cellIs" dxfId="855" priority="14" stopIfTrue="1" operator="lessThan">
      <formula>0</formula>
    </cfRule>
    <cfRule type="cellIs" dxfId="854" priority="15" operator="equal">
      <formula>MIN($E$21:$E$30)</formula>
    </cfRule>
  </conditionalFormatting>
  <conditionalFormatting sqref="T45:T54">
    <cfRule type="cellIs" dxfId="853" priority="13" operator="equal">
      <formula>MAX($T$21:$T$30)</formula>
    </cfRule>
  </conditionalFormatting>
  <conditionalFormatting sqref="U7:U16">
    <cfRule type="cellIs" dxfId="852" priority="9" operator="lessThanOrEqual">
      <formula>0</formula>
    </cfRule>
    <cfRule type="cellIs" dxfId="851" priority="10" operator="greaterThan">
      <formula>0</formula>
    </cfRule>
  </conditionalFormatting>
  <conditionalFormatting sqref="S7:T16">
    <cfRule type="cellIs" dxfId="850" priority="1" operator="lessThanOrEqual">
      <formula>0</formula>
    </cfRule>
    <cfRule type="cellIs" dxfId="849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7" max="7" width="8.6640625" customWidth="1"/>
    <col min="14" max="14" width="5.6640625" bestFit="1" customWidth="1"/>
    <col min="21" max="21" width="8.6640625" customWidth="1"/>
  </cols>
  <sheetData>
    <row r="1" spans="1:23" x14ac:dyDescent="0.2">
      <c r="C1" t="s">
        <v>95</v>
      </c>
      <c r="D1">
        <f>C2+E2</f>
        <v>1.0000000000000002</v>
      </c>
    </row>
    <row r="2" spans="1:23" x14ac:dyDescent="0.2">
      <c r="A2" t="s">
        <v>40</v>
      </c>
      <c r="B2" s="149" t="s">
        <v>125</v>
      </c>
      <c r="C2" s="155">
        <f>Analysis!B11</f>
        <v>0.65057794408728342</v>
      </c>
      <c r="D2" s="149" t="s">
        <v>126</v>
      </c>
      <c r="E2" s="155">
        <f>Analysis!G11</f>
        <v>0.34942205591271674</v>
      </c>
      <c r="F2" s="149" t="s">
        <v>47</v>
      </c>
      <c r="G2" s="155">
        <f>Analysis!S11</f>
        <v>2.49056438916503</v>
      </c>
      <c r="H2" t="s">
        <v>155</v>
      </c>
      <c r="I2" s="169">
        <f>Analysis!T11</f>
        <v>-2.6363582929882523</v>
      </c>
      <c r="J2" t="s">
        <v>48</v>
      </c>
      <c r="K2" s="169">
        <f>C2*G2+E2*I2</f>
        <v>0.69910452506149046</v>
      </c>
      <c r="L2" t="s">
        <v>47</v>
      </c>
      <c r="M2" s="176">
        <v>1</v>
      </c>
      <c r="N2" t="s">
        <v>155</v>
      </c>
      <c r="O2" s="176">
        <v>4</v>
      </c>
    </row>
    <row r="4" spans="1:23" x14ac:dyDescent="0.2">
      <c r="A4" t="s">
        <v>123</v>
      </c>
      <c r="B4">
        <f>$C$2</f>
        <v>0.65057794408728342</v>
      </c>
      <c r="C4" t="s">
        <v>124</v>
      </c>
      <c r="D4">
        <f>$E$2</f>
        <v>0.34942205591271674</v>
      </c>
      <c r="E4" t="s">
        <v>47</v>
      </c>
      <c r="F4">
        <f>G2</f>
        <v>2.49056438916503</v>
      </c>
      <c r="G4" t="s">
        <v>155</v>
      </c>
      <c r="H4">
        <f>I2</f>
        <v>-2.6363582929882523</v>
      </c>
      <c r="I4" t="s">
        <v>48</v>
      </c>
      <c r="J4">
        <f>K2</f>
        <v>0.69910452506149046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182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0.65057794408728342</v>
      </c>
      <c r="C7" s="95">
        <v>1</v>
      </c>
      <c r="D7" s="109">
        <f>C7*D4</f>
        <v>0.34942205591271674</v>
      </c>
      <c r="E7" s="110"/>
      <c r="F7" s="110"/>
      <c r="G7" s="110"/>
      <c r="H7" s="110"/>
      <c r="I7" s="110"/>
      <c r="J7" s="110"/>
      <c r="K7" s="110"/>
      <c r="L7" s="110"/>
      <c r="M7" s="258"/>
      <c r="N7" s="95">
        <f>B7+D7</f>
        <v>1.0000000000000002</v>
      </c>
      <c r="R7" s="296">
        <f>B7-D7</f>
        <v>0.30115588817456668</v>
      </c>
      <c r="S7" s="297">
        <f>SUM(C7)*B4*F4*POWER(O2,A7-1)</f>
        <v>1.620306259919986</v>
      </c>
      <c r="T7" s="276">
        <f>SUM(C7)*D4*H4*POWER(O2,A7-1)</f>
        <v>-0.92120173485849555</v>
      </c>
      <c r="U7" s="294">
        <f>S7+T7</f>
        <v>0.69910452506149046</v>
      </c>
      <c r="V7" s="109">
        <f>(U7+W7*D7)/B7</f>
        <v>1.6116847958090843</v>
      </c>
      <c r="W7" s="57">
        <f>COUNT(D7:M7)</f>
        <v>1</v>
      </c>
    </row>
    <row r="8" spans="1:23" x14ac:dyDescent="0.2">
      <c r="A8" s="99">
        <v>2</v>
      </c>
      <c r="B8" s="97">
        <f>C8*B4</f>
        <v>0.84198275360844477</v>
      </c>
      <c r="C8" s="97">
        <f>1/(1-B4*D4)</f>
        <v>1.2942073448089133</v>
      </c>
      <c r="D8" s="93">
        <f>C8*D4</f>
        <v>0.45222459120046876</v>
      </c>
      <c r="E8" s="1">
        <f>D8*D4</f>
        <v>0.15801724639155568</v>
      </c>
      <c r="F8" s="1"/>
      <c r="G8" s="1"/>
      <c r="H8" s="1"/>
      <c r="I8" s="1"/>
      <c r="J8" s="1"/>
      <c r="K8" s="1"/>
      <c r="L8" s="1"/>
      <c r="M8" s="257"/>
      <c r="N8" s="97">
        <f>B8+E8</f>
        <v>1.0000000000000004</v>
      </c>
      <c r="R8" s="298">
        <f>B8-E8</f>
        <v>0.68396550721688909</v>
      </c>
      <c r="S8" s="299">
        <f>SUM(C8:D8)*B4*F4*POWER(O2,A8-1)</f>
        <v>11.319018393760729</v>
      </c>
      <c r="T8" s="277">
        <f>SUM(C8:D8)*D4*H4*POWER(O2,A8-1)</f>
        <v>-6.4352645170564955</v>
      </c>
      <c r="U8" s="295">
        <f>S8+T8+U7</f>
        <v>5.5828584017657237</v>
      </c>
      <c r="V8" s="93">
        <f>(U8+W8*E8)/B8</f>
        <v>7.0059545391734392</v>
      </c>
      <c r="W8" s="9">
        <f>COUNT(D8:M8)</f>
        <v>2</v>
      </c>
    </row>
    <row r="9" spans="1:23" x14ac:dyDescent="0.2">
      <c r="A9" s="99">
        <v>3</v>
      </c>
      <c r="B9" s="97">
        <f>C9*B4</f>
        <v>0.92176921834238335</v>
      </c>
      <c r="C9" s="97">
        <f>1/(1-D4*B4/(1-D4*B4))</f>
        <v>1.4168467079460598</v>
      </c>
      <c r="D9" s="93">
        <f>C9*D4*C8</f>
        <v>0.64073292329463682</v>
      </c>
      <c r="E9" s="1">
        <f>D9*(D4)</f>
        <v>0.22388621534857703</v>
      </c>
      <c r="F9" s="1">
        <f>E9*D4</f>
        <v>7.823078165761703E-2</v>
      </c>
      <c r="G9" s="1"/>
      <c r="H9" s="1"/>
      <c r="I9" s="1"/>
      <c r="J9" s="1"/>
      <c r="K9" s="1"/>
      <c r="L9" s="1"/>
      <c r="M9" s="257"/>
      <c r="N9" s="97">
        <f>B9+F9</f>
        <v>1.0000000000000004</v>
      </c>
      <c r="R9" s="298">
        <f>B9-F9</f>
        <v>0.84353843668476636</v>
      </c>
      <c r="S9" s="299">
        <f>SUM(C9:E9)*B4*F4*POWER(O2,A9-1)</f>
        <v>59.146774288356013</v>
      </c>
      <c r="T9" s="277">
        <f>SUM(C9:E9)*D4*H4*POWER(O2,A9-1)</f>
        <v>-33.627044734375126</v>
      </c>
      <c r="U9" s="295">
        <f t="shared" ref="U9:U16" si="0">S9+T9+U8</f>
        <v>31.102587955746611</v>
      </c>
      <c r="V9" s="93">
        <f>(U9+W9*F9)/B9</f>
        <v>33.996883034425103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0.95967691987993886</v>
      </c>
      <c r="C10" s="97">
        <f>1/(1-D4*B4/(1-D4*B4/(1-D4*B4)))</f>
        <v>1.4751144403247489</v>
      </c>
      <c r="D10" s="93">
        <f>C10*D4*C9</f>
        <v>0.7302959539941094</v>
      </c>
      <c r="E10" s="1">
        <f>D10*D4*C8</f>
        <v>0.33025778925034249</v>
      </c>
      <c r="F10" s="1">
        <f>E10*D4</f>
        <v>0.1153993557010434</v>
      </c>
      <c r="G10" s="1">
        <f>F10*D4</f>
        <v>4.0323080120061472E-2</v>
      </c>
      <c r="H10" s="1"/>
      <c r="I10" s="1"/>
      <c r="J10" s="1"/>
      <c r="K10" s="1"/>
      <c r="L10" s="1"/>
      <c r="M10" s="257"/>
      <c r="N10" s="97">
        <f>B10+G10</f>
        <v>1.0000000000000004</v>
      </c>
      <c r="R10" s="298">
        <f>B10-G10</f>
        <v>0.91935383975987739</v>
      </c>
      <c r="S10" s="299">
        <f>SUM(C10:F10)*B4*F4*POWER(O2,A10-1)</f>
        <v>274.91464507841602</v>
      </c>
      <c r="T10" s="277">
        <f>SUM(C10:F10)*D4*H4*POWER(O2,A10-1)</f>
        <v>-156.29875304977867</v>
      </c>
      <c r="U10" s="295">
        <f t="shared" si="0"/>
        <v>149.71847998438395</v>
      </c>
      <c r="V10" s="93">
        <f>(U10+W10*G10)/B10</f>
        <v>156.17732301368153</v>
      </c>
      <c r="W10" s="9">
        <f t="shared" si="1"/>
        <v>4</v>
      </c>
    </row>
    <row r="11" spans="1:23" x14ac:dyDescent="0.2">
      <c r="A11" s="99">
        <v>5</v>
      </c>
      <c r="B11" s="97">
        <f>C11*B4</f>
        <v>0.97880177841909188</v>
      </c>
      <c r="C11" s="97">
        <f>1/(1-D4*B4/(1-D4*B4/(1-D4*B4/(1-D4*B4))))</f>
        <v>1.5045111616753073</v>
      </c>
      <c r="D11" s="93">
        <f>C11*D4*C10</f>
        <v>0.77548150265546145</v>
      </c>
      <c r="E11" s="1">
        <f>D11*D4*C9</f>
        <v>0.38392343556875286</v>
      </c>
      <c r="F11" s="1">
        <f>E11*D4*C8</f>
        <v>0.17361961870235879</v>
      </c>
      <c r="G11" s="1">
        <f>F11*D4</f>
        <v>6.0666524113760174E-2</v>
      </c>
      <c r="H11" s="1">
        <f>G11*D4</f>
        <v>2.1198221580908488E-2</v>
      </c>
      <c r="I11" s="1"/>
      <c r="J11" s="1"/>
      <c r="K11" s="1"/>
      <c r="L11" s="1"/>
      <c r="M11" s="257"/>
      <c r="N11" s="97">
        <f>B11+H11</f>
        <v>1.0000000000000004</v>
      </c>
      <c r="R11" s="298">
        <f>B11-H11</f>
        <v>0.95760355683818343</v>
      </c>
      <c r="S11" s="299">
        <f>SUM(C11:G11)*B4*F4*POWER(O2,A11-1)</f>
        <v>1202.1696605148916</v>
      </c>
      <c r="T11" s="277">
        <f>SUM(C11:G11)*D4*H4*POWER(O2,A11-1)</f>
        <v>-683.47620709387036</v>
      </c>
      <c r="U11" s="295">
        <f t="shared" si="0"/>
        <v>668.41193340540519</v>
      </c>
      <c r="V11" s="93">
        <f>(U11+W11*H11)/B11</f>
        <v>682.99622993438368</v>
      </c>
      <c r="W11" s="9">
        <f t="shared" si="1"/>
        <v>5</v>
      </c>
    </row>
    <row r="12" spans="1:23" x14ac:dyDescent="0.2">
      <c r="A12" s="99">
        <v>6</v>
      </c>
      <c r="B12" s="97">
        <f>C12*B4</f>
        <v>0.98874271392869562</v>
      </c>
      <c r="C12" s="97">
        <f>1/(1-D4*B4/(1-D4*B4/(1-D4*B4/(1-D4*B4/(1-D4*B4)))))</f>
        <v>1.5197913223385313</v>
      </c>
      <c r="D12" s="93">
        <f>C12*D4*C11</f>
        <v>0.79896855874473782</v>
      </c>
      <c r="E12" s="1">
        <f>D12*D4*C10</f>
        <v>0.41181837283275141</v>
      </c>
      <c r="F12" s="1">
        <f>E12*D4*C9</f>
        <v>0.20388200619470959</v>
      </c>
      <c r="G12" s="1">
        <f>F12*D4*C8</f>
        <v>9.2200456904533976E-2</v>
      </c>
      <c r="H12" s="1">
        <f>G12*D4</f>
        <v>3.22168732076741E-2</v>
      </c>
      <c r="I12" s="1">
        <f>H12*D4</f>
        <v>1.1257286071304806E-2</v>
      </c>
      <c r="J12" s="1"/>
      <c r="K12" s="1"/>
      <c r="L12" s="1"/>
      <c r="M12" s="257"/>
      <c r="N12" s="97">
        <f>B12+I12</f>
        <v>1.0000000000000004</v>
      </c>
      <c r="R12" s="298">
        <f>B12-I12</f>
        <v>0.97748542785739079</v>
      </c>
      <c r="S12" s="299">
        <f>SUM(C12:H12)*B4*F4*POWER(O2,A12-1)</f>
        <v>5075.2701519536013</v>
      </c>
      <c r="T12" s="277">
        <f>SUM(C12:H12)*D4*H4*POWER(O2,A12-1)</f>
        <v>-2885.4715830611403</v>
      </c>
      <c r="U12" s="295">
        <f t="shared" si="0"/>
        <v>2858.2105022978662</v>
      </c>
      <c r="V12" s="93">
        <f>(U12+W12*I12)/B12</f>
        <v>2890.8208432273941</v>
      </c>
      <c r="W12" s="9">
        <f t="shared" si="1"/>
        <v>6</v>
      </c>
    </row>
    <row r="13" spans="1:23" x14ac:dyDescent="0.2">
      <c r="A13" s="99">
        <v>7</v>
      </c>
      <c r="B13" s="97">
        <f>C13*B4</f>
        <v>0.99399010695095791</v>
      </c>
      <c r="C13" s="97">
        <f>1/(1-D4*B4/(1-D4*B4/(1-D4*B4/(1-D4*B4/(1-D4*B4/(1-D4*B4))))))</f>
        <v>1.5278570630694503</v>
      </c>
      <c r="D13" s="93">
        <f>C13*D4*C12</f>
        <v>0.81136636719217059</v>
      </c>
      <c r="E13" s="1">
        <f>D13*D4*C11</f>
        <v>0.42654291249143222</v>
      </c>
      <c r="F13" s="1">
        <f>E13*D4*C10</f>
        <v>0.21985622117789153</v>
      </c>
      <c r="G13" s="1">
        <f>F13*D4*C9</f>
        <v>0.10884586605450125</v>
      </c>
      <c r="H13" s="1">
        <f>G13*D4*C8</f>
        <v>4.9222777280357816E-2</v>
      </c>
      <c r="I13" s="1">
        <f>H13*D4</f>
        <v>1.7199524035036391E-2</v>
      </c>
      <c r="J13" s="1">
        <f>I13*D4</f>
        <v>6.0098930490426012E-3</v>
      </c>
      <c r="K13" s="1"/>
      <c r="L13" s="1"/>
      <c r="M13" s="257"/>
      <c r="N13" s="97">
        <f>B13+J13</f>
        <v>1.0000000000000004</v>
      </c>
      <c r="R13" s="298">
        <f>B13-J13</f>
        <v>0.98798021390191526</v>
      </c>
      <c r="S13" s="299">
        <f>SUM(C13:I13)*B4*F4*POWER(O2,A13-1)</f>
        <v>20978.118815128841</v>
      </c>
      <c r="T13" s="277">
        <f>SUM(C13:I13)*D4*H4*POWER(O2,A13-1)</f>
        <v>-11926.806631925647</v>
      </c>
      <c r="U13" s="295">
        <f t="shared" si="0"/>
        <v>11909.522685501061</v>
      </c>
      <c r="V13" s="93">
        <f>(U13+W13*J13)/B13</f>
        <v>11981.572725391326</v>
      </c>
      <c r="W13" s="9">
        <f t="shared" si="1"/>
        <v>7</v>
      </c>
    </row>
    <row r="14" spans="1:23" x14ac:dyDescent="0.2">
      <c r="A14" s="99">
        <v>8</v>
      </c>
      <c r="B14" s="97">
        <f>C14*B4</f>
        <v>0.99678250316433537</v>
      </c>
      <c r="C14" s="97">
        <f>1/(1-D4*B4/(1-D4*B4/(1-D4*B4/(1-D4*B4/(1-D4*B4/(1-D4*B4/(1-D4*B4)))))))</f>
        <v>1.5321492408765154</v>
      </c>
      <c r="D14" s="93">
        <f>C14*D4*C13</f>
        <v>0.81796385154600448</v>
      </c>
      <c r="E14" s="1">
        <f>D14*D4*C12</f>
        <v>0.43437856509305534</v>
      </c>
      <c r="F14" s="1">
        <f>E14*D4*C11</f>
        <v>0.22835688755479006</v>
      </c>
      <c r="G14" s="1">
        <f>F14*D4*C10</f>
        <v>0.11770370789773534</v>
      </c>
      <c r="H14" s="1">
        <f>G14*D4*C9</f>
        <v>5.8272456223055269E-2</v>
      </c>
      <c r="I14" s="1">
        <f>H14*D4*C8</f>
        <v>2.6352237693718382E-2</v>
      </c>
      <c r="J14" s="1">
        <f>I14*D4</f>
        <v>9.2080530728396656E-3</v>
      </c>
      <c r="K14" s="1">
        <f>J14*D4</f>
        <v>3.2174968356650448E-3</v>
      </c>
      <c r="L14" s="1"/>
      <c r="M14" s="257"/>
      <c r="N14" s="97">
        <f>B14+K14</f>
        <v>1.0000000000000004</v>
      </c>
      <c r="R14" s="298">
        <f>B14-K14</f>
        <v>0.99356500632867029</v>
      </c>
      <c r="S14" s="299">
        <f>SUM(C14:J14)*B4*F4*POWER(O2,A14-1)</f>
        <v>85598.063817909642</v>
      </c>
      <c r="T14" s="277">
        <f>SUM(C14:J14)*D4*H4*POWER(O2,A14-1)</f>
        <v>-48665.543570436195</v>
      </c>
      <c r="U14" s="295">
        <f t="shared" si="0"/>
        <v>48842.042932974509</v>
      </c>
      <c r="V14" s="93">
        <f>(U14+W14*K14)/B14</f>
        <v>48999.725133514716</v>
      </c>
      <c r="W14" s="9">
        <f t="shared" si="1"/>
        <v>8</v>
      </c>
    </row>
    <row r="15" spans="1:23" x14ac:dyDescent="0.2">
      <c r="A15" s="99">
        <v>9</v>
      </c>
      <c r="B15" s="97">
        <f>C15*B4</f>
        <v>0.99827488023726296</v>
      </c>
      <c r="C15" s="97">
        <f>1/(1-D4*B4/(1-D4*B4/(1-D4*B4/(1-D4*B4/(1-D4*B4/(1-D4*B4/(1-D4*B4/(1-D4*B4))))))))</f>
        <v>1.534443165972641</v>
      </c>
      <c r="D15" s="93">
        <f>C15*D4*C14</f>
        <v>0.82148983197152237</v>
      </c>
      <c r="E15" s="1">
        <f>D15*D4*C13</f>
        <v>0.43856627607692866</v>
      </c>
      <c r="F15" s="1">
        <f>E15*D4*C12</f>
        <v>0.23290001060613691</v>
      </c>
      <c r="G15" s="1">
        <f>F15*D4*C11</f>
        <v>0.12243772093611832</v>
      </c>
      <c r="H15" s="1">
        <f>G15*D4*C10</f>
        <v>6.3108995288226472E-2</v>
      </c>
      <c r="I15" s="1">
        <f>H15*D4*C9</f>
        <v>3.1243842958705425E-2</v>
      </c>
      <c r="J15" s="1">
        <f>I15*D4*C8</f>
        <v>1.4129234109532205E-2</v>
      </c>
      <c r="K15" s="1">
        <f>J15*D4</f>
        <v>4.9370660310248272E-3</v>
      </c>
      <c r="L15" s="1">
        <f>K15*D4</f>
        <v>1.7251197627375318E-3</v>
      </c>
      <c r="M15" s="257"/>
      <c r="N15" s="97">
        <f>B15+L15</f>
        <v>1.0000000000000004</v>
      </c>
      <c r="R15" s="298">
        <f>B15-L15</f>
        <v>0.99654976047452548</v>
      </c>
      <c r="S15" s="299">
        <f>SUM(C15:K15)*B4*F4*POWER(O2,A15-1)</f>
        <v>346519.91951054567</v>
      </c>
      <c r="T15" s="277">
        <f>SUM(C15:K15)*D4*H4*POWER(O2,A15-1)</f>
        <v>-197008.89820169206</v>
      </c>
      <c r="U15" s="295">
        <f t="shared" si="0"/>
        <v>198353.06424182811</v>
      </c>
      <c r="V15" s="93">
        <f>(U15+W15*L15)/B15</f>
        <v>198695.8539122639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0.99907430478497572</v>
      </c>
      <c r="C16" s="145">
        <f>1/(1-D4*B4/(1-D4*B4/(1-D4*B4/(1-D4*B4/(1-D4*B4/(1-D4*B4/(1-D4*B4/(1-D4*B4/(1-D4*B4)))))))))</f>
        <v>1.5356719573188251</v>
      </c>
      <c r="D16" s="94">
        <f>C16*D4*C15</f>
        <v>0.82337860080752745</v>
      </c>
      <c r="E16" s="111">
        <f>D16*D4*C14</f>
        <v>0.44080951541634555</v>
      </c>
      <c r="F16" s="111">
        <f>E16*D4*C13</f>
        <v>0.23533363422339218</v>
      </c>
      <c r="G16" s="111">
        <f>F16*D4*C12</f>
        <v>0.12497359896636179</v>
      </c>
      <c r="H16" s="111">
        <f>G16*D4*C11</f>
        <v>6.5699793635915688E-2</v>
      </c>
      <c r="I16" s="111">
        <f>H16*D4*C10</f>
        <v>3.3864138725432112E-2</v>
      </c>
      <c r="J16" s="111">
        <f>I16*D4*C9</f>
        <v>1.6765372787777583E-2</v>
      </c>
      <c r="K16" s="111">
        <f>J16*D4*C8</f>
        <v>7.5817138552761818E-3</v>
      </c>
      <c r="L16" s="111">
        <f>K16*D4</f>
        <v>2.649218042652533E-3</v>
      </c>
      <c r="M16" s="259">
        <f>L16*D4</f>
        <v>9.2569521502471139E-4</v>
      </c>
      <c r="N16" s="145">
        <f>B16+M16</f>
        <v>1.0000000000000004</v>
      </c>
      <c r="R16" s="300">
        <f>B16-M16</f>
        <v>0.998148609569951</v>
      </c>
      <c r="S16" s="301">
        <f>SUM(C16:L16)*B4*F4*POWER(O2,A16-1)</f>
        <v>1396049.2387761844</v>
      </c>
      <c r="T16" s="278">
        <f>SUM(C16:L16)*D4*H4*POWER(O2,A16-1)</f>
        <v>-793703.64265087177</v>
      </c>
      <c r="U16" s="295">
        <f t="shared" si="0"/>
        <v>800698.66036714078</v>
      </c>
      <c r="V16" s="94">
        <f>(U16+W16*M16)/B16</f>
        <v>801440.55931497714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6" t="s">
        <v>150</v>
      </c>
      <c r="F20" s="168" t="s">
        <v>151</v>
      </c>
      <c r="G20" s="166" t="s">
        <v>47</v>
      </c>
      <c r="O20" s="29" t="s">
        <v>134</v>
      </c>
      <c r="P20" s="19" t="s">
        <v>139</v>
      </c>
      <c r="Q20" s="19" t="s">
        <v>138</v>
      </c>
      <c r="R20" s="19" t="s">
        <v>137</v>
      </c>
      <c r="S20" s="166" t="s">
        <v>150</v>
      </c>
      <c r="T20" s="167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4</v>
      </c>
      <c r="D21" s="57">
        <f>SUM($C$21:C21)</f>
        <v>4</v>
      </c>
      <c r="E21" s="57">
        <f t="shared" ref="E21:E30" si="3">D21/R7</f>
        <v>13.282157703260239</v>
      </c>
      <c r="F21" s="256">
        <f t="shared" ref="F21:F30" si="4">U7/E21</f>
        <v>5.2634861042937943E-2</v>
      </c>
      <c r="G21" s="281">
        <f>E21*U7</f>
        <v>9.2856165529295662</v>
      </c>
      <c r="O21" s="95">
        <v>1</v>
      </c>
      <c r="P21" s="109">
        <v>1</v>
      </c>
      <c r="Q21" s="110">
        <f>P21*4+6</f>
        <v>10</v>
      </c>
      <c r="R21" s="57">
        <f>SUM($Q$21)</f>
        <v>10</v>
      </c>
      <c r="S21" s="57">
        <f>R21/R7</f>
        <v>33.205394258150598</v>
      </c>
      <c r="T21" s="256">
        <f>U7/S21</f>
        <v>2.1053944417175178E-2</v>
      </c>
      <c r="U21" s="281">
        <f>S21*U7</f>
        <v>23.214041382323916</v>
      </c>
    </row>
    <row r="22" spans="1:21" x14ac:dyDescent="0.2">
      <c r="A22" s="97">
        <v>2</v>
      </c>
      <c r="B22" s="93">
        <f>C21</f>
        <v>4</v>
      </c>
      <c r="C22" s="1">
        <f t="shared" si="2"/>
        <v>16</v>
      </c>
      <c r="D22" s="9">
        <f>SUM($C$21:C22)</f>
        <v>20</v>
      </c>
      <c r="E22" s="9">
        <f t="shared" si="3"/>
        <v>29.241240660485374</v>
      </c>
      <c r="F22" s="257">
        <f t="shared" si="4"/>
        <v>0.1909241289241882</v>
      </c>
      <c r="G22" s="282">
        <f t="shared" ref="G22:G30" si="5">E22*U8</f>
        <v>163.24970609944427</v>
      </c>
      <c r="O22" s="97">
        <v>2</v>
      </c>
      <c r="P22" s="93">
        <f>Q21</f>
        <v>10</v>
      </c>
      <c r="Q22" s="1">
        <f t="shared" ref="Q22:Q30" si="6">P22*4+6</f>
        <v>46</v>
      </c>
      <c r="R22" s="9">
        <f>SUM($Q$21:Q22)</f>
        <v>56</v>
      </c>
      <c r="S22" s="9">
        <f t="shared" ref="S22:S30" si="7">R22/R8</f>
        <v>81.875473849359054</v>
      </c>
      <c r="T22" s="257">
        <f>U8/S22</f>
        <v>6.8187188901495777E-2</v>
      </c>
      <c r="U22" s="282">
        <f t="shared" ref="U22:U30" si="8">S22*U8</f>
        <v>457.09917707844397</v>
      </c>
    </row>
    <row r="23" spans="1:21" x14ac:dyDescent="0.2">
      <c r="A23" s="97">
        <v>3</v>
      </c>
      <c r="B23" s="93">
        <f t="shared" ref="B23:B30" si="9">C22</f>
        <v>16</v>
      </c>
      <c r="C23" s="1">
        <f t="shared" si="2"/>
        <v>64</v>
      </c>
      <c r="D23" s="9">
        <f>SUM($C$21:C23)</f>
        <v>84</v>
      </c>
      <c r="E23" s="9">
        <f t="shared" si="3"/>
        <v>99.580524546258616</v>
      </c>
      <c r="F23" s="257">
        <f t="shared" si="4"/>
        <v>0.31233605263143976</v>
      </c>
      <c r="G23" s="282">
        <f t="shared" si="5"/>
        <v>3097.212023379393</v>
      </c>
      <c r="O23" s="97">
        <v>3</v>
      </c>
      <c r="P23" s="93">
        <f t="shared" ref="P23:P30" si="10">Q22</f>
        <v>46</v>
      </c>
      <c r="Q23" s="1">
        <f t="shared" si="6"/>
        <v>190</v>
      </c>
      <c r="R23" s="9">
        <f>SUM($Q$21:Q23)</f>
        <v>246</v>
      </c>
      <c r="S23" s="9">
        <f t="shared" si="7"/>
        <v>291.6286790283288</v>
      </c>
      <c r="T23" s="257">
        <f t="shared" ref="T23:T30" si="11">U9/S23</f>
        <v>0.10665133504488188</v>
      </c>
      <c r="U23" s="282">
        <f t="shared" si="8"/>
        <v>9070.4066398967934</v>
      </c>
    </row>
    <row r="24" spans="1:21" x14ac:dyDescent="0.2">
      <c r="A24" s="97">
        <v>4</v>
      </c>
      <c r="B24" s="93">
        <f t="shared" si="9"/>
        <v>64</v>
      </c>
      <c r="C24" s="1">
        <f t="shared" si="2"/>
        <v>256</v>
      </c>
      <c r="D24" s="9">
        <f>SUM($C$21:C24)</f>
        <v>340</v>
      </c>
      <c r="E24" s="9">
        <f t="shared" si="3"/>
        <v>369.8249632467988</v>
      </c>
      <c r="F24" s="257">
        <f t="shared" si="4"/>
        <v>0.40483605722545801</v>
      </c>
      <c r="G24" s="282">
        <f t="shared" si="5"/>
        <v>55369.631357591374</v>
      </c>
      <c r="O24" s="97">
        <v>4</v>
      </c>
      <c r="P24" s="93">
        <f t="shared" si="10"/>
        <v>190</v>
      </c>
      <c r="Q24" s="1">
        <f t="shared" si="6"/>
        <v>766</v>
      </c>
      <c r="R24" s="9">
        <f>SUM($Q$21:Q24)</f>
        <v>1012</v>
      </c>
      <c r="S24" s="9">
        <f t="shared" si="7"/>
        <v>1100.7731258992951</v>
      </c>
      <c r="T24" s="257">
        <f t="shared" si="11"/>
        <v>0.1360121140876045</v>
      </c>
      <c r="U24" s="282">
        <f t="shared" si="8"/>
        <v>164806.07921730136</v>
      </c>
    </row>
    <row r="25" spans="1:21" x14ac:dyDescent="0.2">
      <c r="A25" s="97">
        <v>5</v>
      </c>
      <c r="B25" s="93">
        <f t="shared" si="9"/>
        <v>256</v>
      </c>
      <c r="C25" s="1">
        <f t="shared" si="2"/>
        <v>1024</v>
      </c>
      <c r="D25" s="9">
        <f>SUM($C$21:C25)</f>
        <v>1364</v>
      </c>
      <c r="E25" s="9">
        <f t="shared" si="3"/>
        <v>1424.3890284865449</v>
      </c>
      <c r="F25" s="257">
        <f t="shared" si="4"/>
        <v>0.46926220297808141</v>
      </c>
      <c r="G25" s="282">
        <f t="shared" si="5"/>
        <v>952078.62445213832</v>
      </c>
      <c r="O25" s="97">
        <v>5</v>
      </c>
      <c r="P25" s="93">
        <f t="shared" si="10"/>
        <v>766</v>
      </c>
      <c r="Q25" s="1">
        <f t="shared" si="6"/>
        <v>3070</v>
      </c>
      <c r="R25" s="9">
        <f>SUM($Q$21:Q25)</f>
        <v>4082</v>
      </c>
      <c r="S25" s="9">
        <f t="shared" si="7"/>
        <v>4262.7243506466839</v>
      </c>
      <c r="T25" s="257">
        <f t="shared" si="11"/>
        <v>0.15680393063745784</v>
      </c>
      <c r="U25" s="282">
        <f t="shared" si="8"/>
        <v>2849255.8247900503</v>
      </c>
    </row>
    <row r="26" spans="1:21" x14ac:dyDescent="0.2">
      <c r="A26" s="97">
        <v>6</v>
      </c>
      <c r="B26" s="93">
        <f t="shared" si="9"/>
        <v>1024</v>
      </c>
      <c r="C26" s="1">
        <f t="shared" si="2"/>
        <v>4096</v>
      </c>
      <c r="D26" s="9">
        <f>SUM($C$21:C26)</f>
        <v>5460</v>
      </c>
      <c r="E26" s="9">
        <f t="shared" si="3"/>
        <v>5585.7610194436384</v>
      </c>
      <c r="F26" s="257">
        <f t="shared" si="4"/>
        <v>0.51169580874452703</v>
      </c>
      <c r="G26" s="282">
        <f t="shared" si="5"/>
        <v>15965280.809099844</v>
      </c>
      <c r="O26" s="97">
        <v>6</v>
      </c>
      <c r="P26" s="93">
        <f t="shared" si="10"/>
        <v>3070</v>
      </c>
      <c r="Q26" s="1">
        <f t="shared" si="6"/>
        <v>12286</v>
      </c>
      <c r="R26" s="9">
        <f>SUM($Q$21:Q26)</f>
        <v>16368</v>
      </c>
      <c r="S26" s="9">
        <f t="shared" si="7"/>
        <v>16745.006660485982</v>
      </c>
      <c r="T26" s="257">
        <f t="shared" si="11"/>
        <v>0.17069031743310836</v>
      </c>
      <c r="U26" s="282">
        <f t="shared" si="8"/>
        <v>47860753.898048751</v>
      </c>
    </row>
    <row r="27" spans="1:21" x14ac:dyDescent="0.2">
      <c r="A27" s="97">
        <v>7</v>
      </c>
      <c r="B27" s="93">
        <f t="shared" si="9"/>
        <v>4096</v>
      </c>
      <c r="C27" s="1">
        <f t="shared" si="2"/>
        <v>16384</v>
      </c>
      <c r="D27" s="9">
        <f>SUM($C$21:C27)</f>
        <v>21844</v>
      </c>
      <c r="E27" s="9">
        <f t="shared" si="3"/>
        <v>22109.754520011702</v>
      </c>
      <c r="F27" s="257">
        <f t="shared" si="4"/>
        <v>0.53865467727023675</v>
      </c>
      <c r="G27" s="282">
        <f t="shared" si="5"/>
        <v>263316623.02693897</v>
      </c>
      <c r="O27" s="97">
        <v>7</v>
      </c>
      <c r="P27" s="93">
        <f t="shared" si="10"/>
        <v>12286</v>
      </c>
      <c r="Q27" s="1">
        <f t="shared" si="6"/>
        <v>49150</v>
      </c>
      <c r="R27" s="9">
        <f>SUM($Q$21:Q27)</f>
        <v>65518</v>
      </c>
      <c r="S27" s="9">
        <f t="shared" si="7"/>
        <v>66315.09323576848</v>
      </c>
      <c r="T27" s="257">
        <f t="shared" si="11"/>
        <v>0.17958992597898366</v>
      </c>
      <c r="U27" s="282">
        <f t="shared" si="8"/>
        <v>789781107.28250265</v>
      </c>
    </row>
    <row r="28" spans="1:21" x14ac:dyDescent="0.2">
      <c r="A28" s="97">
        <v>8</v>
      </c>
      <c r="B28" s="93">
        <f t="shared" si="9"/>
        <v>16384</v>
      </c>
      <c r="C28" s="1">
        <f t="shared" si="2"/>
        <v>65536</v>
      </c>
      <c r="D28" s="9">
        <f>SUM($C$21:C28)</f>
        <v>87380</v>
      </c>
      <c r="E28" s="9">
        <f t="shared" si="3"/>
        <v>87945.93151270345</v>
      </c>
      <c r="F28" s="257">
        <f t="shared" si="4"/>
        <v>0.55536443918294809</v>
      </c>
      <c r="G28" s="282">
        <f t="shared" si="5"/>
        <v>4295458962.7238979</v>
      </c>
      <c r="O28" s="97">
        <v>8</v>
      </c>
      <c r="P28" s="93">
        <f t="shared" si="10"/>
        <v>49150</v>
      </c>
      <c r="Q28" s="1">
        <f t="shared" si="6"/>
        <v>196606</v>
      </c>
      <c r="R28" s="9">
        <f>SUM($Q$21:Q28)</f>
        <v>262124</v>
      </c>
      <c r="S28" s="9">
        <f t="shared" si="7"/>
        <v>263821.69091137417</v>
      </c>
      <c r="T28" s="257">
        <f t="shared" si="11"/>
        <v>0.18513277950819462</v>
      </c>
      <c r="U28" s="282">
        <f t="shared" si="8"/>
        <v>12885590354.143269</v>
      </c>
    </row>
    <row r="29" spans="1:21" x14ac:dyDescent="0.2">
      <c r="A29" s="97">
        <v>9</v>
      </c>
      <c r="B29" s="93">
        <f t="shared" si="9"/>
        <v>65536</v>
      </c>
      <c r="C29" s="1">
        <f t="shared" si="2"/>
        <v>262144</v>
      </c>
      <c r="D29" s="9">
        <f>SUM($C$21:C29)</f>
        <v>349524</v>
      </c>
      <c r="E29" s="9">
        <f t="shared" si="3"/>
        <v>350734.11671241355</v>
      </c>
      <c r="F29" s="257">
        <f t="shared" si="4"/>
        <v>0.56553684055910891</v>
      </c>
      <c r="G29" s="282">
        <f t="shared" si="5"/>
        <v>69569186784.058197</v>
      </c>
      <c r="O29" s="97">
        <v>9</v>
      </c>
      <c r="P29" s="93">
        <f t="shared" si="10"/>
        <v>196606</v>
      </c>
      <c r="Q29" s="1">
        <f t="shared" si="6"/>
        <v>786430</v>
      </c>
      <c r="R29" s="9">
        <f>SUM($Q$21:Q29)</f>
        <v>1048554</v>
      </c>
      <c r="S29" s="9">
        <f t="shared" si="7"/>
        <v>1052184.2878179126</v>
      </c>
      <c r="T29" s="257">
        <f t="shared" si="11"/>
        <v>0.18851551628202454</v>
      </c>
      <c r="U29" s="282">
        <f t="shared" si="8"/>
        <v>208703977635.78857</v>
      </c>
    </row>
    <row r="30" spans="1:21" ht="17" thickBot="1" x14ac:dyDescent="0.25">
      <c r="A30" s="145">
        <v>10</v>
      </c>
      <c r="B30" s="94">
        <f t="shared" si="9"/>
        <v>262144</v>
      </c>
      <c r="C30" s="111">
        <f t="shared" si="2"/>
        <v>1048576</v>
      </c>
      <c r="D30" s="10">
        <f>SUM($C$21:C30)</f>
        <v>1398100</v>
      </c>
      <c r="E30" s="10">
        <f t="shared" si="3"/>
        <v>1400693.2300415332</v>
      </c>
      <c r="F30" s="257">
        <f t="shared" si="4"/>
        <v>0.57164455656246627</v>
      </c>
      <c r="G30" s="283">
        <f t="shared" si="5"/>
        <v>1121533192879.5791</v>
      </c>
      <c r="O30" s="145">
        <v>10</v>
      </c>
      <c r="P30" s="94">
        <f t="shared" si="10"/>
        <v>786430</v>
      </c>
      <c r="Q30" s="111">
        <f t="shared" si="6"/>
        <v>3145726</v>
      </c>
      <c r="R30" s="10">
        <f>SUM($Q$21:Q30)</f>
        <v>4194280</v>
      </c>
      <c r="S30" s="10">
        <f t="shared" si="7"/>
        <v>4202059.653028111</v>
      </c>
      <c r="T30" s="259">
        <f t="shared" si="11"/>
        <v>0.19054909413057403</v>
      </c>
      <c r="U30" s="283">
        <f t="shared" si="8"/>
        <v>3364583534962.4209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6" t="s">
        <v>150</v>
      </c>
      <c r="F32" s="167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7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4</v>
      </c>
      <c r="D33" s="57">
        <f>SUM($C$33:C33)</f>
        <v>4</v>
      </c>
      <c r="E33" s="8">
        <f t="shared" ref="E33:E42" si="13">D33/R7</f>
        <v>13.282157703260239</v>
      </c>
      <c r="F33" s="256">
        <f t="shared" ref="F33:F42" si="14">U7/E33</f>
        <v>5.2634861042937943E-2</v>
      </c>
      <c r="G33" s="284">
        <f>E33*U7</f>
        <v>9.2856165529295662</v>
      </c>
      <c r="O33" s="101">
        <v>1</v>
      </c>
      <c r="P33" s="109">
        <v>1</v>
      </c>
      <c r="Q33" s="110">
        <f>P33*4+6</f>
        <v>10</v>
      </c>
      <c r="R33" s="57">
        <f>SUM($Q$21)</f>
        <v>10</v>
      </c>
      <c r="S33" s="276">
        <f>R33/R7</f>
        <v>33.205394258150598</v>
      </c>
      <c r="T33" s="256">
        <f>U7/S33</f>
        <v>2.1053944417175178E-2</v>
      </c>
      <c r="U33" s="284">
        <f>S33*U7</f>
        <v>23.214041382323916</v>
      </c>
    </row>
    <row r="34" spans="1:21" x14ac:dyDescent="0.2">
      <c r="A34" s="97">
        <v>2</v>
      </c>
      <c r="B34" s="93">
        <f t="shared" ref="B34:B42" si="15">B33*($O$2+1)</f>
        <v>5</v>
      </c>
      <c r="C34" s="1">
        <f t="shared" si="12"/>
        <v>20</v>
      </c>
      <c r="D34" s="9">
        <f>SUM($C$33:C34)</f>
        <v>24</v>
      </c>
      <c r="E34" s="9">
        <f t="shared" si="13"/>
        <v>35.089488792582451</v>
      </c>
      <c r="F34" s="257">
        <f t="shared" si="14"/>
        <v>0.15910344077015681</v>
      </c>
      <c r="G34" s="282">
        <f t="shared" ref="G34:G42" si="16">E34*U8</f>
        <v>195.89964731933313</v>
      </c>
      <c r="O34" s="99">
        <v>2</v>
      </c>
      <c r="P34" s="93">
        <f>Q33+1</f>
        <v>11</v>
      </c>
      <c r="Q34" s="1">
        <f t="shared" ref="Q34:Q42" si="17">P34*4+6</f>
        <v>50</v>
      </c>
      <c r="R34" s="9">
        <f>SUM($Q$33:Q34)</f>
        <v>60</v>
      </c>
      <c r="S34" s="277">
        <f>R34/R8</f>
        <v>87.723721981456123</v>
      </c>
      <c r="T34" s="257">
        <f t="shared" ref="T34:T42" si="18">U8/S34</f>
        <v>6.3641376308062728E-2</v>
      </c>
      <c r="U34" s="282">
        <f t="shared" ref="U34:U42" si="19">S34*U8</f>
        <v>489.7491182983328</v>
      </c>
    </row>
    <row r="35" spans="1:21" x14ac:dyDescent="0.2">
      <c r="A35" s="97">
        <v>3</v>
      </c>
      <c r="B35" s="93">
        <f t="shared" si="15"/>
        <v>25</v>
      </c>
      <c r="C35" s="1">
        <f t="shared" si="12"/>
        <v>100</v>
      </c>
      <c r="D35" s="9">
        <f>SUM($C$33:C35)</f>
        <v>124</v>
      </c>
      <c r="E35" s="9">
        <f t="shared" si="13"/>
        <v>146.99982194923891</v>
      </c>
      <c r="F35" s="257">
        <f t="shared" si="14"/>
        <v>0.2115824872664592</v>
      </c>
      <c r="G35" s="282">
        <f t="shared" si="16"/>
        <v>4572.0748916552939</v>
      </c>
      <c r="O35" s="99">
        <v>3</v>
      </c>
      <c r="P35" s="93">
        <f t="shared" ref="P35:P42" si="20">Q34+1</f>
        <v>51</v>
      </c>
      <c r="Q35" s="1">
        <f t="shared" si="17"/>
        <v>210</v>
      </c>
      <c r="R35" s="9">
        <f>SUM($Q$33:Q35)</f>
        <v>270</v>
      </c>
      <c r="S35" s="277">
        <f t="shared" ref="S35:S42" si="21">R35/R9</f>
        <v>320.08025747011698</v>
      </c>
      <c r="T35" s="257">
        <f t="shared" si="18"/>
        <v>9.7171216374225711E-2</v>
      </c>
      <c r="U35" s="282">
        <f t="shared" si="19"/>
        <v>9955.3243608623343</v>
      </c>
    </row>
    <row r="36" spans="1:21" x14ac:dyDescent="0.2">
      <c r="A36" s="97">
        <v>4</v>
      </c>
      <c r="B36" s="93">
        <f t="shared" si="15"/>
        <v>125</v>
      </c>
      <c r="C36" s="1">
        <f t="shared" si="12"/>
        <v>500</v>
      </c>
      <c r="D36" s="9">
        <f>SUM($C$33:C36)</f>
        <v>624</v>
      </c>
      <c r="E36" s="9">
        <f t="shared" si="13"/>
        <v>678.73757960588955</v>
      </c>
      <c r="F36" s="257">
        <f t="shared" si="14"/>
        <v>0.22058374912925596</v>
      </c>
      <c r="G36" s="282">
        <f t="shared" si="16"/>
        <v>101619.55872687358</v>
      </c>
      <c r="O36" s="99">
        <v>4</v>
      </c>
      <c r="P36" s="93">
        <f t="shared" si="20"/>
        <v>211</v>
      </c>
      <c r="Q36" s="1">
        <f t="shared" si="17"/>
        <v>850</v>
      </c>
      <c r="R36" s="9">
        <f>SUM($Q$33:Q36)</f>
        <v>1120</v>
      </c>
      <c r="S36" s="277">
        <f t="shared" si="21"/>
        <v>1218.2469377541606</v>
      </c>
      <c r="T36" s="257">
        <f t="shared" si="18"/>
        <v>0.12289666022915691</v>
      </c>
      <c r="U36" s="282">
        <f t="shared" si="19"/>
        <v>182394.07976618333</v>
      </c>
    </row>
    <row r="37" spans="1:21" x14ac:dyDescent="0.2">
      <c r="A37" s="97">
        <v>5</v>
      </c>
      <c r="B37" s="93">
        <f t="shared" si="15"/>
        <v>625</v>
      </c>
      <c r="C37" s="1">
        <f t="shared" si="12"/>
        <v>2500</v>
      </c>
      <c r="D37" s="9">
        <f>SUM($C$33:C37)</f>
        <v>3124</v>
      </c>
      <c r="E37" s="9">
        <f t="shared" si="13"/>
        <v>3262.3103555659577</v>
      </c>
      <c r="F37" s="257">
        <f t="shared" si="14"/>
        <v>0.20488913087775384</v>
      </c>
      <c r="G37" s="282">
        <f t="shared" si="16"/>
        <v>2180567.1721323165</v>
      </c>
      <c r="O37" s="99">
        <v>5</v>
      </c>
      <c r="P37" s="93">
        <f t="shared" si="20"/>
        <v>851</v>
      </c>
      <c r="Q37" s="1">
        <f t="shared" si="17"/>
        <v>3410</v>
      </c>
      <c r="R37" s="9">
        <f>SUM($Q$33:Q37)</f>
        <v>4530</v>
      </c>
      <c r="S37" s="277">
        <f t="shared" si="21"/>
        <v>4730.5588702668974</v>
      </c>
      <c r="T37" s="257">
        <f t="shared" si="18"/>
        <v>0.14129661034483512</v>
      </c>
      <c r="U37" s="282">
        <f t="shared" si="19"/>
        <v>3161962.0005631861</v>
      </c>
    </row>
    <row r="38" spans="1:21" x14ac:dyDescent="0.2">
      <c r="A38" s="97">
        <v>6</v>
      </c>
      <c r="B38" s="93">
        <f t="shared" si="15"/>
        <v>3125</v>
      </c>
      <c r="C38" s="1">
        <f t="shared" si="12"/>
        <v>12500</v>
      </c>
      <c r="D38" s="9">
        <f>SUM($C$33:C38)</f>
        <v>15624</v>
      </c>
      <c r="E38" s="9">
        <f t="shared" si="13"/>
        <v>15983.869994100258</v>
      </c>
      <c r="F38" s="257">
        <f t="shared" si="14"/>
        <v>0.17881842778706589</v>
      </c>
      <c r="G38" s="282">
        <f t="shared" si="16"/>
        <v>45685265.084501088</v>
      </c>
      <c r="O38" s="99">
        <v>6</v>
      </c>
      <c r="P38" s="93">
        <f t="shared" si="20"/>
        <v>3411</v>
      </c>
      <c r="Q38" s="1">
        <f t="shared" si="17"/>
        <v>13650</v>
      </c>
      <c r="R38" s="9">
        <f>SUM($Q$33:Q38)</f>
        <v>18180</v>
      </c>
      <c r="S38" s="277">
        <f t="shared" si="21"/>
        <v>18598.742735070577</v>
      </c>
      <c r="T38" s="257">
        <f t="shared" si="18"/>
        <v>0.15367761912789424</v>
      </c>
      <c r="U38" s="282">
        <f t="shared" si="19"/>
        <v>53159121.81491486</v>
      </c>
    </row>
    <row r="39" spans="1:21" x14ac:dyDescent="0.2">
      <c r="A39" s="97">
        <v>7</v>
      </c>
      <c r="B39" s="93">
        <f t="shared" si="15"/>
        <v>15625</v>
      </c>
      <c r="C39" s="1">
        <f t="shared" si="12"/>
        <v>62500</v>
      </c>
      <c r="D39" s="9">
        <f>SUM($C$33:C39)</f>
        <v>78124</v>
      </c>
      <c r="E39" s="9">
        <f t="shared" si="13"/>
        <v>79074.458071845555</v>
      </c>
      <c r="F39" s="257">
        <f t="shared" si="14"/>
        <v>0.15061149928691631</v>
      </c>
      <c r="G39" s="282">
        <f t="shared" si="16"/>
        <v>941739052.25034714</v>
      </c>
      <c r="O39" s="99">
        <v>7</v>
      </c>
      <c r="P39" s="93">
        <f t="shared" si="20"/>
        <v>13651</v>
      </c>
      <c r="Q39" s="1">
        <f t="shared" si="17"/>
        <v>54610</v>
      </c>
      <c r="R39" s="9">
        <f>SUM($Q$33:Q39)</f>
        <v>72790</v>
      </c>
      <c r="S39" s="277">
        <f t="shared" si="21"/>
        <v>73675.564526261296</v>
      </c>
      <c r="T39" s="257">
        <f t="shared" si="18"/>
        <v>0.16164820401553856</v>
      </c>
      <c r="U39" s="282">
        <f t="shared" si="19"/>
        <v>877440807.09260607</v>
      </c>
    </row>
    <row r="40" spans="1:21" x14ac:dyDescent="0.2">
      <c r="A40" s="97">
        <v>8</v>
      </c>
      <c r="B40" s="93">
        <f t="shared" si="15"/>
        <v>78125</v>
      </c>
      <c r="C40" s="1">
        <f t="shared" si="12"/>
        <v>312500</v>
      </c>
      <c r="D40" s="9">
        <f>SUM($C$33:C40)</f>
        <v>390624</v>
      </c>
      <c r="E40" s="9">
        <f t="shared" si="13"/>
        <v>393153.94313593808</v>
      </c>
      <c r="F40" s="257">
        <f t="shared" si="14"/>
        <v>0.12423134445350517</v>
      </c>
      <c r="G40" s="282">
        <f t="shared" si="16"/>
        <v>19202441769.913708</v>
      </c>
      <c r="O40" s="99">
        <v>8</v>
      </c>
      <c r="P40" s="93">
        <f t="shared" si="20"/>
        <v>54611</v>
      </c>
      <c r="Q40" s="1">
        <f t="shared" si="17"/>
        <v>218450</v>
      </c>
      <c r="R40" s="9">
        <f>SUM($Q$33:Q40)</f>
        <v>291240</v>
      </c>
      <c r="S40" s="277">
        <f t="shared" si="21"/>
        <v>293126.26566445123</v>
      </c>
      <c r="T40" s="257">
        <f t="shared" si="18"/>
        <v>0.16662458692420687</v>
      </c>
      <c r="U40" s="282">
        <f t="shared" si="19"/>
        <v>14316885652.36562</v>
      </c>
    </row>
    <row r="41" spans="1:21" x14ac:dyDescent="0.2">
      <c r="A41" s="97">
        <v>9</v>
      </c>
      <c r="B41" s="93">
        <f t="shared" si="15"/>
        <v>390625</v>
      </c>
      <c r="C41" s="1">
        <f t="shared" si="12"/>
        <v>1562500</v>
      </c>
      <c r="D41" s="9">
        <f>SUM($C$33:C41)</f>
        <v>1953124</v>
      </c>
      <c r="E41" s="9">
        <f t="shared" si="13"/>
        <v>1959886.076406244</v>
      </c>
      <c r="F41" s="257">
        <f t="shared" si="14"/>
        <v>0.10120642553139585</v>
      </c>
      <c r="G41" s="282">
        <f t="shared" si="16"/>
        <v>388749408820.07214</v>
      </c>
      <c r="O41" s="99">
        <v>9</v>
      </c>
      <c r="P41" s="93">
        <f t="shared" si="20"/>
        <v>218451</v>
      </c>
      <c r="Q41" s="1">
        <f t="shared" si="17"/>
        <v>873810</v>
      </c>
      <c r="R41" s="9">
        <f>SUM($Q$33:Q41)</f>
        <v>1165050</v>
      </c>
      <c r="S41" s="277">
        <f t="shared" si="21"/>
        <v>1169083.618509165</v>
      </c>
      <c r="T41" s="257">
        <f t="shared" si="18"/>
        <v>0.16966542093436504</v>
      </c>
      <c r="U41" s="282">
        <f t="shared" si="19"/>
        <v>231891318086.21725</v>
      </c>
    </row>
    <row r="42" spans="1:21" ht="17" thickBot="1" x14ac:dyDescent="0.25">
      <c r="A42" s="145">
        <v>10</v>
      </c>
      <c r="B42" s="94">
        <f t="shared" si="15"/>
        <v>1953125</v>
      </c>
      <c r="C42" s="111">
        <f t="shared" si="12"/>
        <v>7812500</v>
      </c>
      <c r="D42" s="10">
        <f>SUM($C$33:C42)</f>
        <v>9765624</v>
      </c>
      <c r="E42" s="9">
        <f t="shared" si="13"/>
        <v>9783737.5180109572</v>
      </c>
      <c r="F42" s="257">
        <f t="shared" si="14"/>
        <v>8.1839752844261052E-2</v>
      </c>
      <c r="G42" s="283">
        <f t="shared" si="16"/>
        <v>7833825524055.1084</v>
      </c>
      <c r="O42" s="100">
        <v>10</v>
      </c>
      <c r="P42" s="94">
        <f t="shared" si="20"/>
        <v>873811</v>
      </c>
      <c r="Q42" s="111">
        <f t="shared" si="17"/>
        <v>3495250</v>
      </c>
      <c r="R42" s="10">
        <f>SUM($Q$33:Q42)</f>
        <v>4660300</v>
      </c>
      <c r="S42" s="278">
        <f t="shared" si="21"/>
        <v>4668944.0383109637</v>
      </c>
      <c r="T42" s="259">
        <f t="shared" si="18"/>
        <v>0.17149459359482949</v>
      </c>
      <c r="U42" s="283">
        <f t="shared" si="19"/>
        <v>3738417236804.7368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6" t="s">
        <v>150</v>
      </c>
      <c r="F44" s="286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7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4</v>
      </c>
      <c r="D45" s="57">
        <f>SUM(C45:C45)</f>
        <v>4</v>
      </c>
      <c r="E45" s="57">
        <f t="shared" ref="E45:E54" si="23">D45/R7</f>
        <v>13.282157703260239</v>
      </c>
      <c r="F45" s="287">
        <f t="shared" ref="F45:F54" si="24">U7/E45</f>
        <v>5.2634861042937943E-2</v>
      </c>
      <c r="G45" s="281">
        <f>E45*U7</f>
        <v>9.2856165529295662</v>
      </c>
      <c r="O45" s="101">
        <v>1</v>
      </c>
      <c r="P45" s="109">
        <v>1</v>
      </c>
      <c r="Q45" s="110">
        <f>P45*4+6</f>
        <v>10</v>
      </c>
      <c r="R45" s="57">
        <f>SUM($Q$21)</f>
        <v>10</v>
      </c>
      <c r="S45" s="276">
        <f>R45/R7</f>
        <v>33.205394258150598</v>
      </c>
      <c r="T45" s="256">
        <f>U7/S45</f>
        <v>2.1053944417175178E-2</v>
      </c>
      <c r="U45" s="284">
        <f>S45*U7</f>
        <v>23.214041382323916</v>
      </c>
    </row>
    <row r="46" spans="1:21" x14ac:dyDescent="0.2">
      <c r="A46" s="97">
        <v>2</v>
      </c>
      <c r="B46" s="93">
        <f t="shared" ref="B46:B54" si="25">B45*$O$2*2</f>
        <v>8</v>
      </c>
      <c r="C46" s="1">
        <f t="shared" si="22"/>
        <v>32</v>
      </c>
      <c r="D46" s="9">
        <f>SUM($C$45:C46)</f>
        <v>36</v>
      </c>
      <c r="E46" s="9">
        <f t="shared" si="23"/>
        <v>52.634233188873672</v>
      </c>
      <c r="F46" s="99">
        <f t="shared" si="24"/>
        <v>0.10606896051343789</v>
      </c>
      <c r="G46" s="282">
        <f t="shared" ref="G46:G54" si="26">E46*U8</f>
        <v>293.8494709789997</v>
      </c>
      <c r="O46" s="99">
        <v>2</v>
      </c>
      <c r="P46" s="93">
        <f>Q45*2</f>
        <v>20</v>
      </c>
      <c r="Q46" s="1">
        <f t="shared" ref="Q46:Q54" si="27">P46*4+6</f>
        <v>86</v>
      </c>
      <c r="R46" s="9">
        <f>SUM($Q$45:Q46)</f>
        <v>96</v>
      </c>
      <c r="S46" s="277">
        <f t="shared" ref="S46:S54" si="28">R46/R8</f>
        <v>140.3579551703298</v>
      </c>
      <c r="T46" s="257">
        <f t="shared" ref="T46:T54" si="29">U8/S46</f>
        <v>3.9775860192539203E-2</v>
      </c>
      <c r="U46" s="282">
        <f t="shared" ref="U46:U54" si="30">S46*U8</f>
        <v>783.59858927733251</v>
      </c>
    </row>
    <row r="47" spans="1:21" x14ac:dyDescent="0.2">
      <c r="A47" s="97">
        <v>3</v>
      </c>
      <c r="B47" s="93">
        <f t="shared" si="25"/>
        <v>64</v>
      </c>
      <c r="C47" s="1">
        <f t="shared" si="22"/>
        <v>256</v>
      </c>
      <c r="D47" s="9">
        <f>SUM($C$45:C47)</f>
        <v>292</v>
      </c>
      <c r="E47" s="9">
        <f t="shared" si="23"/>
        <v>346.16087104175614</v>
      </c>
      <c r="F47" s="99">
        <f t="shared" si="24"/>
        <v>8.9850097332331985E-2</v>
      </c>
      <c r="G47" s="282">
        <f t="shared" si="26"/>
        <v>10766.498938414081</v>
      </c>
      <c r="O47" s="99">
        <v>3</v>
      </c>
      <c r="P47" s="93">
        <f t="shared" ref="P47:P54" si="31">Q46*2</f>
        <v>172</v>
      </c>
      <c r="Q47" s="1">
        <f t="shared" si="27"/>
        <v>694</v>
      </c>
      <c r="R47" s="9">
        <f>SUM($Q$45:Q47)</f>
        <v>790</v>
      </c>
      <c r="S47" s="277">
        <f t="shared" si="28"/>
        <v>936.53112370886083</v>
      </c>
      <c r="T47" s="257">
        <f t="shared" si="29"/>
        <v>3.3210415722836631E-2</v>
      </c>
      <c r="U47" s="282">
        <f t="shared" si="30"/>
        <v>29128.541648449052</v>
      </c>
    </row>
    <row r="48" spans="1:21" x14ac:dyDescent="0.2">
      <c r="A48" s="97">
        <v>4</v>
      </c>
      <c r="B48" s="93">
        <f t="shared" si="25"/>
        <v>512</v>
      </c>
      <c r="C48" s="1">
        <f t="shared" si="22"/>
        <v>2048</v>
      </c>
      <c r="D48" s="9">
        <f>SUM($C$45:C48)</f>
        <v>2340</v>
      </c>
      <c r="E48" s="9">
        <f t="shared" si="23"/>
        <v>2545.2659235220858</v>
      </c>
      <c r="F48" s="99">
        <f t="shared" si="24"/>
        <v>5.8822333101134924E-2</v>
      </c>
      <c r="G48" s="282">
        <f t="shared" si="26"/>
        <v>381073.34522577591</v>
      </c>
      <c r="O48" s="99">
        <v>4</v>
      </c>
      <c r="P48" s="93">
        <f t="shared" si="31"/>
        <v>1388</v>
      </c>
      <c r="Q48" s="1">
        <f t="shared" si="27"/>
        <v>5558</v>
      </c>
      <c r="R48" s="9">
        <f>SUM($Q$45:Q48)</f>
        <v>6348</v>
      </c>
      <c r="S48" s="277">
        <f t="shared" si="28"/>
        <v>6904.8496079137612</v>
      </c>
      <c r="T48" s="257">
        <f t="shared" si="29"/>
        <v>2.1683090651647089E-2</v>
      </c>
      <c r="U48" s="282">
        <f t="shared" si="30"/>
        <v>1033783.5878176178</v>
      </c>
    </row>
    <row r="49" spans="1:21" x14ac:dyDescent="0.2">
      <c r="A49" s="97">
        <v>5</v>
      </c>
      <c r="B49" s="93">
        <f t="shared" si="25"/>
        <v>4096</v>
      </c>
      <c r="C49" s="1">
        <f t="shared" si="22"/>
        <v>16384</v>
      </c>
      <c r="D49" s="9">
        <f>SUM($C$45:C49)</f>
        <v>18724</v>
      </c>
      <c r="E49" s="9">
        <f t="shared" si="23"/>
        <v>19552.976663769845</v>
      </c>
      <c r="F49" s="99">
        <f t="shared" si="24"/>
        <v>3.4184663793105266E-2</v>
      </c>
      <c r="G49" s="282">
        <f t="shared" si="26"/>
        <v>13069442.935661171</v>
      </c>
      <c r="O49" s="99">
        <v>5</v>
      </c>
      <c r="P49" s="93">
        <f t="shared" si="31"/>
        <v>11116</v>
      </c>
      <c r="Q49" s="1">
        <f t="shared" si="27"/>
        <v>44470</v>
      </c>
      <c r="R49" s="9">
        <f>SUM($Q$45:Q49)</f>
        <v>50818</v>
      </c>
      <c r="S49" s="277">
        <f t="shared" si="28"/>
        <v>53067.889772455455</v>
      </c>
      <c r="T49" s="257">
        <f t="shared" si="29"/>
        <v>1.259541195761547E-2</v>
      </c>
      <c r="U49" s="282">
        <f t="shared" si="30"/>
        <v>35471210.804551877</v>
      </c>
    </row>
    <row r="50" spans="1:21" x14ac:dyDescent="0.2">
      <c r="A50" s="97">
        <v>6</v>
      </c>
      <c r="B50" s="93">
        <f t="shared" si="25"/>
        <v>32768</v>
      </c>
      <c r="C50" s="1">
        <f t="shared" si="22"/>
        <v>131072</v>
      </c>
      <c r="D50" s="9">
        <f>SUM($C$45:C50)</f>
        <v>149796</v>
      </c>
      <c r="E50" s="9">
        <f t="shared" si="23"/>
        <v>153246.27429827457</v>
      </c>
      <c r="F50" s="99">
        <f t="shared" si="24"/>
        <v>1.8651092924678349E-2</v>
      </c>
      <c r="G50" s="282">
        <f t="shared" si="26"/>
        <v>438010110.63734794</v>
      </c>
      <c r="O50" s="99">
        <v>6</v>
      </c>
      <c r="P50" s="93">
        <f t="shared" si="31"/>
        <v>88940</v>
      </c>
      <c r="Q50" s="1">
        <f t="shared" si="27"/>
        <v>355766</v>
      </c>
      <c r="R50" s="9">
        <f>SUM($Q$45:Q50)</f>
        <v>406584</v>
      </c>
      <c r="S50" s="277">
        <f t="shared" si="28"/>
        <v>415948.91178195464</v>
      </c>
      <c r="T50" s="257">
        <f t="shared" si="29"/>
        <v>6.8715422046738616E-3</v>
      </c>
      <c r="U50" s="282">
        <f t="shared" si="30"/>
        <v>1188869548.0745513</v>
      </c>
    </row>
    <row r="51" spans="1:21" x14ac:dyDescent="0.2">
      <c r="A51" s="97">
        <v>7</v>
      </c>
      <c r="B51" s="93">
        <f t="shared" si="25"/>
        <v>262144</v>
      </c>
      <c r="C51" s="1">
        <f t="shared" si="22"/>
        <v>1048576</v>
      </c>
      <c r="D51" s="9">
        <f>SUM($C$45:C51)</f>
        <v>1198372</v>
      </c>
      <c r="E51" s="9">
        <f t="shared" si="23"/>
        <v>1212951.4165745955</v>
      </c>
      <c r="F51" s="99">
        <f t="shared" si="24"/>
        <v>9.8186312516406003E-3</v>
      </c>
      <c r="G51" s="282">
        <f t="shared" si="26"/>
        <v>14445672412.105793</v>
      </c>
      <c r="O51" s="99">
        <v>7</v>
      </c>
      <c r="P51" s="93">
        <f t="shared" si="31"/>
        <v>711532</v>
      </c>
      <c r="Q51" s="1">
        <f t="shared" si="27"/>
        <v>2846134</v>
      </c>
      <c r="R51" s="9">
        <f>SUM($Q$45:Q51)</f>
        <v>3252718</v>
      </c>
      <c r="S51" s="277">
        <f t="shared" si="28"/>
        <v>3292290.6291349307</v>
      </c>
      <c r="T51" s="257">
        <f t="shared" si="29"/>
        <v>3.6173971338096479E-3</v>
      </c>
      <c r="U51" s="282">
        <f t="shared" si="30"/>
        <v>39209609934.945015</v>
      </c>
    </row>
    <row r="52" spans="1:21" x14ac:dyDescent="0.2">
      <c r="A52" s="97">
        <v>8</v>
      </c>
      <c r="B52" s="93">
        <f t="shared" si="25"/>
        <v>2097152</v>
      </c>
      <c r="C52" s="1">
        <f t="shared" si="22"/>
        <v>8388608</v>
      </c>
      <c r="D52" s="9">
        <f>SUM($C$45:C52)</f>
        <v>9586980</v>
      </c>
      <c r="E52" s="9">
        <f t="shared" si="23"/>
        <v>9649071.7154229525</v>
      </c>
      <c r="F52" s="99">
        <f t="shared" si="24"/>
        <v>5.0618385243117233E-3</v>
      </c>
      <c r="G52" s="282">
        <f t="shared" si="26"/>
        <v>471280374988.03784</v>
      </c>
      <c r="O52" s="99">
        <v>8</v>
      </c>
      <c r="P52" s="93">
        <f t="shared" si="31"/>
        <v>5692268</v>
      </c>
      <c r="Q52" s="1">
        <f t="shared" si="27"/>
        <v>22769078</v>
      </c>
      <c r="R52" s="9">
        <f>SUM($Q$45:Q52)</f>
        <v>26021796</v>
      </c>
      <c r="S52" s="277">
        <f t="shared" si="28"/>
        <v>26190330.611736558</v>
      </c>
      <c r="T52" s="257">
        <f t="shared" si="29"/>
        <v>1.8648883688045976E-3</v>
      </c>
      <c r="U52" s="282">
        <f t="shared" si="30"/>
        <v>1279189252167.2336</v>
      </c>
    </row>
    <row r="53" spans="1:21" x14ac:dyDescent="0.2">
      <c r="A53" s="97">
        <v>9</v>
      </c>
      <c r="B53" s="93">
        <f t="shared" si="25"/>
        <v>16777216</v>
      </c>
      <c r="C53" s="1">
        <f t="shared" si="22"/>
        <v>67108864</v>
      </c>
      <c r="D53" s="9">
        <f>SUM($C$45:C53)</f>
        <v>76695844</v>
      </c>
      <c r="E53" s="9">
        <f t="shared" si="23"/>
        <v>76961379.192424729</v>
      </c>
      <c r="F53" s="99">
        <f t="shared" si="24"/>
        <v>2.5773065181938929E-3</v>
      </c>
      <c r="G53" s="282">
        <f t="shared" si="26"/>
        <v>15265525391094.715</v>
      </c>
      <c r="O53" s="99">
        <v>9</v>
      </c>
      <c r="P53" s="93">
        <f t="shared" si="31"/>
        <v>45538156</v>
      </c>
      <c r="Q53" s="1">
        <f t="shared" si="27"/>
        <v>182152630</v>
      </c>
      <c r="R53" s="9">
        <f>SUM($Q$45:Q53)</f>
        <v>208174426</v>
      </c>
      <c r="S53" s="277">
        <f t="shared" si="28"/>
        <v>208895164.35273027</v>
      </c>
      <c r="T53" s="257">
        <f t="shared" si="29"/>
        <v>9.4953401557394939E-4</v>
      </c>
      <c r="U53" s="282">
        <f t="shared" si="30"/>
        <v>41434995954664.352</v>
      </c>
    </row>
    <row r="54" spans="1:21" ht="17" thickBot="1" x14ac:dyDescent="0.25">
      <c r="A54" s="145">
        <v>10</v>
      </c>
      <c r="B54" s="94">
        <f t="shared" si="25"/>
        <v>134217728</v>
      </c>
      <c r="C54" s="111">
        <f t="shared" si="22"/>
        <v>536870912</v>
      </c>
      <c r="D54" s="10">
        <f>SUM($C$45:C54)</f>
        <v>613566756</v>
      </c>
      <c r="E54" s="10">
        <f t="shared" si="23"/>
        <v>614704814.611076</v>
      </c>
      <c r="F54" s="100">
        <f t="shared" si="24"/>
        <v>1.3025742459390744E-3</v>
      </c>
      <c r="G54" s="283">
        <f t="shared" si="26"/>
        <v>492193321580320.19</v>
      </c>
      <c r="O54" s="100">
        <v>10</v>
      </c>
      <c r="P54" s="94">
        <f t="shared" si="31"/>
        <v>364305260</v>
      </c>
      <c r="Q54" s="111">
        <f t="shared" si="27"/>
        <v>1457221046</v>
      </c>
      <c r="R54" s="10">
        <f>SUM($Q$45:Q54)</f>
        <v>1665395472</v>
      </c>
      <c r="S54" s="278">
        <f t="shared" si="28"/>
        <v>1668484488.214165</v>
      </c>
      <c r="T54" s="259">
        <f t="shared" si="29"/>
        <v>4.7989577728957823E-4</v>
      </c>
      <c r="U54" s="283">
        <f t="shared" si="30"/>
        <v>1335953294556436.5</v>
      </c>
    </row>
  </sheetData>
  <mergeCells count="2">
    <mergeCell ref="A18:F18"/>
    <mergeCell ref="O18:T18"/>
  </mergeCells>
  <conditionalFormatting sqref="F45:F54">
    <cfRule type="cellIs" dxfId="848" priority="84" operator="equal">
      <formula>MAX($F$45:$F$54)</formula>
    </cfRule>
  </conditionalFormatting>
  <conditionalFormatting sqref="F21:F30">
    <cfRule type="cellIs" dxfId="847" priority="82" operator="equal">
      <formula>MAX($F$21:$F$30)</formula>
    </cfRule>
  </conditionalFormatting>
  <conditionalFormatting sqref="F33:F42">
    <cfRule type="cellIs" dxfId="846" priority="56" operator="lessThanOrEqual">
      <formula>0</formula>
    </cfRule>
    <cfRule type="cellIs" dxfId="845" priority="57" operator="equal">
      <formula>MAX($F$33:$F$42)</formula>
    </cfRule>
  </conditionalFormatting>
  <conditionalFormatting sqref="E21:E30">
    <cfRule type="cellIs" dxfId="844" priority="44" stopIfTrue="1" operator="lessThan">
      <formula>0</formula>
    </cfRule>
    <cfRule type="cellIs" dxfId="843" priority="45" operator="equal">
      <formula>MIN($E$21:$E$30)</formula>
    </cfRule>
  </conditionalFormatting>
  <conditionalFormatting sqref="E33:E42">
    <cfRule type="cellIs" dxfId="842" priority="42" stopIfTrue="1" operator="lessThan">
      <formula>0</formula>
    </cfRule>
    <cfRule type="cellIs" dxfId="841" priority="43" operator="equal">
      <formula>MIN($E$33:$E$42)</formula>
    </cfRule>
  </conditionalFormatting>
  <conditionalFormatting sqref="E45:E54">
    <cfRule type="cellIs" dxfId="840" priority="40" stopIfTrue="1" operator="lessThan">
      <formula>0</formula>
    </cfRule>
    <cfRule type="cellIs" dxfId="839" priority="41" operator="equal">
      <formula>MIN($E$45:$E$54)</formula>
    </cfRule>
  </conditionalFormatting>
  <conditionalFormatting sqref="R7:R16">
    <cfRule type="cellIs" dxfId="838" priority="30" operator="lessThanOrEqual">
      <formula>0</formula>
    </cfRule>
    <cfRule type="cellIs" dxfId="837" priority="31" operator="greaterThan">
      <formula>0</formula>
    </cfRule>
  </conditionalFormatting>
  <conditionalFormatting sqref="S21:S30">
    <cfRule type="cellIs" dxfId="836" priority="18" stopIfTrue="1" operator="lessThan">
      <formula>0</formula>
    </cfRule>
    <cfRule type="cellIs" dxfId="835" priority="19" operator="equal">
      <formula>MIN($E$21:$E$30)</formula>
    </cfRule>
  </conditionalFormatting>
  <conditionalFormatting sqref="S45:S54">
    <cfRule type="cellIs" dxfId="834" priority="12" stopIfTrue="1" operator="lessThan">
      <formula>0</formula>
    </cfRule>
    <cfRule type="cellIs" dxfId="833" priority="13" operator="equal">
      <formula>MIN($E$21:$E$30)</formula>
    </cfRule>
  </conditionalFormatting>
  <conditionalFormatting sqref="T21:T30">
    <cfRule type="cellIs" dxfId="832" priority="17" operator="equal">
      <formula>MAX($T$21:$T$30)</formula>
    </cfRule>
  </conditionalFormatting>
  <conditionalFormatting sqref="S33:S42">
    <cfRule type="cellIs" dxfId="831" priority="15" stopIfTrue="1" operator="lessThan">
      <formula>0</formula>
    </cfRule>
    <cfRule type="cellIs" dxfId="830" priority="16" operator="equal">
      <formula>MIN($E$21:$E$30)</formula>
    </cfRule>
  </conditionalFormatting>
  <conditionalFormatting sqref="T33:T42">
    <cfRule type="cellIs" dxfId="829" priority="14" operator="equal">
      <formula>MAX($T$21:$T$30)</formula>
    </cfRule>
  </conditionalFormatting>
  <conditionalFormatting sqref="T45:T54">
    <cfRule type="cellIs" dxfId="828" priority="11" operator="equal">
      <formula>MAX($T$21:$T$30)</formula>
    </cfRule>
  </conditionalFormatting>
  <conditionalFormatting sqref="U7:U16">
    <cfRule type="cellIs" dxfId="827" priority="7" operator="lessThanOrEqual">
      <formula>0</formula>
    </cfRule>
    <cfRule type="cellIs" dxfId="826" priority="8" operator="greaterThan">
      <formula>0</formula>
    </cfRule>
  </conditionalFormatting>
  <conditionalFormatting sqref="S7:T16">
    <cfRule type="cellIs" dxfId="825" priority="1" operator="lessThanOrEqual">
      <formula>0</formula>
    </cfRule>
    <cfRule type="cellIs" dxfId="82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49" t="s">
        <v>125</v>
      </c>
      <c r="C2" s="155">
        <f>Analysis!B12</f>
        <v>0.6722226627886746</v>
      </c>
      <c r="D2" s="149" t="s">
        <v>126</v>
      </c>
      <c r="E2" s="155">
        <f>Analysis!H12</f>
        <v>0.3277773372113254</v>
      </c>
      <c r="F2" s="149" t="s">
        <v>47</v>
      </c>
      <c r="G2" s="155">
        <f>Analysis!S12</f>
        <v>3.2224680324897914</v>
      </c>
      <c r="H2" t="s">
        <v>155</v>
      </c>
      <c r="I2" s="169">
        <f>Analysis!T12</f>
        <v>-3.4111064778341951</v>
      </c>
      <c r="J2" t="s">
        <v>48</v>
      </c>
      <c r="K2" s="169">
        <f>C2*G2+E2*I2</f>
        <v>1.0481326433028733</v>
      </c>
      <c r="L2" t="s">
        <v>47</v>
      </c>
      <c r="M2" s="176">
        <v>1</v>
      </c>
      <c r="N2" t="s">
        <v>155</v>
      </c>
      <c r="O2" s="176">
        <v>5</v>
      </c>
    </row>
    <row r="4" spans="1:23" x14ac:dyDescent="0.2">
      <c r="A4" t="s">
        <v>123</v>
      </c>
      <c r="B4">
        <f>$C$2</f>
        <v>0.6722226627886746</v>
      </c>
      <c r="C4" t="s">
        <v>124</v>
      </c>
      <c r="D4">
        <f>$E$2</f>
        <v>0.3277773372113254</v>
      </c>
      <c r="E4" t="s">
        <v>47</v>
      </c>
      <c r="F4">
        <f>G2</f>
        <v>3.2224680324897914</v>
      </c>
      <c r="G4" t="s">
        <v>155</v>
      </c>
      <c r="H4">
        <f>I2</f>
        <v>-3.4111064778341951</v>
      </c>
      <c r="I4" t="s">
        <v>48</v>
      </c>
      <c r="J4">
        <f>K2</f>
        <v>1.0481326433028733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182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0.6722226627886746</v>
      </c>
      <c r="C7" s="95">
        <v>1</v>
      </c>
      <c r="D7" s="109">
        <f>C7*D4</f>
        <v>0.3277773372113254</v>
      </c>
      <c r="E7" s="110"/>
      <c r="F7" s="110"/>
      <c r="G7" s="110"/>
      <c r="H7" s="110"/>
      <c r="I7" s="110"/>
      <c r="J7" s="110"/>
      <c r="K7" s="110"/>
      <c r="L7" s="110"/>
      <c r="M7" s="258"/>
      <c r="N7" s="95">
        <f>B7+D7</f>
        <v>1</v>
      </c>
      <c r="R7" s="296">
        <f>B7-D7</f>
        <v>0.34444532557734919</v>
      </c>
      <c r="S7" s="297">
        <f>SUM(C7)*B4*F4*POWER(O2,A7-1)</f>
        <v>2.1662160415516687</v>
      </c>
      <c r="T7" s="276">
        <f>SUM(C7)*D4*H4*POWER(O2,A7-1)</f>
        <v>-1.1180833982487954</v>
      </c>
      <c r="U7" s="294">
        <f>S7+T7</f>
        <v>1.0481326433028733</v>
      </c>
      <c r="V7" s="109">
        <f>(U7+W7*D7)/B7</f>
        <v>2.0468068940227639</v>
      </c>
      <c r="W7" s="57">
        <f>COUNT(D7:M7)</f>
        <v>1</v>
      </c>
    </row>
    <row r="8" spans="1:23" x14ac:dyDescent="0.2">
      <c r="A8" s="99">
        <v>2</v>
      </c>
      <c r="B8" s="97">
        <f>C8*B4</f>
        <v>0.86219904339317388</v>
      </c>
      <c r="C8" s="97">
        <f>1/(1-B4*D4)</f>
        <v>1.2826093065895665</v>
      </c>
      <c r="D8" s="93">
        <f>C8*D4</f>
        <v>0.42041026319639258</v>
      </c>
      <c r="E8" s="1">
        <f>D8*D4</f>
        <v>0.13780095660682604</v>
      </c>
      <c r="F8" s="1"/>
      <c r="G8" s="1"/>
      <c r="H8" s="1"/>
      <c r="I8" s="1"/>
      <c r="J8" s="1"/>
      <c r="K8" s="1"/>
      <c r="L8" s="1"/>
      <c r="M8" s="257"/>
      <c r="N8" s="97">
        <f>B8+E8</f>
        <v>0.99999999999999989</v>
      </c>
      <c r="R8" s="298">
        <f>B8-E8</f>
        <v>0.72439808678634787</v>
      </c>
      <c r="S8" s="299">
        <f>SUM(C8:D8)*B4*F4*POWER(O2,A8-1)</f>
        <v>18.445541555733833</v>
      </c>
      <c r="T8" s="277">
        <f>SUM(C8:D8)*D4*H4*POWER(O2,A8-1)</f>
        <v>-9.520589539352434</v>
      </c>
      <c r="U8" s="295">
        <f>S8+T8+U7</f>
        <v>9.9730846596842717</v>
      </c>
      <c r="V8" s="93">
        <f>(U8+W8*E8)/B8</f>
        <v>11.886682838993119</v>
      </c>
      <c r="W8" s="9">
        <f>COUNT(D8:M8)</f>
        <v>2</v>
      </c>
    </row>
    <row r="9" spans="1:23" x14ac:dyDescent="0.2">
      <c r="A9" s="99">
        <v>3</v>
      </c>
      <c r="B9" s="97">
        <f>C9*B4</f>
        <v>0.9370384491510021</v>
      </c>
      <c r="C9" s="97">
        <f>1/(1-D4*B4/(1-D4*B4))</f>
        <v>1.3939405810327123</v>
      </c>
      <c r="D9" s="93">
        <f>C9*D4*C8</f>
        <v>0.58602692655209498</v>
      </c>
      <c r="E9" s="1">
        <f>D9*(D4)</f>
        <v>0.19208634551938267</v>
      </c>
      <c r="F9" s="1">
        <f>E9*D4</f>
        <v>6.2961550848997863E-2</v>
      </c>
      <c r="G9" s="1"/>
      <c r="H9" s="1"/>
      <c r="I9" s="1"/>
      <c r="J9" s="1"/>
      <c r="K9" s="1"/>
      <c r="L9" s="1"/>
      <c r="M9" s="257"/>
      <c r="N9" s="97">
        <f>B9+F9</f>
        <v>1</v>
      </c>
      <c r="R9" s="298">
        <f>B9-F9</f>
        <v>0.87407689830200419</v>
      </c>
      <c r="S9" s="299">
        <f>SUM(C9:E9)*B4*F4*POWER(O2,A9-1)</f>
        <v>117.62844749271019</v>
      </c>
      <c r="T9" s="277">
        <f>SUM(C9:E9)*D4*H4*POWER(O2,A9-1)</f>
        <v>-60.713433831453067</v>
      </c>
      <c r="U9" s="295">
        <f t="shared" ref="U9:U16" si="0">S9+T9+U8</f>
        <v>66.888098320941396</v>
      </c>
      <c r="V9" s="93">
        <f>(U9+W9*F9)/B9</f>
        <v>71.584024149983463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0.97021423011472152</v>
      </c>
      <c r="C10" s="97">
        <f>1/(1-D4*B4/(1-D4*B4/(1-D4*B4)))</f>
        <v>1.4432929501213885</v>
      </c>
      <c r="D10" s="93">
        <f>C10*D4*C9</f>
        <v>0.65944362584030525</v>
      </c>
      <c r="E10" s="1">
        <f>D10*D4*C8</f>
        <v>0.27723686830270616</v>
      </c>
      <c r="F10" s="1">
        <f>E10*D4</f>
        <v>9.0871962469067924E-2</v>
      </c>
      <c r="G10" s="1">
        <f>F10*D4</f>
        <v>2.9785769885278583E-2</v>
      </c>
      <c r="H10" s="1"/>
      <c r="I10" s="1"/>
      <c r="J10" s="1"/>
      <c r="K10" s="1"/>
      <c r="L10" s="1"/>
      <c r="M10" s="257"/>
      <c r="N10" s="97">
        <f>B10+G10</f>
        <v>1</v>
      </c>
      <c r="R10" s="298">
        <f>B10-G10</f>
        <v>0.94042846022944293</v>
      </c>
      <c r="S10" s="299">
        <f>SUM(C10:F10)*B4*F4*POWER(O2,A10-1)</f>
        <v>669.04811953253682</v>
      </c>
      <c r="T10" s="277">
        <f>SUM(C10:F10)*D4*H4*POWER(O2,A10-1)</f>
        <v>-345.3264036134978</v>
      </c>
      <c r="U10" s="295">
        <f t="shared" si="0"/>
        <v>390.60981423998044</v>
      </c>
      <c r="V10" s="93">
        <f>(U10+W10*G10)/B10</f>
        <v>402.72441404340196</v>
      </c>
      <c r="W10" s="9">
        <f t="shared" si="1"/>
        <v>4</v>
      </c>
    </row>
    <row r="11" spans="1:23" x14ac:dyDescent="0.2">
      <c r="A11" s="99">
        <v>5</v>
      </c>
      <c r="B11" s="97">
        <f>C11*B4</f>
        <v>0.98568430476466273</v>
      </c>
      <c r="C11" s="97">
        <f>1/(1-D4*B4/(1-D4*B4/(1-D4*B4/(1-D4*B4))))</f>
        <v>1.4663062692287281</v>
      </c>
      <c r="D11" s="93">
        <f>C11*D4*C10</f>
        <v>0.69367829298447792</v>
      </c>
      <c r="E11" s="1">
        <f>D11*D4*C9</f>
        <v>0.31694309090467354</v>
      </c>
      <c r="F11" s="1">
        <f>E11*D4*C8</f>
        <v>0.13324612826551199</v>
      </c>
      <c r="G11" s="1">
        <f>F11*D4</f>
        <v>4.367506111658824E-2</v>
      </c>
      <c r="H11" s="1">
        <f>G11*D4</f>
        <v>1.4315695235337191E-2</v>
      </c>
      <c r="I11" s="1"/>
      <c r="J11" s="1"/>
      <c r="K11" s="1"/>
      <c r="L11" s="1"/>
      <c r="M11" s="257"/>
      <c r="N11" s="97">
        <f>B11+H11</f>
        <v>0.99999999999999989</v>
      </c>
      <c r="R11" s="298">
        <f>B11-H11</f>
        <v>0.97136860952932558</v>
      </c>
      <c r="S11" s="299">
        <f>SUM(C11:G11)*B4*F4*POWER(O2,A11-1)</f>
        <v>3593.006209047991</v>
      </c>
      <c r="T11" s="277">
        <f>SUM(C11:G11)*D4*H4*POWER(O2,A11-1)</f>
        <v>-1854.5152076631314</v>
      </c>
      <c r="U11" s="295">
        <f t="shared" si="0"/>
        <v>2129.1008156248399</v>
      </c>
      <c r="V11" s="93">
        <f>(U11+W11*H11)/B11</f>
        <v>2160.0956653249823</v>
      </c>
      <c r="W11" s="9">
        <f t="shared" si="1"/>
        <v>5</v>
      </c>
    </row>
    <row r="12" spans="1:23" x14ac:dyDescent="0.2">
      <c r="A12" s="99">
        <v>6</v>
      </c>
      <c r="B12" s="97">
        <f>C12*B4</f>
        <v>0.993068021386176</v>
      </c>
      <c r="C12" s="97">
        <f>1/(1-D4*B4/(1-D4*B4/(1-D4*B4/(1-D4*B4/(1-D4*B4)))))</f>
        <v>1.4772903032850664</v>
      </c>
      <c r="D12" s="93">
        <f>C12*D4*C11</f>
        <v>0.71001816764858339</v>
      </c>
      <c r="E12" s="1">
        <f>D12*D4*C10</f>
        <v>0.33589448593267091</v>
      </c>
      <c r="F12" s="1">
        <f>E12*D4*C9</f>
        <v>0.15347090670994848</v>
      </c>
      <c r="G12" s="1">
        <f>F12*D4*C8</f>
        <v>6.4520744282918457E-2</v>
      </c>
      <c r="H12" s="1">
        <f>G12*D4</f>
        <v>2.1148437755947859E-2</v>
      </c>
      <c r="I12" s="1">
        <f>H12*D4</f>
        <v>6.9319786138240472E-3</v>
      </c>
      <c r="J12" s="1"/>
      <c r="K12" s="1"/>
      <c r="L12" s="1"/>
      <c r="M12" s="257"/>
      <c r="N12" s="97">
        <f>B12+I12</f>
        <v>1</v>
      </c>
      <c r="R12" s="298">
        <f>B12-I12</f>
        <v>0.98613604277235201</v>
      </c>
      <c r="S12" s="299">
        <f>SUM(C12:H12)*B4*F4*POWER(O2,A12-1)</f>
        <v>18699.474430250619</v>
      </c>
      <c r="T12" s="277">
        <f>SUM(C12:H12)*D4*H4*POWER(O2,A12-1)</f>
        <v>-9651.6559361571799</v>
      </c>
      <c r="U12" s="295">
        <f t="shared" si="0"/>
        <v>11176.91930971828</v>
      </c>
      <c r="V12" s="93">
        <f>(U12+W12*I12)/B12</f>
        <v>11254.980183521144</v>
      </c>
      <c r="W12" s="9">
        <f t="shared" si="1"/>
        <v>6</v>
      </c>
    </row>
    <row r="13" spans="1:23" x14ac:dyDescent="0.2">
      <c r="A13" s="99">
        <v>7</v>
      </c>
      <c r="B13" s="97">
        <f>C13*B4</f>
        <v>0.99663133731534836</v>
      </c>
      <c r="C13" s="97">
        <f>1/(1-D4*B4/(1-D4*B4/(1-D4*B4/(1-D4*B4/(1-D4*B4/(1-D4*B4))))))</f>
        <v>1.4825911003667807</v>
      </c>
      <c r="D13" s="93">
        <f>C13*D4*C12</f>
        <v>0.71790364574258936</v>
      </c>
      <c r="E13" s="1">
        <f>D13*D4*C11</f>
        <v>0.34504026051271774</v>
      </c>
      <c r="F13" s="1">
        <f>E13*D4*C10</f>
        <v>0.16323120479412345</v>
      </c>
      <c r="G13" s="1">
        <f>F13*D4*C9</f>
        <v>7.4580685460055043E-2</v>
      </c>
      <c r="H13" s="1">
        <f>G13*D4*C8</f>
        <v>3.1354485603629113E-2</v>
      </c>
      <c r="I13" s="1">
        <f>H13*D4</f>
        <v>1.0277289800788387E-2</v>
      </c>
      <c r="J13" s="1">
        <f>I13*D4</f>
        <v>3.3686626846515305E-3</v>
      </c>
      <c r="K13" s="1"/>
      <c r="L13" s="1"/>
      <c r="M13" s="257"/>
      <c r="N13" s="97">
        <f>B13+J13</f>
        <v>0.99999999999999989</v>
      </c>
      <c r="R13" s="298">
        <f>B13-J13</f>
        <v>0.99326267463069684</v>
      </c>
      <c r="S13" s="299">
        <f>SUM(C13:I13)*B4*F4*POWER(O2,A13-1)</f>
        <v>95617.408077121116</v>
      </c>
      <c r="T13" s="277">
        <f>SUM(C13:I13)*D4*H4*POWER(O2,A13-1)</f>
        <v>-49352.527404436834</v>
      </c>
      <c r="U13" s="295">
        <f t="shared" si="0"/>
        <v>57441.799982402561</v>
      </c>
      <c r="V13" s="93">
        <f>(U13+W13*J13)/B13</f>
        <v>57635.979737275651</v>
      </c>
      <c r="W13" s="9">
        <f t="shared" si="1"/>
        <v>7</v>
      </c>
    </row>
    <row r="14" spans="1:23" x14ac:dyDescent="0.2">
      <c r="A14" s="99">
        <v>8</v>
      </c>
      <c r="B14" s="97">
        <f>C14*B4</f>
        <v>0.9983601258276632</v>
      </c>
      <c r="C14" s="97">
        <f>1/(1-D4*B4/(1-D4*B4/(1-D4*B4/(1-D4*B4/(1-D4*B4/(1-D4*B4/(1-D4*B4)))))))</f>
        <v>1.4851628501872092</v>
      </c>
      <c r="D14" s="93">
        <f>C14*D4*C13</f>
        <v>0.72172938676976595</v>
      </c>
      <c r="E14" s="1">
        <f>D14*D4*C12</f>
        <v>0.3494774505751429</v>
      </c>
      <c r="F14" s="1">
        <f>E14*D4*C11</f>
        <v>0.16796653883131846</v>
      </c>
      <c r="G14" s="1">
        <f>F14*D4*C10</f>
        <v>7.9461395194270271E-2</v>
      </c>
      <c r="H14" s="1">
        <f>G14*D4*C9</f>
        <v>3.6306080866557171E-2</v>
      </c>
      <c r="I14" s="1">
        <f>H14*D4*C8</f>
        <v>1.5263449012738812E-2</v>
      </c>
      <c r="J14" s="1">
        <f>I14*D4</f>
        <v>5.0030126740563613E-3</v>
      </c>
      <c r="K14" s="1">
        <f>J14*D4</f>
        <v>1.6398741723367067E-3</v>
      </c>
      <c r="L14" s="1"/>
      <c r="M14" s="257"/>
      <c r="N14" s="97">
        <f>B14+K14</f>
        <v>0.99999999999999989</v>
      </c>
      <c r="R14" s="298">
        <f>B14-K14</f>
        <v>0.99672025165532652</v>
      </c>
      <c r="S14" s="299">
        <f>SUM(C14:J14)*B4*F4*POWER(O2,A14-1)</f>
        <v>484076.54174009035</v>
      </c>
      <c r="T14" s="277">
        <f>SUM(C14:J14)*D4*H4*POWER(O2,A14-1)</f>
        <v>-249854.09322959048</v>
      </c>
      <c r="U14" s="295">
        <f t="shared" si="0"/>
        <v>291664.24849290244</v>
      </c>
      <c r="V14" s="93">
        <f>(U14+W14*K14)/B14</f>
        <v>292143.33992966666</v>
      </c>
      <c r="W14" s="9">
        <f t="shared" si="1"/>
        <v>8</v>
      </c>
    </row>
    <row r="15" spans="1:23" x14ac:dyDescent="0.2">
      <c r="A15" s="99">
        <v>9</v>
      </c>
      <c r="B15" s="97">
        <f>C15*B4</f>
        <v>0.99920103239097191</v>
      </c>
      <c r="C15" s="97">
        <f>1/(1-D4*B4/(1-D4*B4/(1-D4*B4/(1-D4*B4/(1-D4*B4/(1-D4*B4/(1-D4*B4/(1-D4*B4))))))))</f>
        <v>1.4864137847507961</v>
      </c>
      <c r="D15" s="93">
        <f>C15*D4*C14</f>
        <v>0.72359027994227132</v>
      </c>
      <c r="E15" s="1">
        <f>D15*D4*C13</f>
        <v>0.35163576098706567</v>
      </c>
      <c r="F15" s="1">
        <f>E15*D4*C12</f>
        <v>0.17026987058240975</v>
      </c>
      <c r="G15" s="1">
        <f>F15*D4*C11</f>
        <v>8.1835439688359934E-2</v>
      </c>
      <c r="H15" s="1">
        <f>G15*D4*C10</f>
        <v>3.8714605058952113E-2</v>
      </c>
      <c r="I15" s="1">
        <f>H15*D4*C9</f>
        <v>1.7688785586393665E-2</v>
      </c>
      <c r="J15" s="1">
        <f>I15*D4*C8</f>
        <v>7.4365470040003157E-3</v>
      </c>
      <c r="K15" s="1">
        <f>J15*D4</f>
        <v>2.4375315750180832E-3</v>
      </c>
      <c r="L15" s="1">
        <f>K15*D4</f>
        <v>7.9896760902795538E-4</v>
      </c>
      <c r="M15" s="257"/>
      <c r="N15" s="97">
        <f>B15+L15</f>
        <v>0.99999999999999989</v>
      </c>
      <c r="R15" s="298">
        <f>B15-L15</f>
        <v>0.99840206478194393</v>
      </c>
      <c r="S15" s="299">
        <f>SUM(C15:K15)*B4*F4*POWER(O2,A15-1)</f>
        <v>2437012.1747508175</v>
      </c>
      <c r="T15" s="277">
        <f>SUM(C15:K15)*D4*H4*POWER(O2,A15-1)</f>
        <v>-1257853.6958701999</v>
      </c>
      <c r="U15" s="295">
        <f t="shared" si="0"/>
        <v>1470822.7273735199</v>
      </c>
      <c r="V15" s="93">
        <f>(U15+W15*L15)/B15</f>
        <v>1471998.813937092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0.99961057324386082</v>
      </c>
      <c r="C16" s="145">
        <f>1/(1-D4*B4/(1-D4*B4/(1-D4*B4/(1-D4*B4/(1-D4*B4/(1-D4*B4/(1-D4*B4/(1-D4*B4/(1-D4*B4)))))))))</f>
        <v>1.487023018678123</v>
      </c>
      <c r="D16" s="94">
        <f>C16*D4*C15</f>
        <v>0.72449657775258247</v>
      </c>
      <c r="E16" s="111">
        <f>D16*D4*C14</f>
        <v>0.35268690783912482</v>
      </c>
      <c r="F16" s="111">
        <f>E16*D4*C13</f>
        <v>0.17139164616484343</v>
      </c>
      <c r="G16" s="111">
        <f>F16*D4*C12</f>
        <v>8.2991654004347687E-2</v>
      </c>
      <c r="H16" s="111">
        <f>G16*D4*C11</f>
        <v>3.9887611781691597E-2</v>
      </c>
      <c r="I16" s="111">
        <f>H16*D4*C10</f>
        <v>1.8869980325805509E-2</v>
      </c>
      <c r="J16" s="111">
        <f>I16*D4*C9</f>
        <v>8.6217342394264655E-3</v>
      </c>
      <c r="K16" s="111">
        <f>J16*D4*C8</f>
        <v>3.6246655608066299E-3</v>
      </c>
      <c r="L16" s="111">
        <f>K16*D4</f>
        <v>1.1880832258027926E-3</v>
      </c>
      <c r="M16" s="259">
        <f>L16*D4</f>
        <v>3.8942675613908121E-4</v>
      </c>
      <c r="N16" s="145">
        <f>B16+M16</f>
        <v>0.99999999999999989</v>
      </c>
      <c r="R16" s="300">
        <f>B16-M16</f>
        <v>0.99922114648772176</v>
      </c>
      <c r="S16" s="301">
        <f>SUM(C16:L16)*B4*F4*POWER(O2,A16-1)</f>
        <v>12230582.187806549</v>
      </c>
      <c r="T16" s="278">
        <f>SUM(C16:L16)*D4*H4*POWER(O2,A16-1)</f>
        <v>-6312764.1162275821</v>
      </c>
      <c r="U16" s="295">
        <f t="shared" si="0"/>
        <v>7388640.7989524864</v>
      </c>
      <c r="V16" s="94">
        <f>(U16+W16*M16)/B16</f>
        <v>7391519.2582144206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6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5</v>
      </c>
      <c r="D21" s="57">
        <f>SUM($C$21:C21)</f>
        <v>5</v>
      </c>
      <c r="E21" s="57">
        <f t="shared" ref="E21:E30" si="3">D21/R7</f>
        <v>14.516091898240006</v>
      </c>
      <c r="F21" s="8">
        <f t="shared" ref="F21:F30" si="4">U7/E21</f>
        <v>7.2204877914141166E-2</v>
      </c>
      <c r="G21" s="281">
        <f>E21*U7</f>
        <v>15.214789771729722</v>
      </c>
      <c r="O21" s="101">
        <v>1</v>
      </c>
      <c r="P21" s="109">
        <v>1</v>
      </c>
      <c r="Q21" s="110">
        <f>P21*5+10</f>
        <v>15</v>
      </c>
      <c r="R21" s="57">
        <f>SUM($Q$21)</f>
        <v>15</v>
      </c>
      <c r="S21" s="191">
        <f>R21/R7</f>
        <v>43.548275694720019</v>
      </c>
      <c r="T21" s="8">
        <f>U7/S21</f>
        <v>2.4068292638047054E-2</v>
      </c>
      <c r="U21" s="281">
        <f>S21*U7</f>
        <v>45.644369315189159</v>
      </c>
    </row>
    <row r="22" spans="1:21" x14ac:dyDescent="0.2">
      <c r="A22" s="97">
        <v>2</v>
      </c>
      <c r="B22" s="93">
        <f>C21</f>
        <v>5</v>
      </c>
      <c r="C22" s="1">
        <f t="shared" si="2"/>
        <v>25</v>
      </c>
      <c r="D22" s="9">
        <f>SUM($C$21:C22)</f>
        <v>30</v>
      </c>
      <c r="E22" s="9">
        <f t="shared" si="3"/>
        <v>41.413693033190086</v>
      </c>
      <c r="F22" s="9">
        <f t="shared" si="4"/>
        <v>0.24081611489445204</v>
      </c>
      <c r="G22" s="282">
        <f t="shared" ref="G22:G30" si="5">E22*U8</f>
        <v>413.02226669018143</v>
      </c>
      <c r="O22" s="99">
        <v>2</v>
      </c>
      <c r="P22" s="93">
        <f>Q21</f>
        <v>15</v>
      </c>
      <c r="Q22" s="1">
        <f t="shared" ref="Q22:Q30" si="6">P22*5+10</f>
        <v>85</v>
      </c>
      <c r="R22" s="9">
        <f>SUM($Q$21:Q22)</f>
        <v>100</v>
      </c>
      <c r="S22" s="192">
        <f t="shared" ref="S22:S30" si="7">R22/R8</f>
        <v>138.04564344396695</v>
      </c>
      <c r="T22" s="9">
        <f>U8/S22</f>
        <v>7.2244834468335614E-2</v>
      </c>
      <c r="U22" s="282">
        <f t="shared" ref="U22:U30" si="8">S22*U8</f>
        <v>1376.7408889672715</v>
      </c>
    </row>
    <row r="23" spans="1:21" x14ac:dyDescent="0.2">
      <c r="A23" s="97">
        <v>3</v>
      </c>
      <c r="B23" s="93">
        <f t="shared" ref="B23:B30" si="9">C22</f>
        <v>25</v>
      </c>
      <c r="C23" s="1">
        <f t="shared" si="2"/>
        <v>125</v>
      </c>
      <c r="D23" s="9">
        <f>SUM($C$21:C23)</f>
        <v>155</v>
      </c>
      <c r="E23" s="9">
        <f t="shared" si="3"/>
        <v>177.3299355023631</v>
      </c>
      <c r="F23" s="9">
        <f t="shared" si="4"/>
        <v>0.37719575170121261</v>
      </c>
      <c r="G23" s="282">
        <f t="shared" si="5"/>
        <v>11861.262161128259</v>
      </c>
      <c r="O23" s="99">
        <v>3</v>
      </c>
      <c r="P23" s="93">
        <f t="shared" ref="P23:P30" si="10">Q22</f>
        <v>85</v>
      </c>
      <c r="Q23" s="1">
        <f t="shared" si="6"/>
        <v>435</v>
      </c>
      <c r="R23" s="9">
        <f>SUM($Q$21:Q23)</f>
        <v>535</v>
      </c>
      <c r="S23" s="192">
        <f t="shared" si="7"/>
        <v>612.07429350815653</v>
      </c>
      <c r="T23" s="9">
        <f t="shared" ref="T23:T30" si="11">U9/S23</f>
        <v>0.10928101217511767</v>
      </c>
      <c r="U23" s="282">
        <f t="shared" si="8"/>
        <v>40940.485523894313</v>
      </c>
    </row>
    <row r="24" spans="1:21" x14ac:dyDescent="0.2">
      <c r="A24" s="97">
        <v>4</v>
      </c>
      <c r="B24" s="93">
        <f t="shared" si="9"/>
        <v>125</v>
      </c>
      <c r="C24" s="1">
        <f t="shared" si="2"/>
        <v>625</v>
      </c>
      <c r="D24" s="9">
        <f>SUM($C$21:C24)</f>
        <v>780</v>
      </c>
      <c r="E24" s="9">
        <f t="shared" si="3"/>
        <v>829.4091820761123</v>
      </c>
      <c r="F24" s="9">
        <f t="shared" si="4"/>
        <v>0.47094946943104299</v>
      </c>
      <c r="G24" s="282">
        <f t="shared" si="5"/>
        <v>323975.36653968436</v>
      </c>
      <c r="O24" s="99">
        <v>4</v>
      </c>
      <c r="P24" s="93">
        <f t="shared" si="10"/>
        <v>435</v>
      </c>
      <c r="Q24" s="1">
        <f t="shared" si="6"/>
        <v>2185</v>
      </c>
      <c r="R24" s="9">
        <f>SUM($Q$21:Q24)</f>
        <v>2720</v>
      </c>
      <c r="S24" s="192">
        <f t="shared" si="7"/>
        <v>2892.2986862141352</v>
      </c>
      <c r="T24" s="9">
        <f t="shared" si="11"/>
        <v>0.13505168608684323</v>
      </c>
      <c r="U24" s="282">
        <f t="shared" si="8"/>
        <v>1129760.2525486427</v>
      </c>
    </row>
    <row r="25" spans="1:21" x14ac:dyDescent="0.2">
      <c r="A25" s="97">
        <v>5</v>
      </c>
      <c r="B25" s="93">
        <f t="shared" si="9"/>
        <v>625</v>
      </c>
      <c r="C25" s="1">
        <f t="shared" si="2"/>
        <v>3125</v>
      </c>
      <c r="D25" s="9">
        <f>SUM($C$21:C25)</f>
        <v>3905</v>
      </c>
      <c r="E25" s="9">
        <f t="shared" si="3"/>
        <v>4020.1010838636826</v>
      </c>
      <c r="F25" s="9">
        <f t="shared" si="4"/>
        <v>0.52961375129865651</v>
      </c>
      <c r="G25" s="282">
        <f t="shared" si="5"/>
        <v>8559200.4965484701</v>
      </c>
      <c r="O25" s="99">
        <v>5</v>
      </c>
      <c r="P25" s="93">
        <f t="shared" si="10"/>
        <v>2185</v>
      </c>
      <c r="Q25" s="1">
        <f t="shared" si="6"/>
        <v>10935</v>
      </c>
      <c r="R25" s="9">
        <f>SUM($Q$21:Q25)</f>
        <v>13655</v>
      </c>
      <c r="S25" s="9">
        <f t="shared" si="7"/>
        <v>14057.485352153288</v>
      </c>
      <c r="T25" s="9">
        <f t="shared" si="11"/>
        <v>0.15145673371082047</v>
      </c>
      <c r="U25" s="282">
        <f t="shared" si="8"/>
        <v>29929803.528903805</v>
      </c>
    </row>
    <row r="26" spans="1:21" x14ac:dyDescent="0.2">
      <c r="A26" s="97">
        <v>6</v>
      </c>
      <c r="B26" s="93">
        <f t="shared" si="9"/>
        <v>3125</v>
      </c>
      <c r="C26" s="1">
        <f t="shared" si="2"/>
        <v>15625</v>
      </c>
      <c r="D26" s="9">
        <f>SUM($C$21:C26)</f>
        <v>19530</v>
      </c>
      <c r="E26" s="9">
        <f t="shared" si="3"/>
        <v>19804.569707334456</v>
      </c>
      <c r="F26" s="9">
        <f t="shared" si="4"/>
        <v>0.56436062357764838</v>
      </c>
      <c r="G26" s="282">
        <f t="shared" si="5"/>
        <v>221354077.5825682</v>
      </c>
      <c r="O26" s="99">
        <v>6</v>
      </c>
      <c r="P26" s="93">
        <f t="shared" si="10"/>
        <v>10935</v>
      </c>
      <c r="Q26" s="1">
        <f t="shared" si="6"/>
        <v>54685</v>
      </c>
      <c r="R26" s="9">
        <f>SUM($Q$21:Q26)</f>
        <v>68340</v>
      </c>
      <c r="S26" s="9">
        <f t="shared" si="7"/>
        <v>69300.783092638856</v>
      </c>
      <c r="T26" s="9">
        <f t="shared" si="11"/>
        <v>0.16128128443768616</v>
      </c>
      <c r="U26" s="282">
        <f t="shared" si="8"/>
        <v>774569260.7267133</v>
      </c>
    </row>
    <row r="27" spans="1:21" x14ac:dyDescent="0.2">
      <c r="A27" s="97">
        <v>7</v>
      </c>
      <c r="B27" s="93">
        <f t="shared" si="9"/>
        <v>15625</v>
      </c>
      <c r="C27" s="1">
        <f t="shared" si="2"/>
        <v>78125</v>
      </c>
      <c r="D27" s="9">
        <f>SUM($C$21:C27)</f>
        <v>97655</v>
      </c>
      <c r="E27" s="9">
        <f t="shared" si="3"/>
        <v>98317.396288256699</v>
      </c>
      <c r="F27" s="9">
        <f t="shared" si="4"/>
        <v>0.58424858825582593</v>
      </c>
      <c r="G27" s="282">
        <f t="shared" si="5"/>
        <v>5647528212.3806496</v>
      </c>
      <c r="O27" s="99">
        <v>7</v>
      </c>
      <c r="P27" s="93">
        <f t="shared" si="10"/>
        <v>54685</v>
      </c>
      <c r="Q27" s="1">
        <f t="shared" si="6"/>
        <v>273435</v>
      </c>
      <c r="R27" s="9">
        <f>SUM($Q$21:Q27)</f>
        <v>341775</v>
      </c>
      <c r="S27" s="9">
        <f t="shared" si="7"/>
        <v>344093.26830596419</v>
      </c>
      <c r="T27" s="9">
        <f t="shared" si="11"/>
        <v>0.16693671534232371</v>
      </c>
      <c r="U27" s="282">
        <f t="shared" si="8"/>
        <v>19765336693.322372</v>
      </c>
    </row>
    <row r="28" spans="1:21" x14ac:dyDescent="0.2">
      <c r="A28" s="97">
        <v>8</v>
      </c>
      <c r="B28" s="93">
        <f t="shared" si="9"/>
        <v>78125</v>
      </c>
      <c r="C28" s="1">
        <f t="shared" si="2"/>
        <v>390625</v>
      </c>
      <c r="D28" s="9">
        <f>SUM($C$21:C28)</f>
        <v>488280</v>
      </c>
      <c r="E28" s="9">
        <f t="shared" si="3"/>
        <v>489886.70511016261</v>
      </c>
      <c r="F28" s="9">
        <f t="shared" si="4"/>
        <v>0.59537081829423155</v>
      </c>
      <c r="G28" s="282">
        <f t="shared" si="5"/>
        <v>142882437692.61969</v>
      </c>
      <c r="O28" s="99">
        <v>8</v>
      </c>
      <c r="P28" s="93">
        <f t="shared" si="10"/>
        <v>273435</v>
      </c>
      <c r="Q28" s="1">
        <f t="shared" si="6"/>
        <v>1367185</v>
      </c>
      <c r="R28" s="9">
        <f>SUM($Q$21:Q28)</f>
        <v>1708960</v>
      </c>
      <c r="S28" s="9">
        <f t="shared" si="7"/>
        <v>1714583.4020747594</v>
      </c>
      <c r="T28" s="9">
        <f t="shared" si="11"/>
        <v>0.17010793883806957</v>
      </c>
      <c r="U28" s="282">
        <f t="shared" si="8"/>
        <v>500082679444.53864</v>
      </c>
    </row>
    <row r="29" spans="1:21" x14ac:dyDescent="0.2">
      <c r="A29" s="97">
        <v>9</v>
      </c>
      <c r="B29" s="93">
        <f t="shared" si="9"/>
        <v>390625</v>
      </c>
      <c r="C29" s="1">
        <f t="shared" si="2"/>
        <v>1953125</v>
      </c>
      <c r="D29" s="9">
        <f>SUM($C$21:C29)</f>
        <v>2441405</v>
      </c>
      <c r="E29" s="9">
        <f t="shared" si="3"/>
        <v>2445312.450884419</v>
      </c>
      <c r="F29" s="9">
        <f t="shared" si="4"/>
        <v>0.60148662263652797</v>
      </c>
      <c r="G29" s="282">
        <f t="shared" si="5"/>
        <v>3596621128290.2476</v>
      </c>
      <c r="O29" s="99">
        <v>9</v>
      </c>
      <c r="P29" s="93">
        <f t="shared" si="10"/>
        <v>1367185</v>
      </c>
      <c r="Q29" s="1">
        <f t="shared" si="6"/>
        <v>6835935</v>
      </c>
      <c r="R29" s="9">
        <f>SUM($Q$21:Q29)</f>
        <v>8544895</v>
      </c>
      <c r="S29" s="9">
        <f t="shared" si="7"/>
        <v>8558571.042084381</v>
      </c>
      <c r="T29" s="9">
        <f t="shared" si="11"/>
        <v>0.17185377326906096</v>
      </c>
      <c r="U29" s="282">
        <f t="shared" si="8"/>
        <v>12588140802538.578</v>
      </c>
    </row>
    <row r="30" spans="1:21" ht="17" thickBot="1" x14ac:dyDescent="0.25">
      <c r="A30" s="145">
        <v>10</v>
      </c>
      <c r="B30" s="94">
        <f t="shared" si="9"/>
        <v>1953125</v>
      </c>
      <c r="C30" s="111">
        <f t="shared" si="2"/>
        <v>9765625</v>
      </c>
      <c r="D30" s="10">
        <f>SUM($C$21:C30)</f>
        <v>12207030</v>
      </c>
      <c r="E30" s="10">
        <f t="shared" si="3"/>
        <v>12216544.898902414</v>
      </c>
      <c r="F30" s="10">
        <f t="shared" si="4"/>
        <v>0.6048060937111861</v>
      </c>
      <c r="G30" s="283">
        <f t="shared" si="5"/>
        <v>90263662062265.25</v>
      </c>
      <c r="O30" s="100">
        <v>10</v>
      </c>
      <c r="P30" s="94">
        <f t="shared" si="10"/>
        <v>6835935</v>
      </c>
      <c r="Q30" s="111">
        <f t="shared" si="6"/>
        <v>34179685</v>
      </c>
      <c r="R30" s="10">
        <f>SUM($Q$21:Q30)</f>
        <v>42724580</v>
      </c>
      <c r="S30" s="10">
        <f t="shared" si="7"/>
        <v>42757882.12667194</v>
      </c>
      <c r="T30" s="10">
        <f t="shared" si="11"/>
        <v>0.17280184217411287</v>
      </c>
      <c r="U30" s="283">
        <f t="shared" si="8"/>
        <v>315922632357929.62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6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5</v>
      </c>
      <c r="D33" s="57">
        <f>SUM($C$33:C33)</f>
        <v>5</v>
      </c>
      <c r="E33" s="9">
        <f t="shared" ref="E33:E42" si="13">D33/R7</f>
        <v>14.516091898240006</v>
      </c>
      <c r="F33" s="8">
        <f t="shared" ref="F33:F42" si="14">U7/E33</f>
        <v>7.2204877914141166E-2</v>
      </c>
      <c r="G33" s="284">
        <f>E33*U7</f>
        <v>15.214789771729722</v>
      </c>
      <c r="O33" s="101">
        <v>1</v>
      </c>
      <c r="P33" s="109">
        <v>1</v>
      </c>
      <c r="Q33" s="110">
        <f>P33*5+10</f>
        <v>15</v>
      </c>
      <c r="R33" s="57">
        <f>SUM($Q$21)</f>
        <v>15</v>
      </c>
      <c r="S33" s="276">
        <f>R33/R7</f>
        <v>43.548275694720019</v>
      </c>
      <c r="T33" s="8">
        <f>U7/S33</f>
        <v>2.4068292638047054E-2</v>
      </c>
      <c r="U33" s="284">
        <f>S33*U7</f>
        <v>45.644369315189159</v>
      </c>
    </row>
    <row r="34" spans="1:21" x14ac:dyDescent="0.2">
      <c r="A34" s="97">
        <v>2</v>
      </c>
      <c r="B34" s="93">
        <f t="shared" ref="B34:B42" si="15">B33*($O$2+1)</f>
        <v>6</v>
      </c>
      <c r="C34" s="1">
        <f t="shared" si="12"/>
        <v>30</v>
      </c>
      <c r="D34" s="9">
        <f>SUM($C$33:C34)</f>
        <v>35</v>
      </c>
      <c r="E34" s="9">
        <f t="shared" si="13"/>
        <v>48.315975205388433</v>
      </c>
      <c r="F34" s="9">
        <f t="shared" si="14"/>
        <v>0.20641381276667317</v>
      </c>
      <c r="G34" s="282">
        <f t="shared" ref="G34:G42" si="16">E34*U8</f>
        <v>481.85931113854502</v>
      </c>
      <c r="O34" s="99">
        <v>2</v>
      </c>
      <c r="P34" s="93">
        <f>Q33+1</f>
        <v>16</v>
      </c>
      <c r="Q34" s="1">
        <f t="shared" ref="Q34:Q42" si="17">P34*5+10</f>
        <v>90</v>
      </c>
      <c r="R34" s="9">
        <f>SUM($Q$33:Q34)</f>
        <v>105</v>
      </c>
      <c r="S34" s="277">
        <f>R34/R8</f>
        <v>144.94792561616529</v>
      </c>
      <c r="T34" s="9">
        <f t="shared" ref="T34:T42" si="18">U8/S34</f>
        <v>6.8804604255557733E-2</v>
      </c>
      <c r="U34" s="282">
        <f t="shared" ref="U34:U42" si="19">S34*U8</f>
        <v>1445.577933415635</v>
      </c>
    </row>
    <row r="35" spans="1:21" x14ac:dyDescent="0.2">
      <c r="A35" s="97">
        <v>3</v>
      </c>
      <c r="B35" s="93">
        <f t="shared" si="15"/>
        <v>36</v>
      </c>
      <c r="C35" s="1">
        <f t="shared" si="12"/>
        <v>180</v>
      </c>
      <c r="D35" s="9">
        <f>SUM($C$33:C35)</f>
        <v>215</v>
      </c>
      <c r="E35" s="9">
        <f t="shared" si="13"/>
        <v>245.97378150327785</v>
      </c>
      <c r="F35" s="9">
        <f t="shared" si="14"/>
        <v>0.27193182099389746</v>
      </c>
      <c r="G35" s="282">
        <f t="shared" si="16"/>
        <v>16452.718481565003</v>
      </c>
      <c r="O35" s="99">
        <v>3</v>
      </c>
      <c r="P35" s="93">
        <f t="shared" ref="P35:P42" si="20">Q34+1</f>
        <v>91</v>
      </c>
      <c r="Q35" s="1">
        <f t="shared" si="17"/>
        <v>465</v>
      </c>
      <c r="R35" s="9">
        <f>SUM($Q$33:Q35)</f>
        <v>570</v>
      </c>
      <c r="S35" s="277">
        <f t="shared" ref="S35:S42" si="21">R35/R9</f>
        <v>652.1165370086901</v>
      </c>
      <c r="T35" s="9">
        <f t="shared" si="18"/>
        <v>0.10257077458541745</v>
      </c>
      <c r="U35" s="282">
        <f t="shared" si="19"/>
        <v>43618.835044149084</v>
      </c>
    </row>
    <row r="36" spans="1:21" x14ac:dyDescent="0.2">
      <c r="A36" s="97">
        <v>4</v>
      </c>
      <c r="B36" s="93">
        <f t="shared" si="15"/>
        <v>216</v>
      </c>
      <c r="C36" s="1">
        <f t="shared" si="12"/>
        <v>1080</v>
      </c>
      <c r="D36" s="9">
        <f>SUM($C$33:C36)</f>
        <v>1295</v>
      </c>
      <c r="E36" s="9">
        <f t="shared" si="13"/>
        <v>1377.0319112673917</v>
      </c>
      <c r="F36" s="9">
        <f t="shared" si="14"/>
        <v>0.28366068429051239</v>
      </c>
      <c r="G36" s="282">
        <f t="shared" si="16"/>
        <v>537882.17906268116</v>
      </c>
      <c r="O36" s="99">
        <v>4</v>
      </c>
      <c r="P36" s="93">
        <f t="shared" si="20"/>
        <v>466</v>
      </c>
      <c r="Q36" s="1">
        <f t="shared" si="17"/>
        <v>2340</v>
      </c>
      <c r="R36" s="9">
        <f>SUM($Q$33:Q36)</f>
        <v>2910</v>
      </c>
      <c r="S36" s="277">
        <f t="shared" si="21"/>
        <v>3094.3342562070343</v>
      </c>
      <c r="T36" s="9">
        <f t="shared" si="18"/>
        <v>0.12623387840419709</v>
      </c>
      <c r="U36" s="282">
        <f t="shared" si="19"/>
        <v>1208677.3290134377</v>
      </c>
    </row>
    <row r="37" spans="1:21" x14ac:dyDescent="0.2">
      <c r="A37" s="97">
        <v>5</v>
      </c>
      <c r="B37" s="93">
        <f t="shared" si="15"/>
        <v>1296</v>
      </c>
      <c r="C37" s="1">
        <f t="shared" si="12"/>
        <v>6480</v>
      </c>
      <c r="D37" s="9">
        <f>SUM($C$33:C37)</f>
        <v>7775</v>
      </c>
      <c r="E37" s="9">
        <f t="shared" si="13"/>
        <v>8004.1705318924796</v>
      </c>
      <c r="F37" s="9">
        <f t="shared" si="14"/>
        <v>0.26599893232427702</v>
      </c>
      <c r="G37" s="282">
        <f t="shared" si="16"/>
        <v>17041686.007852588</v>
      </c>
      <c r="O37" s="99">
        <v>5</v>
      </c>
      <c r="P37" s="93">
        <f t="shared" si="20"/>
        <v>2341</v>
      </c>
      <c r="Q37" s="1">
        <f t="shared" si="17"/>
        <v>11715</v>
      </c>
      <c r="R37" s="9">
        <f>SUM($Q$33:Q37)</f>
        <v>14625</v>
      </c>
      <c r="S37" s="277">
        <f t="shared" si="21"/>
        <v>15056.076402434406</v>
      </c>
      <c r="T37" s="9">
        <f t="shared" si="18"/>
        <v>0.14141139821000026</v>
      </c>
      <c r="U37" s="282">
        <f t="shared" si="19"/>
        <v>32055904.548533</v>
      </c>
    </row>
    <row r="38" spans="1:21" x14ac:dyDescent="0.2">
      <c r="A38" s="97">
        <v>6</v>
      </c>
      <c r="B38" s="93">
        <f t="shared" si="15"/>
        <v>7776</v>
      </c>
      <c r="C38" s="1">
        <f t="shared" si="12"/>
        <v>38880</v>
      </c>
      <c r="D38" s="9">
        <f>SUM($C$33:C38)</f>
        <v>46655</v>
      </c>
      <c r="E38" s="9">
        <f t="shared" si="13"/>
        <v>47310.916523076761</v>
      </c>
      <c r="F38" s="9">
        <f t="shared" si="14"/>
        <v>0.23624398196273652</v>
      </c>
      <c r="G38" s="282">
        <f t="shared" si="16"/>
        <v>528790296.44724625</v>
      </c>
      <c r="O38" s="99">
        <v>6</v>
      </c>
      <c r="P38" s="93">
        <f t="shared" si="20"/>
        <v>11716</v>
      </c>
      <c r="Q38" s="1">
        <f t="shared" si="17"/>
        <v>58590</v>
      </c>
      <c r="R38" s="9">
        <f>SUM($Q$33:Q38)</f>
        <v>73215</v>
      </c>
      <c r="S38" s="277">
        <f t="shared" si="21"/>
        <v>74244.320077956596</v>
      </c>
      <c r="T38" s="9">
        <f t="shared" si="18"/>
        <v>0.15054241587750425</v>
      </c>
      <c r="U38" s="282">
        <f t="shared" si="19"/>
        <v>829822774.71621764</v>
      </c>
    </row>
    <row r="39" spans="1:21" x14ac:dyDescent="0.2">
      <c r="A39" s="97">
        <v>7</v>
      </c>
      <c r="B39" s="93">
        <f t="shared" si="15"/>
        <v>46656</v>
      </c>
      <c r="C39" s="1">
        <f t="shared" si="12"/>
        <v>233280</v>
      </c>
      <c r="D39" s="9">
        <f>SUM($C$33:C39)</f>
        <v>279935</v>
      </c>
      <c r="E39" s="9">
        <f t="shared" si="13"/>
        <v>281833.80605143763</v>
      </c>
      <c r="F39" s="9">
        <f t="shared" si="14"/>
        <v>0.2038144422316705</v>
      </c>
      <c r="G39" s="282">
        <f t="shared" si="16"/>
        <v>16189041115.485916</v>
      </c>
      <c r="O39" s="99">
        <v>7</v>
      </c>
      <c r="P39" s="93">
        <f t="shared" si="20"/>
        <v>58591</v>
      </c>
      <c r="Q39" s="1">
        <f t="shared" si="17"/>
        <v>292965</v>
      </c>
      <c r="R39" s="9">
        <f>SUM($Q$33:Q39)</f>
        <v>366180</v>
      </c>
      <c r="S39" s="277">
        <f t="shared" si="21"/>
        <v>368663.80802656128</v>
      </c>
      <c r="T39" s="9">
        <f t="shared" si="18"/>
        <v>0.15581079219543034</v>
      </c>
      <c r="U39" s="282">
        <f t="shared" si="19"/>
        <v>21176712721.41259</v>
      </c>
    </row>
    <row r="40" spans="1:21" x14ac:dyDescent="0.2">
      <c r="A40" s="97">
        <v>8</v>
      </c>
      <c r="B40" s="93">
        <f t="shared" si="15"/>
        <v>279936</v>
      </c>
      <c r="C40" s="1">
        <f t="shared" si="12"/>
        <v>1399680</v>
      </c>
      <c r="D40" s="9">
        <f>SUM($C$33:C40)</f>
        <v>1679615</v>
      </c>
      <c r="E40" s="9">
        <f t="shared" si="13"/>
        <v>1685141.8411640979</v>
      </c>
      <c r="F40" s="9">
        <f t="shared" si="14"/>
        <v>0.17307993984139664</v>
      </c>
      <c r="G40" s="282">
        <f t="shared" si="16"/>
        <v>491495628707.07257</v>
      </c>
      <c r="O40" s="99">
        <v>8</v>
      </c>
      <c r="P40" s="93">
        <f t="shared" si="20"/>
        <v>292966</v>
      </c>
      <c r="Q40" s="1">
        <f t="shared" si="17"/>
        <v>1464840</v>
      </c>
      <c r="R40" s="9">
        <f>SUM($Q$33:Q40)</f>
        <v>1831020</v>
      </c>
      <c r="S40" s="277">
        <f t="shared" si="21"/>
        <v>1837045.0454468951</v>
      </c>
      <c r="T40" s="9">
        <f t="shared" si="18"/>
        <v>0.15876815280920328</v>
      </c>
      <c r="U40" s="282">
        <f t="shared" si="19"/>
        <v>535800362627.87848</v>
      </c>
    </row>
    <row r="41" spans="1:21" x14ac:dyDescent="0.2">
      <c r="A41" s="97">
        <v>9</v>
      </c>
      <c r="B41" s="93">
        <f t="shared" si="15"/>
        <v>1679616</v>
      </c>
      <c r="C41" s="1">
        <f t="shared" si="12"/>
        <v>8398080</v>
      </c>
      <c r="D41" s="9">
        <f>SUM($C$33:C41)</f>
        <v>10077695</v>
      </c>
      <c r="E41" s="9">
        <f t="shared" si="13"/>
        <v>10093824.277297564</v>
      </c>
      <c r="F41" s="9">
        <f t="shared" si="14"/>
        <v>0.14571511123703706</v>
      </c>
      <c r="G41" s="282">
        <f t="shared" si="16"/>
        <v>14846226153163.852</v>
      </c>
      <c r="O41" s="99">
        <v>9</v>
      </c>
      <c r="P41" s="93">
        <f t="shared" si="20"/>
        <v>1464841</v>
      </c>
      <c r="Q41" s="1">
        <f t="shared" si="17"/>
        <v>7324215</v>
      </c>
      <c r="R41" s="9">
        <f>SUM($Q$33:Q41)</f>
        <v>9155235</v>
      </c>
      <c r="S41" s="277">
        <f t="shared" si="21"/>
        <v>9169887.8867999427</v>
      </c>
      <c r="T41" s="9">
        <f t="shared" si="18"/>
        <v>0.16039702399096611</v>
      </c>
      <c r="U41" s="282">
        <f t="shared" si="19"/>
        <v>13487279511372.494</v>
      </c>
    </row>
    <row r="42" spans="1:21" ht="17" thickBot="1" x14ac:dyDescent="0.25">
      <c r="A42" s="145">
        <v>10</v>
      </c>
      <c r="B42" s="94">
        <f t="shared" si="15"/>
        <v>10077696</v>
      </c>
      <c r="C42" s="111">
        <f t="shared" si="12"/>
        <v>50388480</v>
      </c>
      <c r="D42" s="10">
        <f>SUM($C$33:C42)</f>
        <v>60466175</v>
      </c>
      <c r="E42" s="9">
        <f t="shared" si="13"/>
        <v>60513306.000918381</v>
      </c>
      <c r="F42" s="10">
        <f t="shared" si="14"/>
        <v>0.12209944039151245</v>
      </c>
      <c r="G42" s="283">
        <f t="shared" si="16"/>
        <v>447111081597881.88</v>
      </c>
      <c r="O42" s="100">
        <v>10</v>
      </c>
      <c r="P42" s="94">
        <f t="shared" si="20"/>
        <v>7324216</v>
      </c>
      <c r="Q42" s="111">
        <f t="shared" si="17"/>
        <v>36621090</v>
      </c>
      <c r="R42" s="10">
        <f>SUM($Q$33:Q42)</f>
        <v>45776325</v>
      </c>
      <c r="S42" s="278">
        <f t="shared" si="21"/>
        <v>45812005.841654286</v>
      </c>
      <c r="T42" s="10">
        <f t="shared" si="18"/>
        <v>0.16128175711167858</v>
      </c>
      <c r="U42" s="283">
        <f t="shared" si="19"/>
        <v>338488455443496.5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6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5</v>
      </c>
      <c r="D45" s="57">
        <f>SUM(C45:C45)</f>
        <v>5</v>
      </c>
      <c r="E45" s="57">
        <f t="shared" ref="E45:E54" si="23">D45/R7</f>
        <v>14.516091898240006</v>
      </c>
      <c r="F45" s="8">
        <f t="shared" ref="F45:F54" si="24">U7/E45</f>
        <v>7.2204877914141166E-2</v>
      </c>
      <c r="G45" s="281">
        <f>E45*U7</f>
        <v>15.214789771729722</v>
      </c>
      <c r="O45" s="101">
        <v>1</v>
      </c>
      <c r="P45" s="109">
        <v>1</v>
      </c>
      <c r="Q45" s="110">
        <f>P45*5+10</f>
        <v>15</v>
      </c>
      <c r="R45" s="57">
        <f>SUM($Q$21)</f>
        <v>15</v>
      </c>
      <c r="S45" s="276">
        <f>R45/R7</f>
        <v>43.548275694720019</v>
      </c>
      <c r="T45" s="8">
        <f>U7/S45</f>
        <v>2.4068292638047054E-2</v>
      </c>
      <c r="U45" s="284">
        <f>S45*U7</f>
        <v>45.644369315189159</v>
      </c>
    </row>
    <row r="46" spans="1:21" x14ac:dyDescent="0.2">
      <c r="A46" s="97">
        <v>2</v>
      </c>
      <c r="B46" s="93">
        <f t="shared" ref="B46:B54" si="25">B45*$O$2*2</f>
        <v>10</v>
      </c>
      <c r="C46" s="1">
        <f t="shared" si="22"/>
        <v>50</v>
      </c>
      <c r="D46" s="9">
        <f>SUM($C$45:C46)</f>
        <v>55</v>
      </c>
      <c r="E46" s="9">
        <f t="shared" si="23"/>
        <v>75.925103894181817</v>
      </c>
      <c r="F46" s="9">
        <f t="shared" si="24"/>
        <v>0.13135424448788294</v>
      </c>
      <c r="G46" s="282">
        <f t="shared" ref="G46:G54" si="26">E46*U8</f>
        <v>757.20748893199925</v>
      </c>
      <c r="O46" s="99">
        <v>2</v>
      </c>
      <c r="P46" s="93">
        <f>Q45*2</f>
        <v>30</v>
      </c>
      <c r="Q46" s="1">
        <f t="shared" ref="Q46:Q54" si="27">P46*5+10</f>
        <v>160</v>
      </c>
      <c r="R46" s="9">
        <f>SUM($Q$45:Q46)</f>
        <v>175</v>
      </c>
      <c r="S46" s="277">
        <f t="shared" ref="S46:S54" si="28">R46/R8</f>
        <v>241.57987602694215</v>
      </c>
      <c r="T46" s="9">
        <f t="shared" ref="T46:T54" si="29">U8/S46</f>
        <v>4.1282762553334643E-2</v>
      </c>
      <c r="U46" s="282">
        <f t="shared" ref="U46:U54" si="30">S46*U8</f>
        <v>2409.2965556927247</v>
      </c>
    </row>
    <row r="47" spans="1:21" x14ac:dyDescent="0.2">
      <c r="A47" s="97">
        <v>3</v>
      </c>
      <c r="B47" s="93">
        <f t="shared" si="25"/>
        <v>100</v>
      </c>
      <c r="C47" s="1">
        <f t="shared" si="22"/>
        <v>500</v>
      </c>
      <c r="D47" s="9">
        <f>SUM($C$45:C47)</f>
        <v>555</v>
      </c>
      <c r="E47" s="9">
        <f t="shared" si="23"/>
        <v>634.95557550846149</v>
      </c>
      <c r="F47" s="9">
        <f t="shared" si="24"/>
        <v>0.10534295768232062</v>
      </c>
      <c r="G47" s="282">
        <f t="shared" si="26"/>
        <v>42470.970964039901</v>
      </c>
      <c r="O47" s="99">
        <v>3</v>
      </c>
      <c r="P47" s="93">
        <f t="shared" ref="P47:P54" si="31">Q46*2</f>
        <v>320</v>
      </c>
      <c r="Q47" s="1">
        <f t="shared" si="27"/>
        <v>1610</v>
      </c>
      <c r="R47" s="9">
        <f>SUM($Q$45:Q47)</f>
        <v>1785</v>
      </c>
      <c r="S47" s="277">
        <f t="shared" si="28"/>
        <v>2042.1544185272139</v>
      </c>
      <c r="T47" s="9">
        <f t="shared" si="29"/>
        <v>3.2753692724755153E-2</v>
      </c>
      <c r="U47" s="282">
        <f t="shared" si="30"/>
        <v>136595.82553299319</v>
      </c>
    </row>
    <row r="48" spans="1:21" x14ac:dyDescent="0.2">
      <c r="A48" s="97">
        <v>4</v>
      </c>
      <c r="B48" s="93">
        <f t="shared" si="25"/>
        <v>1000</v>
      </c>
      <c r="C48" s="1">
        <f t="shared" si="22"/>
        <v>5000</v>
      </c>
      <c r="D48" s="9">
        <f>SUM($C$45:C48)</f>
        <v>5555</v>
      </c>
      <c r="E48" s="9">
        <f t="shared" si="23"/>
        <v>5906.8820595292364</v>
      </c>
      <c r="F48" s="9">
        <f t="shared" si="24"/>
        <v>6.6127918299948421E-2</v>
      </c>
      <c r="G48" s="282">
        <f t="shared" si="26"/>
        <v>2307286.104010188</v>
      </c>
      <c r="O48" s="99">
        <v>4</v>
      </c>
      <c r="P48" s="93">
        <f t="shared" si="31"/>
        <v>3220</v>
      </c>
      <c r="Q48" s="1">
        <f t="shared" si="27"/>
        <v>16110</v>
      </c>
      <c r="R48" s="9">
        <f>SUM($Q$45:Q48)</f>
        <v>17895</v>
      </c>
      <c r="S48" s="277">
        <f t="shared" si="28"/>
        <v>19028.560658015424</v>
      </c>
      <c r="T48" s="9">
        <f t="shared" si="29"/>
        <v>2.0527554409400031E-2</v>
      </c>
      <c r="U48" s="282">
        <f t="shared" si="30"/>
        <v>7432742.5438816044</v>
      </c>
    </row>
    <row r="49" spans="1:21" x14ac:dyDescent="0.2">
      <c r="A49" s="97">
        <v>5</v>
      </c>
      <c r="B49" s="93">
        <f t="shared" si="25"/>
        <v>10000</v>
      </c>
      <c r="C49" s="1">
        <f t="shared" si="22"/>
        <v>50000</v>
      </c>
      <c r="D49" s="9">
        <f>SUM($C$45:C49)</f>
        <v>55555</v>
      </c>
      <c r="E49" s="9">
        <f t="shared" si="23"/>
        <v>57192.500823059381</v>
      </c>
      <c r="F49" s="9">
        <f t="shared" si="24"/>
        <v>3.7226922848011046E-2</v>
      </c>
      <c r="G49" s="282">
        <f t="shared" si="26"/>
        <v>121768600.15000005</v>
      </c>
      <c r="O49" s="99">
        <v>5</v>
      </c>
      <c r="P49" s="93">
        <f t="shared" si="31"/>
        <v>32220</v>
      </c>
      <c r="Q49" s="1">
        <f t="shared" si="27"/>
        <v>161110</v>
      </c>
      <c r="R49" s="9">
        <f>SUM($Q$45:Q49)</f>
        <v>179005</v>
      </c>
      <c r="S49" s="277">
        <f t="shared" si="28"/>
        <v>184281.2277892493</v>
      </c>
      <c r="T49" s="9">
        <f t="shared" si="29"/>
        <v>1.1553541514601568E-2</v>
      </c>
      <c r="U49" s="282">
        <f t="shared" si="30"/>
        <v>392353312.3904376</v>
      </c>
    </row>
    <row r="50" spans="1:21" x14ac:dyDescent="0.2">
      <c r="A50" s="97">
        <v>6</v>
      </c>
      <c r="B50" s="93">
        <f t="shared" si="25"/>
        <v>100000</v>
      </c>
      <c r="C50" s="1">
        <f t="shared" si="22"/>
        <v>500000</v>
      </c>
      <c r="D50" s="9">
        <f>SUM($C$45:C50)</f>
        <v>555555</v>
      </c>
      <c r="E50" s="9">
        <f t="shared" si="23"/>
        <v>563365.47484680975</v>
      </c>
      <c r="F50" s="9">
        <f t="shared" si="24"/>
        <v>1.9839553200801854E-2</v>
      </c>
      <c r="G50" s="282">
        <f t="shared" si="26"/>
        <v>6296690454.2439156</v>
      </c>
      <c r="O50" s="99">
        <v>6</v>
      </c>
      <c r="P50" s="93">
        <f t="shared" si="31"/>
        <v>322220</v>
      </c>
      <c r="Q50" s="1">
        <f t="shared" si="27"/>
        <v>1611110</v>
      </c>
      <c r="R50" s="9">
        <f>SUM($Q$45:Q50)</f>
        <v>1790115</v>
      </c>
      <c r="S50" s="277">
        <f t="shared" si="28"/>
        <v>1815281.9918917064</v>
      </c>
      <c r="T50" s="9">
        <f t="shared" si="29"/>
        <v>6.1571256474983295E-3</v>
      </c>
      <c r="U50" s="282">
        <f t="shared" si="30"/>
        <v>20289260347.758274</v>
      </c>
    </row>
    <row r="51" spans="1:21" x14ac:dyDescent="0.2">
      <c r="A51" s="97">
        <v>7</v>
      </c>
      <c r="B51" s="93">
        <f t="shared" si="25"/>
        <v>1000000</v>
      </c>
      <c r="C51" s="1">
        <f t="shared" si="22"/>
        <v>5000000</v>
      </c>
      <c r="D51" s="9">
        <f>SUM($C$45:C51)</f>
        <v>5555555</v>
      </c>
      <c r="E51" s="9">
        <f t="shared" si="23"/>
        <v>5593238.4674231326</v>
      </c>
      <c r="F51" s="9">
        <f t="shared" si="24"/>
        <v>1.026986428648851E-2</v>
      </c>
      <c r="G51" s="282">
        <f t="shared" si="26"/>
        <v>321285685299.59943</v>
      </c>
      <c r="O51" s="99">
        <v>7</v>
      </c>
      <c r="P51" s="93">
        <f t="shared" si="31"/>
        <v>3222220</v>
      </c>
      <c r="Q51" s="1">
        <f t="shared" si="27"/>
        <v>16111110</v>
      </c>
      <c r="R51" s="9">
        <f>SUM($Q$45:Q51)</f>
        <v>17901225</v>
      </c>
      <c r="S51" s="277">
        <f t="shared" si="28"/>
        <v>18022649.453384344</v>
      </c>
      <c r="T51" s="9">
        <f t="shared" si="29"/>
        <v>3.1872006461078884E-3</v>
      </c>
      <c r="U51" s="282">
        <f t="shared" si="30"/>
        <v>1035253425054.2603</v>
      </c>
    </row>
    <row r="52" spans="1:21" x14ac:dyDescent="0.2">
      <c r="A52" s="97">
        <v>8</v>
      </c>
      <c r="B52" s="93">
        <f t="shared" si="25"/>
        <v>10000000</v>
      </c>
      <c r="C52" s="1">
        <f t="shared" si="22"/>
        <v>50000000</v>
      </c>
      <c r="D52" s="9">
        <f>SUM($C$45:C52)</f>
        <v>55555555</v>
      </c>
      <c r="E52" s="9">
        <f t="shared" si="23"/>
        <v>55738362.803138405</v>
      </c>
      <c r="F52" s="9">
        <f t="shared" si="24"/>
        <v>5.2327379891481127E-3</v>
      </c>
      <c r="G52" s="282">
        <f t="shared" si="26"/>
        <v>16256887699202.109</v>
      </c>
      <c r="O52" s="99">
        <v>8</v>
      </c>
      <c r="P52" s="93">
        <f t="shared" si="31"/>
        <v>32222220</v>
      </c>
      <c r="Q52" s="1">
        <f t="shared" si="27"/>
        <v>161111110</v>
      </c>
      <c r="R52" s="9">
        <f>SUM($Q$45:Q52)</f>
        <v>179012335</v>
      </c>
      <c r="S52" s="277">
        <f t="shared" si="28"/>
        <v>179601382.33641893</v>
      </c>
      <c r="T52" s="9">
        <f t="shared" si="29"/>
        <v>1.6239532496836457E-3</v>
      </c>
      <c r="U52" s="282">
        <f t="shared" si="30"/>
        <v>52383302207438.07</v>
      </c>
    </row>
    <row r="53" spans="1:21" x14ac:dyDescent="0.2">
      <c r="A53" s="97">
        <v>9</v>
      </c>
      <c r="B53" s="93">
        <f t="shared" si="25"/>
        <v>100000000</v>
      </c>
      <c r="C53" s="1">
        <f t="shared" si="22"/>
        <v>500000000</v>
      </c>
      <c r="D53" s="9">
        <f>SUM($C$45:C53)</f>
        <v>555555555</v>
      </c>
      <c r="E53" s="9">
        <f t="shared" si="23"/>
        <v>556444717.6111722</v>
      </c>
      <c r="F53" s="9">
        <f t="shared" si="24"/>
        <v>2.6432504089315286E-3</v>
      </c>
      <c r="G53" s="282">
        <f t="shared" si="26"/>
        <v>818431537189452.38</v>
      </c>
      <c r="O53" s="99">
        <v>9</v>
      </c>
      <c r="P53" s="93">
        <f t="shared" si="31"/>
        <v>322222220</v>
      </c>
      <c r="Q53" s="1">
        <f t="shared" si="27"/>
        <v>1611111110</v>
      </c>
      <c r="R53" s="9">
        <f>SUM($Q$45:Q53)</f>
        <v>1790123445</v>
      </c>
      <c r="S53" s="277">
        <f t="shared" si="28"/>
        <v>1792988524.5088832</v>
      </c>
      <c r="T53" s="9">
        <f t="shared" si="29"/>
        <v>8.2031909700949833E-4</v>
      </c>
      <c r="U53" s="282">
        <f t="shared" si="30"/>
        <v>2637168271767579</v>
      </c>
    </row>
    <row r="54" spans="1:21" ht="17" thickBot="1" x14ac:dyDescent="0.25">
      <c r="A54" s="145">
        <v>10</v>
      </c>
      <c r="B54" s="94">
        <f t="shared" si="25"/>
        <v>1000000000</v>
      </c>
      <c r="C54" s="111">
        <f t="shared" si="22"/>
        <v>5000000000</v>
      </c>
      <c r="D54" s="10">
        <f>SUM($C$45:C54)</f>
        <v>5555555555</v>
      </c>
      <c r="E54" s="10">
        <f t="shared" si="23"/>
        <v>5559885891.6545811</v>
      </c>
      <c r="F54" s="10">
        <f t="shared" si="24"/>
        <v>1.3289195035536389E-3</v>
      </c>
      <c r="G54" s="283">
        <f t="shared" si="26"/>
        <v>4.107999973659936E+16</v>
      </c>
      <c r="O54" s="100">
        <v>10</v>
      </c>
      <c r="P54" s="94">
        <f t="shared" si="31"/>
        <v>3222222220</v>
      </c>
      <c r="Q54" s="111">
        <f t="shared" si="27"/>
        <v>16111111110</v>
      </c>
      <c r="R54" s="10">
        <f>SUM($Q$45:Q54)</f>
        <v>17901234555</v>
      </c>
      <c r="S54" s="278">
        <f t="shared" si="28"/>
        <v>17915187861.989433</v>
      </c>
      <c r="T54" s="10">
        <f t="shared" si="29"/>
        <v>4.1242329446228857E-4</v>
      </c>
      <c r="U54" s="283">
        <f t="shared" si="30"/>
        <v>1.3236888795799349E+17</v>
      </c>
    </row>
  </sheetData>
  <mergeCells count="2">
    <mergeCell ref="A18:F18"/>
    <mergeCell ref="O18:T18"/>
  </mergeCells>
  <conditionalFormatting sqref="F45:F54">
    <cfRule type="cellIs" dxfId="823" priority="67" operator="equal">
      <formula>MAX($F$45:$F$54)</formula>
    </cfRule>
  </conditionalFormatting>
  <conditionalFormatting sqref="F21:F30">
    <cfRule type="cellIs" dxfId="822" priority="65" operator="equal">
      <formula>MAX($F$21:$F$30)</formula>
    </cfRule>
  </conditionalFormatting>
  <conditionalFormatting sqref="E33:E42">
    <cfRule type="cellIs" dxfId="821" priority="61" stopIfTrue="1" operator="lessThan">
      <formula>0</formula>
    </cfRule>
    <cfRule type="cellIs" dxfId="820" priority="62" operator="equal">
      <formula>MIN($E$33:$E$42)</formula>
    </cfRule>
  </conditionalFormatting>
  <conditionalFormatting sqref="E21:E30">
    <cfRule type="cellIs" dxfId="819" priority="57" stopIfTrue="1" operator="lessThan">
      <formula>0</formula>
    </cfRule>
    <cfRule type="cellIs" dxfId="818" priority="58" operator="equal">
      <formula>MIN($E$21:$E$30)</formula>
    </cfRule>
  </conditionalFormatting>
  <conditionalFormatting sqref="E45:E54">
    <cfRule type="cellIs" dxfId="817" priority="53" stopIfTrue="1" operator="lessThan">
      <formula>0</formula>
    </cfRule>
    <cfRule type="cellIs" dxfId="816" priority="54" operator="equal">
      <formula>MIN($E$45:$E$54)</formula>
    </cfRule>
  </conditionalFormatting>
  <conditionalFormatting sqref="F33:F42">
    <cfRule type="cellIs" dxfId="815" priority="39" operator="lessThanOrEqual">
      <formula>0</formula>
    </cfRule>
    <cfRule type="cellIs" dxfId="814" priority="40" operator="equal">
      <formula>MAX($F$33:$F$42)</formula>
    </cfRule>
  </conditionalFormatting>
  <conditionalFormatting sqref="R7:R16">
    <cfRule type="cellIs" dxfId="813" priority="25" operator="lessThanOrEqual">
      <formula>0</formula>
    </cfRule>
    <cfRule type="cellIs" dxfId="812" priority="26" operator="greaterThan">
      <formula>0</formula>
    </cfRule>
  </conditionalFormatting>
  <conditionalFormatting sqref="S21:S30">
    <cfRule type="cellIs" dxfId="811" priority="19" stopIfTrue="1" operator="lessThan">
      <formula>0</formula>
    </cfRule>
    <cfRule type="cellIs" dxfId="810" priority="20" operator="equal">
      <formula>MIN($E$21:$E$30)</formula>
    </cfRule>
  </conditionalFormatting>
  <conditionalFormatting sqref="T21:T30">
    <cfRule type="cellIs" dxfId="809" priority="17" operator="equal">
      <formula>MAX($T$21:$T$30)</formula>
    </cfRule>
  </conditionalFormatting>
  <conditionalFormatting sqref="S33:S42">
    <cfRule type="cellIs" dxfId="808" priority="15" stopIfTrue="1" operator="lessThan">
      <formula>0</formula>
    </cfRule>
    <cfRule type="cellIs" dxfId="807" priority="16" operator="equal">
      <formula>MIN($E$21:$E$30)</formula>
    </cfRule>
  </conditionalFormatting>
  <conditionalFormatting sqref="T33:T42">
    <cfRule type="cellIs" dxfId="806" priority="14" operator="equal">
      <formula>MAX($T$21:$T$30)</formula>
    </cfRule>
  </conditionalFormatting>
  <conditionalFormatting sqref="S45:S54">
    <cfRule type="cellIs" dxfId="805" priority="12" stopIfTrue="1" operator="lessThan">
      <formula>0</formula>
    </cfRule>
    <cfRule type="cellIs" dxfId="804" priority="13" operator="equal">
      <formula>MIN($E$21:$E$30)</formula>
    </cfRule>
  </conditionalFormatting>
  <conditionalFormatting sqref="T45:T54">
    <cfRule type="cellIs" dxfId="803" priority="11" operator="equal">
      <formula>MAX($T$21:$T$30)</formula>
    </cfRule>
  </conditionalFormatting>
  <conditionalFormatting sqref="U7:U16">
    <cfRule type="cellIs" dxfId="802" priority="7" operator="lessThanOrEqual">
      <formula>0</formula>
    </cfRule>
    <cfRule type="cellIs" dxfId="801" priority="8" operator="greaterThan">
      <formula>0</formula>
    </cfRule>
  </conditionalFormatting>
  <conditionalFormatting sqref="S7:T16">
    <cfRule type="cellIs" dxfId="800" priority="1" operator="lessThanOrEqual">
      <formula>0</formula>
    </cfRule>
    <cfRule type="cellIs" dxfId="799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14" max="14" width="5.6640625" bestFit="1" customWidth="1"/>
    <col min="19" max="19" width="8.6640625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49" t="s">
        <v>125</v>
      </c>
      <c r="C2" s="155">
        <f>Analysis!B13</f>
        <v>0.68615430611814143</v>
      </c>
      <c r="D2" s="149" t="s">
        <v>126</v>
      </c>
      <c r="E2" s="155">
        <f>Analysis!I13</f>
        <v>0.31384569388185857</v>
      </c>
      <c r="F2" s="149" t="s">
        <v>47</v>
      </c>
      <c r="G2" s="155">
        <f>Analysis!S13</f>
        <v>3.99004812877279</v>
      </c>
      <c r="H2" t="s">
        <v>155</v>
      </c>
      <c r="I2" s="169">
        <f>Analysis!T13</f>
        <v>-4.2236195616845702</v>
      </c>
      <c r="J2" t="s">
        <v>48</v>
      </c>
      <c r="K2" s="169">
        <f>C2*G2+E2*I2</f>
        <v>1.4122238931461972</v>
      </c>
      <c r="L2" t="s">
        <v>47</v>
      </c>
      <c r="M2" s="176">
        <v>1</v>
      </c>
      <c r="N2" t="s">
        <v>155</v>
      </c>
      <c r="O2" s="176">
        <v>6</v>
      </c>
    </row>
    <row r="4" spans="1:23" x14ac:dyDescent="0.2">
      <c r="A4" t="s">
        <v>123</v>
      </c>
      <c r="B4">
        <f>$C$2</f>
        <v>0.68615430611814143</v>
      </c>
      <c r="C4" t="s">
        <v>124</v>
      </c>
      <c r="D4">
        <f>$E$2</f>
        <v>0.31384569388185857</v>
      </c>
      <c r="E4" t="s">
        <v>47</v>
      </c>
      <c r="F4">
        <f>G2</f>
        <v>3.99004812877279</v>
      </c>
      <c r="G4" t="s">
        <v>155</v>
      </c>
      <c r="H4">
        <f>I2</f>
        <v>-4.2236195616845702</v>
      </c>
      <c r="I4" t="s">
        <v>48</v>
      </c>
      <c r="J4">
        <f>K2</f>
        <v>1.4122238931461972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182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0.68615430611814143</v>
      </c>
      <c r="C7" s="95">
        <v>1</v>
      </c>
      <c r="D7" s="109">
        <f>C7*D4</f>
        <v>0.31384569388185857</v>
      </c>
      <c r="E7" s="110"/>
      <c r="F7" s="110"/>
      <c r="G7" s="110"/>
      <c r="H7" s="110"/>
      <c r="I7" s="110"/>
      <c r="J7" s="110"/>
      <c r="K7" s="110"/>
      <c r="L7" s="110"/>
      <c r="M7" s="258"/>
      <c r="N7" s="95">
        <f>B7+D7</f>
        <v>1</v>
      </c>
      <c r="R7" s="296">
        <f>B7-D7</f>
        <v>0.37230861223628287</v>
      </c>
      <c r="S7" s="297">
        <f>SUM(C7)*B4*F4*POWER(O2,A7-1)</f>
        <v>2.7377887051760825</v>
      </c>
      <c r="T7" s="276">
        <f>SUM(C7)*D4*H4*POWER(O2,A7-1)</f>
        <v>-1.3255648120298853</v>
      </c>
      <c r="U7" s="294">
        <f>S7+T7</f>
        <v>1.4122238931461972</v>
      </c>
      <c r="V7" s="109">
        <f>(U7+W7*D7)/B7</f>
        <v>2.5155705817735736</v>
      </c>
      <c r="W7" s="57">
        <f>COUNT(D7:M7)</f>
        <v>1</v>
      </c>
    </row>
    <row r="8" spans="1:23" x14ac:dyDescent="0.2">
      <c r="A8" s="99">
        <v>2</v>
      </c>
      <c r="B8" s="97">
        <f>C8*B4</f>
        <v>0.87446799269113085</v>
      </c>
      <c r="C8" s="97">
        <f>1/(1-B4*D4)</f>
        <v>1.2744480139436241</v>
      </c>
      <c r="D8" s="93">
        <f>C8*D4</f>
        <v>0.39998002125249327</v>
      </c>
      <c r="E8" s="1">
        <f>D8*D4</f>
        <v>0.12553200730886929</v>
      </c>
      <c r="F8" s="1"/>
      <c r="G8" s="1"/>
      <c r="H8" s="1"/>
      <c r="I8" s="1"/>
      <c r="J8" s="1"/>
      <c r="K8" s="1"/>
      <c r="L8" s="1"/>
      <c r="M8" s="257"/>
      <c r="N8" s="97">
        <f>B8+E8</f>
        <v>1.0000000000000002</v>
      </c>
      <c r="R8" s="298">
        <f>B8-E8</f>
        <v>0.74893598538226158</v>
      </c>
      <c r="S8" s="299">
        <f>SUM(C8:D8)*B4*F4*POWER(O2,A8-1)</f>
        <v>27.50538097434066</v>
      </c>
      <c r="T8" s="277">
        <f>SUM(C8:D8)*D4*H4*POWER(O2,A8-1)</f>
        <v>-13.317377302393869</v>
      </c>
      <c r="U8" s="295">
        <f>S8+T8+U7</f>
        <v>15.60022756509299</v>
      </c>
      <c r="V8" s="93">
        <f>(U8+W8*E8)/B8</f>
        <v>18.126783040885446</v>
      </c>
      <c r="W8" s="9">
        <f>COUNT(D8:M8)</f>
        <v>2</v>
      </c>
    </row>
    <row r="9" spans="1:23" x14ac:dyDescent="0.2">
      <c r="A9" s="99">
        <v>3</v>
      </c>
      <c r="B9" s="97">
        <f>C9*B4</f>
        <v>0.94569971456852531</v>
      </c>
      <c r="C9" s="97">
        <f>1/(1-D4*B4/(1-D4*B4))</f>
        <v>1.3782609919315956</v>
      </c>
      <c r="D9" s="93">
        <f>C9*D4*C8</f>
        <v>0.55127686084428196</v>
      </c>
      <c r="E9" s="1">
        <f>D9*(D4)</f>
        <v>0.17301586891268647</v>
      </c>
      <c r="F9" s="1">
        <f>E9*D4</f>
        <v>5.4300285431474769E-2</v>
      </c>
      <c r="G9" s="1"/>
      <c r="H9" s="1"/>
      <c r="I9" s="1"/>
      <c r="J9" s="1"/>
      <c r="K9" s="1"/>
      <c r="L9" s="1"/>
      <c r="M9" s="257"/>
      <c r="N9" s="97">
        <f>B9+F9</f>
        <v>1</v>
      </c>
      <c r="R9" s="298">
        <f>B9-F9</f>
        <v>0.8913994291370505</v>
      </c>
      <c r="S9" s="299">
        <f>SUM(C9:E9)*B4*F4*POWER(O2,A9-1)</f>
        <v>207.22852192553592</v>
      </c>
      <c r="T9" s="277">
        <f>SUM(C9:E9)*D4*H4*POWER(O2,A9-1)</f>
        <v>-100.33456423942212</v>
      </c>
      <c r="U9" s="295">
        <f t="shared" ref="U9:U16" si="0">S9+T9+U8</f>
        <v>122.49418525120679</v>
      </c>
      <c r="V9" s="93">
        <f>(U9+W9*F9)/B9</f>
        <v>129.69982354648738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0.97576507047364258</v>
      </c>
      <c r="C10" s="97">
        <f>1/(1-D4*B4/(1-D4*B4/(1-D4*B4)))</f>
        <v>1.4220781852903452</v>
      </c>
      <c r="D10" s="93">
        <f>C10*D4*C9</f>
        <v>0.6151359563393487</v>
      </c>
      <c r="E10" s="1">
        <f>D10*D4*C8</f>
        <v>0.24604209288978546</v>
      </c>
      <c r="F10" s="1">
        <f>E10*D4</f>
        <v>7.7219251367139419E-2</v>
      </c>
      <c r="G10" s="1">
        <f>F10*D4</f>
        <v>2.4234929526357526E-2</v>
      </c>
      <c r="H10" s="1"/>
      <c r="I10" s="1"/>
      <c r="J10" s="1"/>
      <c r="K10" s="1"/>
      <c r="L10" s="1"/>
      <c r="M10" s="257"/>
      <c r="N10" s="97">
        <f>B10+G10</f>
        <v>1</v>
      </c>
      <c r="R10" s="298">
        <f>B10-G10</f>
        <v>0.95153014094728505</v>
      </c>
      <c r="S10" s="299">
        <f>SUM(C10:F10)*B4*F4*POWER(O2,A10-1)</f>
        <v>1395.8963548067684</v>
      </c>
      <c r="T10" s="277">
        <f>SUM(C10:F10)*D4*H4*POWER(O2,A10-1)</f>
        <v>-675.85606065009665</v>
      </c>
      <c r="U10" s="295">
        <f t="shared" si="0"/>
        <v>842.53447940787851</v>
      </c>
      <c r="V10" s="93">
        <f>(U10+W10*G10)/B10</f>
        <v>863.55972828271592</v>
      </c>
      <c r="W10" s="9">
        <f t="shared" si="1"/>
        <v>4</v>
      </c>
    </row>
    <row r="11" spans="1:23" x14ac:dyDescent="0.2">
      <c r="A11" s="99">
        <v>5</v>
      </c>
      <c r="B11" s="97">
        <f>C11*B4</f>
        <v>0.98903651895859879</v>
      </c>
      <c r="C11" s="97">
        <f>1/(1-D4*B4/(1-D4*B4/(1-D4*B4/(1-D4*B4))))</f>
        <v>1.441419969443881</v>
      </c>
      <c r="D11" s="93">
        <f>C11*D4*C10</f>
        <v>0.64332463632149484</v>
      </c>
      <c r="E11" s="1">
        <f>D11*D4*C9</f>
        <v>0.27827732644635844</v>
      </c>
      <c r="F11" s="1">
        <f>E11*D4*C8</f>
        <v>0.11130537094610146</v>
      </c>
      <c r="G11" s="1">
        <f>F11*D4</f>
        <v>3.4932711377356873E-2</v>
      </c>
      <c r="H11" s="1">
        <f>G11*D4</f>
        <v>1.0963481041401263E-2</v>
      </c>
      <c r="I11" s="1"/>
      <c r="J11" s="1"/>
      <c r="K11" s="1"/>
      <c r="L11" s="1"/>
      <c r="M11" s="257"/>
      <c r="N11" s="97">
        <f>B11+H11</f>
        <v>1</v>
      </c>
      <c r="R11" s="298">
        <f>B11-H11</f>
        <v>0.97807303791719757</v>
      </c>
      <c r="S11" s="299">
        <f>SUM(C11:G11)*B4*F4*POWER(O2,A11-1)</f>
        <v>8903.2915490831729</v>
      </c>
      <c r="T11" s="277">
        <f>SUM(C11:G11)*D4*H4*POWER(O2,A11-1)</f>
        <v>-4310.7380662338792</v>
      </c>
      <c r="U11" s="295">
        <f t="shared" si="0"/>
        <v>5435.087962257172</v>
      </c>
      <c r="V11" s="93">
        <f>(U11+W11*H11)/B11</f>
        <v>5495.3913990812862</v>
      </c>
      <c r="W11" s="9">
        <f t="shared" si="1"/>
        <v>5</v>
      </c>
    </row>
    <row r="12" spans="1:23" x14ac:dyDescent="0.2">
      <c r="A12" s="99">
        <v>6</v>
      </c>
      <c r="B12" s="97">
        <f>C12*B4</f>
        <v>0.99501034581289061</v>
      </c>
      <c r="C12" s="97">
        <f>1/(1-D4*B4/(1-D4*B4/(1-D4*B4/(1-D4*B4/(1-D4*B4)))))</f>
        <v>1.4501262135073893</v>
      </c>
      <c r="D12" s="93">
        <f>C12*D4*C11</f>
        <v>0.65601310010562985</v>
      </c>
      <c r="E12" s="1">
        <f>D12*D4*C10</f>
        <v>0.29278725006870504</v>
      </c>
      <c r="F12" s="1">
        <f>E12*D4*C9</f>
        <v>0.12664842688533973</v>
      </c>
      <c r="G12" s="1">
        <f>F12*D4*C8</f>
        <v>5.0656840477193023E-2</v>
      </c>
      <c r="H12" s="1">
        <f>G12*D4</f>
        <v>1.5898431249427265E-2</v>
      </c>
      <c r="I12" s="1">
        <f>H12*D4</f>
        <v>4.9896541871095237E-3</v>
      </c>
      <c r="J12" s="1"/>
      <c r="K12" s="1"/>
      <c r="L12" s="1"/>
      <c r="M12" s="257"/>
      <c r="N12" s="97">
        <f>B12+I12</f>
        <v>1.0000000000000002</v>
      </c>
      <c r="R12" s="298">
        <f>B12-I12</f>
        <v>0.9900206916257811</v>
      </c>
      <c r="S12" s="299">
        <f>SUM(C12:H12)*B4*F4*POWER(O2,A12-1)</f>
        <v>55183.977725824705</v>
      </c>
      <c r="T12" s="277">
        <f>SUM(C12:H12)*D4*H4*POWER(O2,A12-1)</f>
        <v>-26718.621098442116</v>
      </c>
      <c r="U12" s="295">
        <f t="shared" si="0"/>
        <v>33900.444589639759</v>
      </c>
      <c r="V12" s="93">
        <f>(U12+W12*I12)/B12</f>
        <v>34070.47441287589</v>
      </c>
      <c r="W12" s="9">
        <f t="shared" si="1"/>
        <v>6</v>
      </c>
    </row>
    <row r="13" spans="1:23" x14ac:dyDescent="0.2">
      <c r="A13" s="99">
        <v>7</v>
      </c>
      <c r="B13" s="97">
        <f>C13*B4</f>
        <v>0.99772293836778936</v>
      </c>
      <c r="C13" s="97">
        <f>1/(1-D4*B4/(1-D4*B4/(1-D4*B4/(1-D4*B4/(1-D4*B4/(1-D4*B4))))))</f>
        <v>1.4540795408139613</v>
      </c>
      <c r="D13" s="93">
        <f>C13*D4*C12</f>
        <v>0.66177467191436445</v>
      </c>
      <c r="E13" s="1">
        <f>D13*D4*C11</f>
        <v>0.29937590952438575</v>
      </c>
      <c r="F13" s="1">
        <f>E13*D4*C10</f>
        <v>0.13361539468091196</v>
      </c>
      <c r="G13" s="1">
        <f>F13*D4*C9</f>
        <v>5.7796845798546062E-2</v>
      </c>
      <c r="H13" s="1">
        <f>G13*D4*C8</f>
        <v>2.311758361082953E-2</v>
      </c>
      <c r="I13" s="1">
        <f>H13*D4</f>
        <v>7.255354069212675E-3</v>
      </c>
      <c r="J13" s="1">
        <f>I13*D4</f>
        <v>2.277061632210618E-3</v>
      </c>
      <c r="K13" s="1"/>
      <c r="L13" s="1"/>
      <c r="M13" s="257"/>
      <c r="N13" s="97">
        <f>B13+J13</f>
        <v>1</v>
      </c>
      <c r="R13" s="298">
        <f>B13-J13</f>
        <v>0.99544587673557872</v>
      </c>
      <c r="S13" s="299">
        <f>SUM(C13:I13)*B4*F4*POWER(O2,A13-1)</f>
        <v>336837.2239252514</v>
      </c>
      <c r="T13" s="277">
        <f>SUM(C13:I13)*D4*H4*POWER(O2,A13-1)</f>
        <v>-163087.66654380196</v>
      </c>
      <c r="U13" s="295">
        <f t="shared" si="0"/>
        <v>207650.00197108919</v>
      </c>
      <c r="V13" s="93">
        <f>(U13+W13*J13)/B13</f>
        <v>208123.92892381799</v>
      </c>
      <c r="W13" s="9">
        <f t="shared" si="1"/>
        <v>7</v>
      </c>
    </row>
    <row r="14" spans="1:23" x14ac:dyDescent="0.2">
      <c r="A14" s="99">
        <v>8</v>
      </c>
      <c r="B14" s="97">
        <f>C14*B4</f>
        <v>0.99895955991928054</v>
      </c>
      <c r="C14" s="97">
        <f>1/(1-D4*B4/(1-D4*B4/(1-D4*B4/(1-D4*B4/(1-D4*B4/(1-D4*B4/(1-D4*B4)))))))</f>
        <v>1.4558817907458859</v>
      </c>
      <c r="D14" s="93">
        <f>C14*D4*C13</f>
        <v>0.66440126758804119</v>
      </c>
      <c r="E14" s="1">
        <f>D14*D4*C12</f>
        <v>0.30237955939565625</v>
      </c>
      <c r="F14" s="1">
        <f>E14*D4*C11</f>
        <v>0.13679150843562629</v>
      </c>
      <c r="G14" s="1">
        <f>F14*D4*C10</f>
        <v>6.1051844210379624E-2</v>
      </c>
      <c r="H14" s="1">
        <f>G14*D4*C9</f>
        <v>2.6408663717012976E-2</v>
      </c>
      <c r="I14" s="1">
        <f>H14*D4*C8</f>
        <v>1.0562937874780798E-2</v>
      </c>
      <c r="J14" s="1">
        <f>I14*D4</f>
        <v>3.315132566741544E-3</v>
      </c>
      <c r="K14" s="1">
        <f>J14*D4</f>
        <v>1.0404400807193467E-3</v>
      </c>
      <c r="L14" s="1"/>
      <c r="M14" s="257"/>
      <c r="N14" s="97">
        <f>B14+K14</f>
        <v>0.99999999999999989</v>
      </c>
      <c r="R14" s="298">
        <f>B14-K14</f>
        <v>0.99791911983856119</v>
      </c>
      <c r="S14" s="299">
        <f>SUM(C14:J14)*B4*F4*POWER(O2,A14-1)</f>
        <v>2039246.4796751149</v>
      </c>
      <c r="T14" s="277">
        <f>SUM(C14:J14)*D4*H4*POWER(O2,A14-1)</f>
        <v>-987349.15934255556</v>
      </c>
      <c r="U14" s="295">
        <f t="shared" si="0"/>
        <v>1259547.3223036486</v>
      </c>
      <c r="V14" s="93">
        <f>(U14+W14*K14)/B14</f>
        <v>1260859.1790531992</v>
      </c>
      <c r="W14" s="9">
        <f t="shared" si="1"/>
        <v>8</v>
      </c>
    </row>
    <row r="15" spans="1:23" x14ac:dyDescent="0.2">
      <c r="A15" s="99">
        <v>9</v>
      </c>
      <c r="B15" s="97">
        <f>C15*B4</f>
        <v>0.99952433102533678</v>
      </c>
      <c r="C15" s="97">
        <f>1/(1-D4*B4/(1-D4*B4/(1-D4*B4/(1-D4*B4/(1-D4*B4/(1-D4*B4/(1-D4*B4/(1-D4*B4))))))))</f>
        <v>1.4567048870975672</v>
      </c>
      <c r="D15" s="93">
        <f>C15*D4*C14</f>
        <v>0.66560084666863872</v>
      </c>
      <c r="E15" s="1">
        <f>D15*D4*C13</f>
        <v>0.30375134097099543</v>
      </c>
      <c r="F15" s="1">
        <f>E15*D4*C12</f>
        <v>0.13824205510938214</v>
      </c>
      <c r="G15" s="1">
        <f>F15*D4*C11</f>
        <v>6.2538417892558831E-2</v>
      </c>
      <c r="H15" s="1">
        <f>G15*D4*C10</f>
        <v>2.7911716085336543E-2</v>
      </c>
      <c r="I15" s="1">
        <f>H15*D4*C9</f>
        <v>1.207352756326853E-2</v>
      </c>
      <c r="J15" s="1">
        <f>I15*D4*C8</f>
        <v>4.8291698113487099E-3</v>
      </c>
      <c r="K15" s="1">
        <f>J15*D4</f>
        <v>1.5156141503160599E-3</v>
      </c>
      <c r="L15" s="1">
        <f>K15*D4</f>
        <v>4.7566897466310733E-4</v>
      </c>
      <c r="M15" s="257"/>
      <c r="N15" s="97">
        <f>B15+L15</f>
        <v>0.99999999999999989</v>
      </c>
      <c r="R15" s="298">
        <f>B15-L15</f>
        <v>0.99904866205067366</v>
      </c>
      <c r="S15" s="299">
        <f>SUM(C15:K15)*B4*F4*POWER(O2,A15-1)</f>
        <v>12292383.901212033</v>
      </c>
      <c r="T15" s="277">
        <f>SUM(C15:K15)*D4*H4*POWER(O2,A15-1)</f>
        <v>-5951646.8617914524</v>
      </c>
      <c r="U15" s="295">
        <f t="shared" si="0"/>
        <v>7600284.3617242295</v>
      </c>
      <c r="V15" s="93">
        <f>(U15+W15*L15)/B15</f>
        <v>7603901.3059428884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0.99978247722876246</v>
      </c>
      <c r="C16" s="145">
        <f>1/(1-D4*B4/(1-D4*B4/(1-D4*B4/(1-D4*B4/(1-D4*B4/(1-D4*B4/(1-D4*B4/(1-D4*B4/(1-D4*B4)))))))))</f>
        <v>1.4570811088907176</v>
      </c>
      <c r="D16" s="94">
        <f>C16*D4*C15</f>
        <v>0.66614915160500032</v>
      </c>
      <c r="E16" s="111">
        <f>D16*D4*C14</f>
        <v>0.30437835641460731</v>
      </c>
      <c r="F16" s="111">
        <f>E16*D4*C13</f>
        <v>0.13890507259152018</v>
      </c>
      <c r="G16" s="111">
        <f>F16*D4*C12</f>
        <v>6.3217902639657056E-2</v>
      </c>
      <c r="H16" s="111">
        <f>G16*D4*C11</f>
        <v>2.8598732928570687E-2</v>
      </c>
      <c r="I16" s="111">
        <f>H16*D4*C10</f>
        <v>1.2763989573161385E-2</v>
      </c>
      <c r="J16" s="111">
        <f>I16*D4*C9</f>
        <v>5.5212076340155989E-3</v>
      </c>
      <c r="K16" s="111">
        <f>J16*D4*C8</f>
        <v>2.2083727467929874E-3</v>
      </c>
      <c r="L16" s="111">
        <f>K16*D4</f>
        <v>6.9308827706703112E-4</v>
      </c>
      <c r="M16" s="259">
        <f>L16*D4</f>
        <v>2.1752277123748422E-4</v>
      </c>
      <c r="N16" s="145">
        <f>B16+M16</f>
        <v>0.99999999999999989</v>
      </c>
      <c r="R16" s="300">
        <f>B16-M16</f>
        <v>0.99956495445752502</v>
      </c>
      <c r="S16" s="301">
        <f>SUM(C16:L16)*B4*F4*POWER(O2,A16-1)</f>
        <v>73929487.396800011</v>
      </c>
      <c r="T16" s="278">
        <f>SUM(C16:L16)*D4*H4*POWER(O2,A16-1)</f>
        <v>-35794700.620734051</v>
      </c>
      <c r="U16" s="295">
        <f t="shared" si="0"/>
        <v>45735071.137790188</v>
      </c>
      <c r="V16" s="94">
        <f>(U16+W16*M16)/B16</f>
        <v>45745021.723861113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6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6</v>
      </c>
      <c r="D21" s="57">
        <f>SUM($C$21:C21)</f>
        <v>6</v>
      </c>
      <c r="E21" s="57">
        <f t="shared" ref="E21:E30" si="3">D21/R7</f>
        <v>16.115662659428747</v>
      </c>
      <c r="F21" s="8">
        <f t="shared" ref="F21:F30" si="4">U7/E21</f>
        <v>8.7630519637363541E-2</v>
      </c>
      <c r="G21" s="281">
        <f>E21*U7</f>
        <v>22.758923861529262</v>
      </c>
      <c r="O21" s="101">
        <v>1</v>
      </c>
      <c r="P21" s="109">
        <v>1</v>
      </c>
      <c r="Q21" s="110">
        <f>P21*6+15</f>
        <v>21</v>
      </c>
      <c r="R21" s="57">
        <f>SUM($Q$21)</f>
        <v>21</v>
      </c>
      <c r="S21" s="276">
        <f>R21/R7</f>
        <v>56.404819308000611</v>
      </c>
      <c r="T21" s="8">
        <f>U7/S21</f>
        <v>2.5037291324961013E-2</v>
      </c>
      <c r="U21" s="281">
        <f>S21*U7</f>
        <v>79.656233515352412</v>
      </c>
    </row>
    <row r="22" spans="1:21" x14ac:dyDescent="0.2">
      <c r="A22" s="97">
        <v>2</v>
      </c>
      <c r="B22" s="93">
        <f>C21</f>
        <v>6</v>
      </c>
      <c r="C22" s="1">
        <f t="shared" si="2"/>
        <v>36</v>
      </c>
      <c r="D22" s="9">
        <f>SUM($C$21:C22)</f>
        <v>42</v>
      </c>
      <c r="E22" s="9">
        <f t="shared" si="3"/>
        <v>56.079559294460843</v>
      </c>
      <c r="F22" s="9">
        <f t="shared" si="4"/>
        <v>0.27818028103929615</v>
      </c>
      <c r="G22" s="282">
        <f t="shared" ref="G22:G30" si="5">E22*U8</f>
        <v>874.85388674371484</v>
      </c>
      <c r="O22" s="99">
        <v>2</v>
      </c>
      <c r="P22" s="93">
        <f>Q21</f>
        <v>21</v>
      </c>
      <c r="Q22" s="1">
        <f t="shared" ref="Q22:Q30" si="6">P22*6+15</f>
        <v>141</v>
      </c>
      <c r="R22" s="9">
        <f>SUM($Q$21:Q22)</f>
        <v>162</v>
      </c>
      <c r="S22" s="277">
        <f t="shared" ref="S22:S30" si="7">R22/R8</f>
        <v>216.30687156434897</v>
      </c>
      <c r="T22" s="9">
        <f>U8/S22</f>
        <v>7.2120813602780484E-2</v>
      </c>
      <c r="U22" s="282">
        <f t="shared" ref="U22:U30" si="8">S22*U8</f>
        <v>3374.4364202971856</v>
      </c>
    </row>
    <row r="23" spans="1:21" x14ac:dyDescent="0.2">
      <c r="A23" s="97">
        <v>3</v>
      </c>
      <c r="B23" s="93">
        <f t="shared" ref="B23:B30" si="9">C22</f>
        <v>36</v>
      </c>
      <c r="C23" s="1">
        <f t="shared" si="2"/>
        <v>216</v>
      </c>
      <c r="D23" s="9">
        <f>SUM($C$21:C23)</f>
        <v>258</v>
      </c>
      <c r="E23" s="9">
        <f t="shared" si="3"/>
        <v>289.43253895704834</v>
      </c>
      <c r="F23" s="9">
        <f t="shared" si="4"/>
        <v>0.42322188684315437</v>
      </c>
      <c r="G23" s="282">
        <f t="shared" si="5"/>
        <v>35453.803044731801</v>
      </c>
      <c r="O23" s="99">
        <v>3</v>
      </c>
      <c r="P23" s="93">
        <f t="shared" ref="P23:P30" si="10">Q22</f>
        <v>141</v>
      </c>
      <c r="Q23" s="1">
        <f t="shared" si="6"/>
        <v>861</v>
      </c>
      <c r="R23" s="9">
        <f>SUM($Q$21:Q23)</f>
        <v>1023</v>
      </c>
      <c r="S23" s="277">
        <f t="shared" si="7"/>
        <v>1147.6336719110868</v>
      </c>
      <c r="T23" s="9">
        <f t="shared" ref="T23:T30" si="11">U9/S23</f>
        <v>0.106736311637863</v>
      </c>
      <c r="U23" s="282">
        <f t="shared" si="8"/>
        <v>140578.45160759933</v>
      </c>
    </row>
    <row r="24" spans="1:21" x14ac:dyDescent="0.2">
      <c r="A24" s="97">
        <v>4</v>
      </c>
      <c r="B24" s="93">
        <f t="shared" si="9"/>
        <v>216</v>
      </c>
      <c r="C24" s="1">
        <f t="shared" si="2"/>
        <v>1296</v>
      </c>
      <c r="D24" s="9">
        <f>SUM($C$21:C24)</f>
        <v>1554</v>
      </c>
      <c r="E24" s="9">
        <f t="shared" si="3"/>
        <v>1633.1589858550701</v>
      </c>
      <c r="F24" s="9">
        <f t="shared" si="4"/>
        <v>0.51589250446842094</v>
      </c>
      <c r="G24" s="282">
        <f t="shared" si="5"/>
        <v>1375992.7559377004</v>
      </c>
      <c r="O24" s="99">
        <v>4</v>
      </c>
      <c r="P24" s="93">
        <f t="shared" si="10"/>
        <v>861</v>
      </c>
      <c r="Q24" s="1">
        <f t="shared" si="6"/>
        <v>5181</v>
      </c>
      <c r="R24" s="9">
        <f>SUM($Q$21:Q24)</f>
        <v>6204</v>
      </c>
      <c r="S24" s="277">
        <f t="shared" si="7"/>
        <v>6520.024677120241</v>
      </c>
      <c r="T24" s="9">
        <f t="shared" si="11"/>
        <v>0.1292225905776799</v>
      </c>
      <c r="U24" s="282">
        <f t="shared" si="8"/>
        <v>5493345.5970640238</v>
      </c>
    </row>
    <row r="25" spans="1:21" x14ac:dyDescent="0.2">
      <c r="A25" s="97">
        <v>5</v>
      </c>
      <c r="B25" s="93">
        <f t="shared" si="9"/>
        <v>1296</v>
      </c>
      <c r="C25" s="1">
        <f t="shared" si="2"/>
        <v>7776</v>
      </c>
      <c r="D25" s="9">
        <f>SUM($C$21:C25)</f>
        <v>9330</v>
      </c>
      <c r="E25" s="9">
        <f t="shared" si="3"/>
        <v>9539.1649072222626</v>
      </c>
      <c r="F25" s="9">
        <f t="shared" si="4"/>
        <v>0.56976559427567663</v>
      </c>
      <c r="G25" s="282">
        <f t="shared" si="5"/>
        <v>51846200.357229769</v>
      </c>
      <c r="O25" s="99">
        <v>5</v>
      </c>
      <c r="P25" s="93">
        <f t="shared" si="10"/>
        <v>5181</v>
      </c>
      <c r="Q25" s="1">
        <f t="shared" si="6"/>
        <v>31101</v>
      </c>
      <c r="R25" s="9">
        <f>SUM($Q$21:Q25)</f>
        <v>37305</v>
      </c>
      <c r="S25" s="277">
        <f t="shared" si="7"/>
        <v>38141.323350903163</v>
      </c>
      <c r="T25" s="9">
        <f t="shared" si="11"/>
        <v>0.14249867295515514</v>
      </c>
      <c r="U25" s="282">
        <f t="shared" si="8"/>
        <v>207301447.40905216</v>
      </c>
    </row>
    <row r="26" spans="1:21" x14ac:dyDescent="0.2">
      <c r="A26" s="97">
        <v>6</v>
      </c>
      <c r="B26" s="93">
        <f t="shared" si="9"/>
        <v>7776</v>
      </c>
      <c r="C26" s="1">
        <f t="shared" si="2"/>
        <v>46656</v>
      </c>
      <c r="D26" s="9">
        <f>SUM($C$21:C26)</f>
        <v>55986</v>
      </c>
      <c r="E26" s="9">
        <f t="shared" si="3"/>
        <v>56550.333213805396</v>
      </c>
      <c r="F26" s="9">
        <f t="shared" si="4"/>
        <v>0.59947382558240681</v>
      </c>
      <c r="G26" s="282">
        <f t="shared" si="5"/>
        <v>1917081437.6402748</v>
      </c>
      <c r="O26" s="99">
        <v>6</v>
      </c>
      <c r="P26" s="93">
        <f t="shared" si="10"/>
        <v>31101</v>
      </c>
      <c r="Q26" s="1">
        <f t="shared" si="6"/>
        <v>186621</v>
      </c>
      <c r="R26" s="9">
        <f>SUM($Q$21:Q26)</f>
        <v>223926</v>
      </c>
      <c r="S26" s="277">
        <f t="shared" si="7"/>
        <v>226183.15141704332</v>
      </c>
      <c r="T26" s="9">
        <f t="shared" si="11"/>
        <v>0.14988050337636818</v>
      </c>
      <c r="U26" s="282">
        <f t="shared" si="8"/>
        <v>7667709391.7235765</v>
      </c>
    </row>
    <row r="27" spans="1:21" x14ac:dyDescent="0.2">
      <c r="A27" s="97">
        <v>7</v>
      </c>
      <c r="B27" s="93">
        <f t="shared" si="9"/>
        <v>46656</v>
      </c>
      <c r="C27" s="1">
        <f t="shared" si="2"/>
        <v>279936</v>
      </c>
      <c r="D27" s="9">
        <f>SUM($C$21:C27)</f>
        <v>335922</v>
      </c>
      <c r="E27" s="9">
        <f t="shared" si="3"/>
        <v>337458.82910440874</v>
      </c>
      <c r="F27" s="9">
        <f t="shared" si="4"/>
        <v>0.61533432840437818</v>
      </c>
      <c r="G27" s="282">
        <f t="shared" si="5"/>
        <v>70073326528.691925</v>
      </c>
      <c r="O27" s="99">
        <v>7</v>
      </c>
      <c r="P27" s="93">
        <f t="shared" si="10"/>
        <v>186621</v>
      </c>
      <c r="Q27" s="1">
        <f t="shared" si="6"/>
        <v>1119741</v>
      </c>
      <c r="R27" s="9">
        <f>SUM($Q$21:Q27)</f>
        <v>1343667</v>
      </c>
      <c r="S27" s="277">
        <f t="shared" si="7"/>
        <v>1349814.2203435132</v>
      </c>
      <c r="T27" s="9">
        <f t="shared" si="11"/>
        <v>0.15383598634650961</v>
      </c>
      <c r="U27" s="282">
        <f t="shared" si="8"/>
        <v>280288925514.93475</v>
      </c>
    </row>
    <row r="28" spans="1:21" x14ac:dyDescent="0.2">
      <c r="A28" s="97">
        <v>8</v>
      </c>
      <c r="B28" s="93">
        <f t="shared" si="9"/>
        <v>279936</v>
      </c>
      <c r="C28" s="1">
        <f t="shared" si="2"/>
        <v>1679616</v>
      </c>
      <c r="D28" s="9">
        <f>SUM($C$21:C28)</f>
        <v>2015538</v>
      </c>
      <c r="E28" s="9">
        <f t="shared" si="3"/>
        <v>2019740.8386423788</v>
      </c>
      <c r="F28" s="9">
        <f t="shared" si="4"/>
        <v>0.62361828716118151</v>
      </c>
      <c r="G28" s="282">
        <f t="shared" si="5"/>
        <v>2543959165059.334</v>
      </c>
      <c r="O28" s="99">
        <v>8</v>
      </c>
      <c r="P28" s="93">
        <f t="shared" si="10"/>
        <v>1119741</v>
      </c>
      <c r="Q28" s="1">
        <f t="shared" si="6"/>
        <v>6718461</v>
      </c>
      <c r="R28" s="9">
        <f>SUM($Q$21:Q28)</f>
        <v>8062128</v>
      </c>
      <c r="S28" s="277">
        <f t="shared" si="7"/>
        <v>8078939.3045242531</v>
      </c>
      <c r="T28" s="9">
        <f t="shared" si="11"/>
        <v>0.15590503589973684</v>
      </c>
      <c r="U28" s="282">
        <f t="shared" si="8"/>
        <v>10175806368067.225</v>
      </c>
    </row>
    <row r="29" spans="1:21" x14ac:dyDescent="0.2">
      <c r="A29" s="97">
        <v>9</v>
      </c>
      <c r="B29" s="93">
        <f t="shared" si="9"/>
        <v>1679616</v>
      </c>
      <c r="C29" s="1">
        <f t="shared" si="2"/>
        <v>10077696</v>
      </c>
      <c r="D29" s="9">
        <f>SUM($C$21:C29)</f>
        <v>12093234</v>
      </c>
      <c r="E29" s="9">
        <f t="shared" si="3"/>
        <v>12104749.707764093</v>
      </c>
      <c r="F29" s="9">
        <f t="shared" si="4"/>
        <v>0.62787620935683952</v>
      </c>
      <c r="G29" s="282">
        <f t="shared" si="5"/>
        <v>91999539906505.375</v>
      </c>
      <c r="O29" s="99">
        <v>9</v>
      </c>
      <c r="P29" s="93">
        <f t="shared" si="10"/>
        <v>6718461</v>
      </c>
      <c r="Q29" s="1">
        <f t="shared" si="6"/>
        <v>40310781</v>
      </c>
      <c r="R29" s="9">
        <f>SUM($Q$21:Q29)</f>
        <v>48372909</v>
      </c>
      <c r="S29" s="277">
        <f t="shared" si="7"/>
        <v>48418971.805345789</v>
      </c>
      <c r="T29" s="9">
        <f t="shared" si="11"/>
        <v>0.15696913995363085</v>
      </c>
      <c r="U29" s="282">
        <f t="shared" si="8"/>
        <v>367997954222936</v>
      </c>
    </row>
    <row r="30" spans="1:21" ht="17" thickBot="1" x14ac:dyDescent="0.25">
      <c r="A30" s="145">
        <v>10</v>
      </c>
      <c r="B30" s="94">
        <f t="shared" si="9"/>
        <v>10077696</v>
      </c>
      <c r="C30" s="111">
        <f t="shared" si="2"/>
        <v>60466176</v>
      </c>
      <c r="D30" s="10">
        <f>SUM($C$21:C30)</f>
        <v>72559410</v>
      </c>
      <c r="E30" s="10">
        <f t="shared" si="3"/>
        <v>72590990.386791617</v>
      </c>
      <c r="F30" s="10">
        <f t="shared" si="4"/>
        <v>0.63003784483579617</v>
      </c>
      <c r="G30" s="283">
        <f t="shared" si="5"/>
        <v>3319954109302558.5</v>
      </c>
      <c r="O30" s="100">
        <v>10</v>
      </c>
      <c r="P30" s="94">
        <f t="shared" si="10"/>
        <v>40310781</v>
      </c>
      <c r="Q30" s="111">
        <f t="shared" si="6"/>
        <v>241864701</v>
      </c>
      <c r="R30" s="10">
        <f>SUM($Q$21:Q30)</f>
        <v>290237610</v>
      </c>
      <c r="S30" s="278">
        <f t="shared" si="7"/>
        <v>290363931.53410941</v>
      </c>
      <c r="T30" s="10">
        <f t="shared" si="11"/>
        <v>0.15750947748969168</v>
      </c>
      <c r="U30" s="283">
        <f t="shared" si="8"/>
        <v>1.3279815064560934E+16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6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6</v>
      </c>
      <c r="D33" s="57">
        <f>SUM($C$33:C33)</f>
        <v>6</v>
      </c>
      <c r="E33" s="9">
        <f t="shared" ref="E33:E42" si="13">D33/R7</f>
        <v>16.115662659428747</v>
      </c>
      <c r="F33" s="8">
        <f t="shared" ref="F33:F42" si="14">U7/E33</f>
        <v>8.7630519637363541E-2</v>
      </c>
      <c r="G33" s="284">
        <f>E33*U7</f>
        <v>22.758923861529262</v>
      </c>
      <c r="O33" s="101">
        <v>1</v>
      </c>
      <c r="P33" s="109">
        <v>1</v>
      </c>
      <c r="Q33" s="110">
        <f>P33*6+15</f>
        <v>21</v>
      </c>
      <c r="R33" s="57">
        <f>SUM($Q$21)</f>
        <v>21</v>
      </c>
      <c r="S33" s="276">
        <f>R33/R7</f>
        <v>56.404819308000611</v>
      </c>
      <c r="T33" s="8">
        <f>U7/S33</f>
        <v>2.5037291324961013E-2</v>
      </c>
      <c r="U33" s="284">
        <f>S33*U7</f>
        <v>79.656233515352412</v>
      </c>
    </row>
    <row r="34" spans="1:21" x14ac:dyDescent="0.2">
      <c r="A34" s="97">
        <v>2</v>
      </c>
      <c r="B34" s="93">
        <f t="shared" ref="B34:B42" si="15">B33*($O$2+1)</f>
        <v>7</v>
      </c>
      <c r="C34" s="1">
        <f t="shared" si="12"/>
        <v>42</v>
      </c>
      <c r="D34" s="9">
        <f>SUM($C$33:C34)</f>
        <v>48</v>
      </c>
      <c r="E34" s="9">
        <f t="shared" si="13"/>
        <v>64.090924907955255</v>
      </c>
      <c r="F34" s="9">
        <f t="shared" si="14"/>
        <v>0.2434077459093841</v>
      </c>
      <c r="G34" s="282">
        <f t="shared" ref="G34:G42" si="16">E34*U8</f>
        <v>999.8330134213885</v>
      </c>
      <c r="O34" s="99">
        <v>2</v>
      </c>
      <c r="P34" s="93">
        <f>Q33+1</f>
        <v>22</v>
      </c>
      <c r="Q34" s="1">
        <f t="shared" ref="Q34:Q42" si="17">P34*6+15</f>
        <v>147</v>
      </c>
      <c r="R34" s="9">
        <f>SUM($Q$33:Q34)</f>
        <v>168</v>
      </c>
      <c r="S34" s="277">
        <f>R34/R8</f>
        <v>224.31823717784337</v>
      </c>
      <c r="T34" s="9">
        <f t="shared" ref="T34:T42" si="18">U8/S34</f>
        <v>6.9545070259824038E-2</v>
      </c>
      <c r="U34" s="282">
        <f t="shared" ref="U34:U42" si="19">S34*U8</f>
        <v>3499.4155469748594</v>
      </c>
    </row>
    <row r="35" spans="1:21" x14ac:dyDescent="0.2">
      <c r="A35" s="97">
        <v>3</v>
      </c>
      <c r="B35" s="93">
        <f t="shared" si="15"/>
        <v>49</v>
      </c>
      <c r="C35" s="1">
        <f t="shared" si="12"/>
        <v>294</v>
      </c>
      <c r="D35" s="9">
        <f>SUM($C$33:C35)</f>
        <v>342</v>
      </c>
      <c r="E35" s="9">
        <f t="shared" si="13"/>
        <v>383.66638885004079</v>
      </c>
      <c r="F35" s="9">
        <f t="shared" si="14"/>
        <v>0.31927265147816913</v>
      </c>
      <c r="G35" s="282">
        <f t="shared" si="16"/>
        <v>46996.901710458435</v>
      </c>
      <c r="O35" s="99">
        <v>3</v>
      </c>
      <c r="P35" s="93">
        <f t="shared" ref="P35:P42" si="20">Q34+1</f>
        <v>148</v>
      </c>
      <c r="Q35" s="1">
        <f t="shared" si="17"/>
        <v>903</v>
      </c>
      <c r="R35" s="9">
        <f>SUM($Q$33:Q35)</f>
        <v>1071</v>
      </c>
      <c r="S35" s="277">
        <f t="shared" ref="S35:S42" si="21">R35/R9</f>
        <v>1201.481586135654</v>
      </c>
      <c r="T35" s="9">
        <f t="shared" si="18"/>
        <v>0.10195261139639016</v>
      </c>
      <c r="U35" s="282">
        <f t="shared" si="19"/>
        <v>147174.50798801455</v>
      </c>
    </row>
    <row r="36" spans="1:21" x14ac:dyDescent="0.2">
      <c r="A36" s="97">
        <v>4</v>
      </c>
      <c r="B36" s="93">
        <f t="shared" si="15"/>
        <v>343</v>
      </c>
      <c r="C36" s="1">
        <f t="shared" si="12"/>
        <v>2058</v>
      </c>
      <c r="D36" s="9">
        <f>SUM($C$33:C36)</f>
        <v>2400</v>
      </c>
      <c r="E36" s="9">
        <f t="shared" si="13"/>
        <v>2522.2532600078302</v>
      </c>
      <c r="F36" s="9">
        <f t="shared" si="14"/>
        <v>0.33404039664330254</v>
      </c>
      <c r="G36" s="282">
        <f t="shared" si="16"/>
        <v>2125085.3373555215</v>
      </c>
      <c r="O36" s="99">
        <v>4</v>
      </c>
      <c r="P36" s="93">
        <f t="shared" si="20"/>
        <v>904</v>
      </c>
      <c r="Q36" s="1">
        <f t="shared" si="17"/>
        <v>5439</v>
      </c>
      <c r="R36" s="9">
        <f>SUM($Q$33:Q36)</f>
        <v>6510</v>
      </c>
      <c r="S36" s="277">
        <f t="shared" si="21"/>
        <v>6841.6119677712395</v>
      </c>
      <c r="T36" s="9">
        <f t="shared" si="18"/>
        <v>0.12314853332471982</v>
      </c>
      <c r="U36" s="282">
        <f t="shared" si="19"/>
        <v>5764293.9775768528</v>
      </c>
    </row>
    <row r="37" spans="1:21" x14ac:dyDescent="0.2">
      <c r="A37" s="97">
        <v>5</v>
      </c>
      <c r="B37" s="93">
        <f t="shared" si="15"/>
        <v>2401</v>
      </c>
      <c r="C37" s="1">
        <f t="shared" si="12"/>
        <v>14406</v>
      </c>
      <c r="D37" s="9">
        <f>SUM($C$33:C37)</f>
        <v>16806</v>
      </c>
      <c r="E37" s="9">
        <f t="shared" si="13"/>
        <v>17182.765855388781</v>
      </c>
      <c r="F37" s="9">
        <f t="shared" si="14"/>
        <v>0.31631042452648239</v>
      </c>
      <c r="G37" s="282">
        <f t="shared" si="16"/>
        <v>93389843.858907118</v>
      </c>
      <c r="O37" s="99">
        <v>5</v>
      </c>
      <c r="P37" s="93">
        <f t="shared" si="20"/>
        <v>5440</v>
      </c>
      <c r="Q37" s="1">
        <f t="shared" si="17"/>
        <v>32655</v>
      </c>
      <c r="R37" s="9">
        <f>SUM($Q$33:Q37)</f>
        <v>39165</v>
      </c>
      <c r="S37" s="277">
        <f t="shared" si="21"/>
        <v>40043.021821153256</v>
      </c>
      <c r="T37" s="9">
        <f t="shared" si="18"/>
        <v>0.13573121395613591</v>
      </c>
      <c r="U37" s="282">
        <f t="shared" si="19"/>
        <v>217637345.87255132</v>
      </c>
    </row>
    <row r="38" spans="1:21" x14ac:dyDescent="0.2">
      <c r="A38" s="97">
        <v>6</v>
      </c>
      <c r="B38" s="93">
        <f t="shared" si="15"/>
        <v>16807</v>
      </c>
      <c r="C38" s="1">
        <f t="shared" si="12"/>
        <v>100842</v>
      </c>
      <c r="D38" s="9">
        <f>SUM($C$33:C38)</f>
        <v>117648</v>
      </c>
      <c r="E38" s="9">
        <f t="shared" si="13"/>
        <v>118833.87993315789</v>
      </c>
      <c r="F38" s="9">
        <f t="shared" si="14"/>
        <v>0.28527592138461022</v>
      </c>
      <c r="G38" s="282">
        <f t="shared" si="16"/>
        <v>4028521362.0459232</v>
      </c>
      <c r="O38" s="99">
        <v>6</v>
      </c>
      <c r="P38" s="93">
        <f t="shared" si="20"/>
        <v>32656</v>
      </c>
      <c r="Q38" s="1">
        <f t="shared" si="17"/>
        <v>195951</v>
      </c>
      <c r="R38" s="9">
        <f>SUM($Q$33:Q38)</f>
        <v>235116</v>
      </c>
      <c r="S38" s="277">
        <f t="shared" si="21"/>
        <v>237485.94548453309</v>
      </c>
      <c r="T38" s="9">
        <f t="shared" si="18"/>
        <v>0.14274716139716831</v>
      </c>
      <c r="U38" s="282">
        <f t="shared" si="19"/>
        <v>8050879135.7166224</v>
      </c>
    </row>
    <row r="39" spans="1:21" x14ac:dyDescent="0.2">
      <c r="A39" s="97">
        <v>7</v>
      </c>
      <c r="B39" s="93">
        <f t="shared" si="15"/>
        <v>117649</v>
      </c>
      <c r="C39" s="1">
        <f t="shared" si="12"/>
        <v>705894</v>
      </c>
      <c r="D39" s="9">
        <f>SUM($C$33:C39)</f>
        <v>823542</v>
      </c>
      <c r="E39" s="9">
        <f t="shared" si="13"/>
        <v>827309.67021601147</v>
      </c>
      <c r="F39" s="9">
        <f t="shared" si="14"/>
        <v>0.250994288410616</v>
      </c>
      <c r="G39" s="282">
        <f t="shared" si="16"/>
        <v>171790854651.05594</v>
      </c>
      <c r="O39" s="99">
        <v>7</v>
      </c>
      <c r="P39" s="93">
        <f t="shared" si="20"/>
        <v>195952</v>
      </c>
      <c r="Q39" s="1">
        <f t="shared" si="17"/>
        <v>1175727</v>
      </c>
      <c r="R39" s="9">
        <f>SUM($Q$33:Q39)</f>
        <v>1410843</v>
      </c>
      <c r="S39" s="277">
        <f t="shared" si="21"/>
        <v>1417297.547734746</v>
      </c>
      <c r="T39" s="9">
        <f t="shared" si="18"/>
        <v>0.14651122645556985</v>
      </c>
      <c r="U39" s="282">
        <f t="shared" si="19"/>
        <v>294301838580.73987</v>
      </c>
    </row>
    <row r="40" spans="1:21" x14ac:dyDescent="0.2">
      <c r="A40" s="97">
        <v>8</v>
      </c>
      <c r="B40" s="93">
        <f t="shared" si="15"/>
        <v>823543</v>
      </c>
      <c r="C40" s="1">
        <f t="shared" si="12"/>
        <v>4941258</v>
      </c>
      <c r="D40" s="9">
        <f>SUM($C$33:C40)</f>
        <v>5764800</v>
      </c>
      <c r="E40" s="9">
        <f t="shared" si="13"/>
        <v>5776820.8719486231</v>
      </c>
      <c r="F40" s="9">
        <f t="shared" si="14"/>
        <v>0.2180346855516711</v>
      </c>
      <c r="G40" s="282">
        <f t="shared" si="16"/>
        <v>7276179260690.7168</v>
      </c>
      <c r="O40" s="99">
        <v>8</v>
      </c>
      <c r="P40" s="93">
        <f t="shared" si="20"/>
        <v>1175728</v>
      </c>
      <c r="Q40" s="1">
        <f t="shared" si="17"/>
        <v>7054383</v>
      </c>
      <c r="R40" s="9">
        <f>SUM($Q$33:Q40)</f>
        <v>8465226</v>
      </c>
      <c r="S40" s="277">
        <f t="shared" si="21"/>
        <v>8482877.8522346243</v>
      </c>
      <c r="T40" s="9">
        <f t="shared" si="18"/>
        <v>0.14848113390809334</v>
      </c>
      <c r="U40" s="282">
        <f t="shared" si="19"/>
        <v>10684586084211.047</v>
      </c>
    </row>
    <row r="41" spans="1:21" x14ac:dyDescent="0.2">
      <c r="A41" s="97">
        <v>9</v>
      </c>
      <c r="B41" s="93">
        <f t="shared" si="15"/>
        <v>5764801</v>
      </c>
      <c r="C41" s="1">
        <f t="shared" si="12"/>
        <v>34588806</v>
      </c>
      <c r="D41" s="9">
        <f>SUM($C$33:C41)</f>
        <v>40353606</v>
      </c>
      <c r="E41" s="9">
        <f t="shared" si="13"/>
        <v>40392032.473342314</v>
      </c>
      <c r="F41" s="9">
        <f t="shared" si="14"/>
        <v>0.18816295928510698</v>
      </c>
      <c r="G41" s="282">
        <f t="shared" si="16"/>
        <v>306990932745400.88</v>
      </c>
      <c r="O41" s="99">
        <v>9</v>
      </c>
      <c r="P41" s="93">
        <f t="shared" si="20"/>
        <v>7054384</v>
      </c>
      <c r="Q41" s="1">
        <f t="shared" si="17"/>
        <v>42326319</v>
      </c>
      <c r="R41" s="9">
        <f>SUM($Q$33:Q41)</f>
        <v>50791545</v>
      </c>
      <c r="S41" s="277">
        <f t="shared" si="21"/>
        <v>50839910.936614372</v>
      </c>
      <c r="T41" s="9">
        <f t="shared" si="18"/>
        <v>0.14949444681758056</v>
      </c>
      <c r="U41" s="282">
        <f t="shared" si="19"/>
        <v>386397780043002.81</v>
      </c>
    </row>
    <row r="42" spans="1:21" ht="17" thickBot="1" x14ac:dyDescent="0.25">
      <c r="A42" s="145">
        <v>10</v>
      </c>
      <c r="B42" s="94">
        <f t="shared" si="15"/>
        <v>40353607</v>
      </c>
      <c r="C42" s="111">
        <f t="shared" si="12"/>
        <v>242121642</v>
      </c>
      <c r="D42" s="10">
        <f>SUM($C$33:C42)</f>
        <v>282475248</v>
      </c>
      <c r="E42" s="9">
        <f t="shared" si="13"/>
        <v>282598191.08334231</v>
      </c>
      <c r="F42" s="10">
        <f t="shared" si="14"/>
        <v>0.16183780569318029</v>
      </c>
      <c r="G42" s="283">
        <f t="shared" si="16"/>
        <v>1.2924648372607486E+16</v>
      </c>
      <c r="O42" s="100">
        <v>10</v>
      </c>
      <c r="P42" s="94">
        <f t="shared" si="20"/>
        <v>42326320</v>
      </c>
      <c r="Q42" s="111">
        <f t="shared" si="17"/>
        <v>253957935</v>
      </c>
      <c r="R42" s="10">
        <f>SUM($Q$33:Q42)</f>
        <v>304749480</v>
      </c>
      <c r="S42" s="278">
        <f t="shared" si="21"/>
        <v>304882117.60624492</v>
      </c>
      <c r="T42" s="10">
        <f t="shared" si="18"/>
        <v>0.1500090313491492</v>
      </c>
      <c r="U42" s="283">
        <f t="shared" si="19"/>
        <v>1.3943805337361726E+16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6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6</v>
      </c>
      <c r="D45" s="57">
        <f>SUM(C45:C45)</f>
        <v>6</v>
      </c>
      <c r="E45" s="57">
        <f t="shared" ref="E45:E54" si="23">D45/R7</f>
        <v>16.115662659428747</v>
      </c>
      <c r="F45" s="8">
        <f t="shared" ref="F45:F54" si="24">U7/E45</f>
        <v>8.7630519637363541E-2</v>
      </c>
      <c r="G45" s="281">
        <f>E45*U7</f>
        <v>22.758923861529262</v>
      </c>
      <c r="O45" s="101">
        <v>1</v>
      </c>
      <c r="P45" s="109">
        <v>1</v>
      </c>
      <c r="Q45" s="110">
        <f>P45*6+15</f>
        <v>21</v>
      </c>
      <c r="R45" s="57">
        <f>SUM($Q$21)</f>
        <v>21</v>
      </c>
      <c r="S45" s="276">
        <f>R45/R7</f>
        <v>56.404819308000611</v>
      </c>
      <c r="T45" s="8">
        <f>U7/S45</f>
        <v>2.5037291324961013E-2</v>
      </c>
      <c r="U45" s="284">
        <f>S45*U7</f>
        <v>79.656233515352412</v>
      </c>
    </row>
    <row r="46" spans="1:21" x14ac:dyDescent="0.2">
      <c r="A46" s="97">
        <v>2</v>
      </c>
      <c r="B46" s="93">
        <f t="shared" ref="B46:B54" si="25">B45*$O$2*2</f>
        <v>12</v>
      </c>
      <c r="C46" s="1">
        <f t="shared" si="22"/>
        <v>72</v>
      </c>
      <c r="D46" s="9">
        <f>SUM($C$45:C46)</f>
        <v>78</v>
      </c>
      <c r="E46" s="9">
        <f t="shared" si="23"/>
        <v>104.14775297542728</v>
      </c>
      <c r="F46" s="9">
        <f t="shared" si="24"/>
        <v>0.14978938209808254</v>
      </c>
      <c r="G46" s="282">
        <f t="shared" ref="G46:G54" si="26">E46*U8</f>
        <v>1624.7286468097561</v>
      </c>
      <c r="O46" s="99">
        <v>2</v>
      </c>
      <c r="P46" s="93">
        <f>Q45*2</f>
        <v>42</v>
      </c>
      <c r="Q46" s="1">
        <f t="shared" ref="Q46:Q54" si="27">P46*6+15</f>
        <v>267</v>
      </c>
      <c r="R46" s="9">
        <f>SUM($Q$45:Q46)</f>
        <v>288</v>
      </c>
      <c r="S46" s="277">
        <f t="shared" ref="S46:S54" si="28">R46/R8</f>
        <v>384.5455494477315</v>
      </c>
      <c r="T46" s="9">
        <f t="shared" ref="T46:T54" si="29">U8/S46</f>
        <v>4.056795765156402E-2</v>
      </c>
      <c r="U46" s="282">
        <f t="shared" ref="U46:U54" si="30">S46*U8</f>
        <v>5998.9980805283303</v>
      </c>
    </row>
    <row r="47" spans="1:21" x14ac:dyDescent="0.2">
      <c r="A47" s="97">
        <v>3</v>
      </c>
      <c r="B47" s="93">
        <f t="shared" si="25"/>
        <v>144</v>
      </c>
      <c r="C47" s="1">
        <f t="shared" si="22"/>
        <v>864</v>
      </c>
      <c r="D47" s="9">
        <f>SUM($C$45:C47)</f>
        <v>942</v>
      </c>
      <c r="E47" s="9">
        <f t="shared" si="23"/>
        <v>1056.7653166571299</v>
      </c>
      <c r="F47" s="9">
        <f t="shared" si="24"/>
        <v>0.11591427474048178</v>
      </c>
      <c r="G47" s="282">
        <f t="shared" si="26"/>
        <v>129447.60646564867</v>
      </c>
      <c r="O47" s="99">
        <v>3</v>
      </c>
      <c r="P47" s="93">
        <f t="shared" ref="P47:P54" si="31">Q46*2</f>
        <v>534</v>
      </c>
      <c r="Q47" s="1">
        <f t="shared" si="27"/>
        <v>3219</v>
      </c>
      <c r="R47" s="9">
        <f>SUM($Q$45:Q47)</f>
        <v>3507</v>
      </c>
      <c r="S47" s="277">
        <f t="shared" si="28"/>
        <v>3934.2632330324359</v>
      </c>
      <c r="T47" s="9">
        <f t="shared" si="29"/>
        <v>3.1135228630035313E-2</v>
      </c>
      <c r="U47" s="282">
        <f t="shared" si="30"/>
        <v>481924.36929408694</v>
      </c>
    </row>
    <row r="48" spans="1:21" x14ac:dyDescent="0.2">
      <c r="A48" s="97">
        <v>4</v>
      </c>
      <c r="B48" s="93">
        <f t="shared" si="25"/>
        <v>1728</v>
      </c>
      <c r="C48" s="1">
        <f t="shared" si="22"/>
        <v>10368</v>
      </c>
      <c r="D48" s="9">
        <f>SUM($C$45:C48)</f>
        <v>11310</v>
      </c>
      <c r="E48" s="9">
        <f t="shared" si="23"/>
        <v>11886.1184877869</v>
      </c>
      <c r="F48" s="9">
        <f t="shared" si="24"/>
        <v>7.088390379698728E-2</v>
      </c>
      <c r="G48" s="282">
        <f t="shared" si="26"/>
        <v>10014464.652287897</v>
      </c>
      <c r="O48" s="99">
        <v>4</v>
      </c>
      <c r="P48" s="93">
        <f t="shared" si="31"/>
        <v>6438</v>
      </c>
      <c r="Q48" s="1">
        <f t="shared" si="27"/>
        <v>38643</v>
      </c>
      <c r="R48" s="9">
        <f>SUM($Q$45:Q48)</f>
        <v>42150</v>
      </c>
      <c r="S48" s="277">
        <f t="shared" si="28"/>
        <v>44297.07287888752</v>
      </c>
      <c r="T48" s="9">
        <f t="shared" si="29"/>
        <v>1.9020093759049256E-2</v>
      </c>
      <c r="U48" s="282">
        <f t="shared" si="30"/>
        <v>37321811.237306349</v>
      </c>
    </row>
    <row r="49" spans="1:21" x14ac:dyDescent="0.2">
      <c r="A49" s="97">
        <v>5</v>
      </c>
      <c r="B49" s="93">
        <f t="shared" si="25"/>
        <v>20736</v>
      </c>
      <c r="C49" s="1">
        <f t="shared" si="22"/>
        <v>124416</v>
      </c>
      <c r="D49" s="9">
        <f>SUM($C$45:C49)</f>
        <v>135726</v>
      </c>
      <c r="E49" s="9">
        <f t="shared" si="23"/>
        <v>138768.7777275079</v>
      </c>
      <c r="F49" s="9">
        <f t="shared" si="24"/>
        <v>3.9166504535550026E-2</v>
      </c>
      <c r="G49" s="282">
        <f t="shared" si="26"/>
        <v>754220513.36391938</v>
      </c>
      <c r="O49" s="99">
        <v>5</v>
      </c>
      <c r="P49" s="93">
        <f t="shared" si="31"/>
        <v>77286</v>
      </c>
      <c r="Q49" s="1">
        <f t="shared" si="27"/>
        <v>463731</v>
      </c>
      <c r="R49" s="9">
        <f>SUM($Q$45:Q49)</f>
        <v>505881</v>
      </c>
      <c r="S49" s="277">
        <f t="shared" si="28"/>
        <v>517222.10958526313</v>
      </c>
      <c r="T49" s="9">
        <f t="shared" si="29"/>
        <v>1.0508228208989986E-2</v>
      </c>
      <c r="U49" s="282">
        <f t="shared" si="30"/>
        <v>2811147661.6201234</v>
      </c>
    </row>
    <row r="50" spans="1:21" x14ac:dyDescent="0.2">
      <c r="A50" s="97">
        <v>6</v>
      </c>
      <c r="B50" s="93">
        <f t="shared" si="25"/>
        <v>248832</v>
      </c>
      <c r="C50" s="1">
        <f t="shared" si="22"/>
        <v>1492992</v>
      </c>
      <c r="D50" s="9">
        <f>SUM($C$45:C50)</f>
        <v>1628718</v>
      </c>
      <c r="E50" s="9">
        <f t="shared" si="23"/>
        <v>1645135.31260177</v>
      </c>
      <c r="F50" s="9">
        <f t="shared" si="24"/>
        <v>2.060647797780624E-2</v>
      </c>
      <c r="G50" s="282">
        <f t="shared" si="26"/>
        <v>55770818507.315987</v>
      </c>
      <c r="O50" s="99">
        <v>6</v>
      </c>
      <c r="P50" s="93">
        <f t="shared" si="31"/>
        <v>927462</v>
      </c>
      <c r="Q50" s="1">
        <f t="shared" si="27"/>
        <v>5564787</v>
      </c>
      <c r="R50" s="9">
        <f>SUM($Q$45:Q50)</f>
        <v>6070668</v>
      </c>
      <c r="S50" s="277">
        <f t="shared" si="28"/>
        <v>6131859.7190437894</v>
      </c>
      <c r="T50" s="9">
        <f t="shared" si="29"/>
        <v>5.5285747135334403E-3</v>
      </c>
      <c r="U50" s="282">
        <f t="shared" si="30"/>
        <v>207872770636.888</v>
      </c>
    </row>
    <row r="51" spans="1:21" x14ac:dyDescent="0.2">
      <c r="A51" s="97">
        <v>7</v>
      </c>
      <c r="B51" s="93">
        <f t="shared" si="25"/>
        <v>2985984</v>
      </c>
      <c r="C51" s="1">
        <f t="shared" si="22"/>
        <v>17915904</v>
      </c>
      <c r="D51" s="9">
        <f>SUM($C$45:C51)</f>
        <v>19544622</v>
      </c>
      <c r="E51" s="9">
        <f t="shared" si="23"/>
        <v>19634037.828449067</v>
      </c>
      <c r="F51" s="9">
        <f t="shared" si="24"/>
        <v>1.0576021284333641E-2</v>
      </c>
      <c r="G51" s="282">
        <f t="shared" si="26"/>
        <v>4077007993777.8887</v>
      </c>
      <c r="O51" s="99">
        <v>7</v>
      </c>
      <c r="P51" s="93">
        <f t="shared" si="31"/>
        <v>11129574</v>
      </c>
      <c r="Q51" s="1">
        <f t="shared" si="27"/>
        <v>66777459</v>
      </c>
      <c r="R51" s="9">
        <f>SUM($Q$45:Q51)</f>
        <v>72848127</v>
      </c>
      <c r="S51" s="277">
        <f t="shared" si="28"/>
        <v>73181404.135094658</v>
      </c>
      <c r="T51" s="9">
        <f t="shared" si="29"/>
        <v>2.8374694968651081E-3</v>
      </c>
      <c r="U51" s="282">
        <f t="shared" si="30"/>
        <v>15196118712899.48</v>
      </c>
    </row>
    <row r="52" spans="1:21" x14ac:dyDescent="0.2">
      <c r="A52" s="97">
        <v>8</v>
      </c>
      <c r="B52" s="93">
        <f t="shared" si="25"/>
        <v>35831808</v>
      </c>
      <c r="C52" s="1">
        <f t="shared" si="22"/>
        <v>214990848</v>
      </c>
      <c r="D52" s="9">
        <f>SUM($C$45:C52)</f>
        <v>234535470</v>
      </c>
      <c r="E52" s="9">
        <f t="shared" si="23"/>
        <v>235024527.87751183</v>
      </c>
      <c r="F52" s="9">
        <f t="shared" si="24"/>
        <v>5.3592164770142172E-3</v>
      </c>
      <c r="G52" s="282">
        <f t="shared" si="26"/>
        <v>296024514763799.25</v>
      </c>
      <c r="O52" s="99">
        <v>8</v>
      </c>
      <c r="P52" s="93">
        <f t="shared" si="31"/>
        <v>133554918</v>
      </c>
      <c r="Q52" s="1">
        <f t="shared" si="27"/>
        <v>801329523</v>
      </c>
      <c r="R52" s="9">
        <f>SUM($Q$45:Q52)</f>
        <v>874177650</v>
      </c>
      <c r="S52" s="277">
        <f t="shared" si="28"/>
        <v>876000502.06615996</v>
      </c>
      <c r="T52" s="9">
        <f t="shared" si="29"/>
        <v>1.4378385849469766E-3</v>
      </c>
      <c r="U52" s="282">
        <f t="shared" si="30"/>
        <v>1103364086714083.5</v>
      </c>
    </row>
    <row r="53" spans="1:21" x14ac:dyDescent="0.2">
      <c r="A53" s="97">
        <v>9</v>
      </c>
      <c r="B53" s="93">
        <f t="shared" si="25"/>
        <v>429981696</v>
      </c>
      <c r="C53" s="1">
        <f t="shared" si="22"/>
        <v>2579890176</v>
      </c>
      <c r="D53" s="9">
        <f>SUM($C$45:C53)</f>
        <v>2814425646</v>
      </c>
      <c r="E53" s="9">
        <f t="shared" si="23"/>
        <v>2817105665.5268779</v>
      </c>
      <c r="F53" s="9">
        <f t="shared" si="24"/>
        <v>2.6979053198924871E-3</v>
      </c>
      <c r="G53" s="282">
        <f t="shared" si="26"/>
        <v>2.1410804135028656E+16</v>
      </c>
      <c r="O53" s="99">
        <v>9</v>
      </c>
      <c r="P53" s="93">
        <f t="shared" si="31"/>
        <v>1602659046</v>
      </c>
      <c r="Q53" s="1">
        <f t="shared" si="27"/>
        <v>9615954291</v>
      </c>
      <c r="R53" s="9">
        <f>SUM($Q$45:Q53)</f>
        <v>10490131941</v>
      </c>
      <c r="S53" s="277">
        <f t="shared" si="28"/>
        <v>10500121104.679403</v>
      </c>
      <c r="T53" s="9">
        <f t="shared" si="29"/>
        <v>7.2382825740334986E-4</v>
      </c>
      <c r="U53" s="282">
        <f t="shared" si="30"/>
        <v>7.9803906228105408E+16</v>
      </c>
    </row>
    <row r="54" spans="1:21" ht="17" thickBot="1" x14ac:dyDescent="0.25">
      <c r="A54" s="145">
        <v>10</v>
      </c>
      <c r="B54" s="94">
        <f t="shared" si="25"/>
        <v>5159780352</v>
      </c>
      <c r="C54" s="111">
        <f t="shared" si="22"/>
        <v>30958682112</v>
      </c>
      <c r="D54" s="10">
        <f>SUM($C$45:C54)</f>
        <v>33773107758</v>
      </c>
      <c r="E54" s="10">
        <f t="shared" si="23"/>
        <v>33787806992.822231</v>
      </c>
      <c r="F54" s="10">
        <f t="shared" si="24"/>
        <v>1.3535969099002488E-3</v>
      </c>
      <c r="G54" s="283">
        <f t="shared" si="26"/>
        <v>1.5452877564066496E+18</v>
      </c>
      <c r="O54" s="100">
        <v>10</v>
      </c>
      <c r="P54" s="94">
        <f t="shared" si="31"/>
        <v>19231908582</v>
      </c>
      <c r="Q54" s="111">
        <f t="shared" si="27"/>
        <v>115391451507</v>
      </c>
      <c r="R54" s="10">
        <f>SUM($Q$45:Q54)</f>
        <v>125881583448</v>
      </c>
      <c r="S54" s="278">
        <f t="shared" si="28"/>
        <v>125936371505.05875</v>
      </c>
      <c r="T54" s="10">
        <f t="shared" si="29"/>
        <v>3.6316014659794332E-4</v>
      </c>
      <c r="U54" s="283">
        <f t="shared" si="30"/>
        <v>5.7597089096190351E+18</v>
      </c>
    </row>
  </sheetData>
  <mergeCells count="2">
    <mergeCell ref="A18:F18"/>
    <mergeCell ref="O18:T18"/>
  </mergeCells>
  <conditionalFormatting sqref="E33:E42">
    <cfRule type="cellIs" dxfId="798" priority="69" stopIfTrue="1" operator="lessThan">
      <formula>0</formula>
    </cfRule>
    <cfRule type="cellIs" dxfId="797" priority="70" operator="equal">
      <formula>MIN($E$33:$E$42)</formula>
    </cfRule>
  </conditionalFormatting>
  <conditionalFormatting sqref="F45:F54">
    <cfRule type="cellIs" dxfId="796" priority="57" operator="equal">
      <formula>MAX($F$45:$F$54)</formula>
    </cfRule>
  </conditionalFormatting>
  <conditionalFormatting sqref="F21:F30">
    <cfRule type="cellIs" dxfId="795" priority="55" operator="equal">
      <formula>MAX($F$21:$F$30)</formula>
    </cfRule>
  </conditionalFormatting>
  <conditionalFormatting sqref="E21:E30">
    <cfRule type="cellIs" dxfId="794" priority="51" stopIfTrue="1" operator="lessThan">
      <formula>0</formula>
    </cfRule>
    <cfRule type="cellIs" dxfId="793" priority="52" operator="equal">
      <formula>MIN($E$21:$E$30)</formula>
    </cfRule>
  </conditionalFormatting>
  <conditionalFormatting sqref="E45:E54">
    <cfRule type="cellIs" dxfId="792" priority="47" stopIfTrue="1" operator="lessThan">
      <formula>0</formula>
    </cfRule>
    <cfRule type="cellIs" dxfId="791" priority="48" operator="equal">
      <formula>MIN($E$45:$E$54)</formula>
    </cfRule>
  </conditionalFormatting>
  <conditionalFormatting sqref="F33:F42">
    <cfRule type="cellIs" dxfId="790" priority="33" operator="lessThanOrEqual">
      <formula>0</formula>
    </cfRule>
    <cfRule type="cellIs" dxfId="789" priority="34" operator="equal">
      <formula>MAX($F$33:$F$42)</formula>
    </cfRule>
  </conditionalFormatting>
  <conditionalFormatting sqref="R7:R16">
    <cfRule type="cellIs" dxfId="788" priority="27" operator="lessThanOrEqual">
      <formula>0</formula>
    </cfRule>
    <cfRule type="cellIs" dxfId="787" priority="28" operator="greaterThan">
      <formula>0</formula>
    </cfRule>
  </conditionalFormatting>
  <conditionalFormatting sqref="S21:S30">
    <cfRule type="cellIs" dxfId="786" priority="19" stopIfTrue="1" operator="lessThan">
      <formula>0</formula>
    </cfRule>
    <cfRule type="cellIs" dxfId="785" priority="20" operator="equal">
      <formula>MIN($E$21:$E$30)</formula>
    </cfRule>
  </conditionalFormatting>
  <conditionalFormatting sqref="T21:T30">
    <cfRule type="cellIs" dxfId="784" priority="17" operator="equal">
      <formula>MAX($T$21:$T$30)</formula>
    </cfRule>
  </conditionalFormatting>
  <conditionalFormatting sqref="S33:S42">
    <cfRule type="cellIs" dxfId="783" priority="15" stopIfTrue="1" operator="lessThan">
      <formula>0</formula>
    </cfRule>
    <cfRule type="cellIs" dxfId="782" priority="16" operator="equal">
      <formula>MIN($E$21:$E$30)</formula>
    </cfRule>
  </conditionalFormatting>
  <conditionalFormatting sqref="T33:T42">
    <cfRule type="cellIs" dxfId="781" priority="14" operator="equal">
      <formula>MAX($T$21:$T$30)</formula>
    </cfRule>
  </conditionalFormatting>
  <conditionalFormatting sqref="S45:S54">
    <cfRule type="cellIs" dxfId="780" priority="12" stopIfTrue="1" operator="lessThan">
      <formula>0</formula>
    </cfRule>
    <cfRule type="cellIs" dxfId="779" priority="13" operator="equal">
      <formula>MIN($E$21:$E$30)</formula>
    </cfRule>
  </conditionalFormatting>
  <conditionalFormatting sqref="T45:T54">
    <cfRule type="cellIs" dxfId="778" priority="11" operator="equal">
      <formula>MAX($T$21:$T$30)</formula>
    </cfRule>
  </conditionalFormatting>
  <conditionalFormatting sqref="U7:U16">
    <cfRule type="cellIs" dxfId="777" priority="7" operator="lessThanOrEqual">
      <formula>0</formula>
    </cfRule>
    <cfRule type="cellIs" dxfId="776" priority="8" operator="greaterThan">
      <formula>0</formula>
    </cfRule>
  </conditionalFormatting>
  <conditionalFormatting sqref="S7:T16">
    <cfRule type="cellIs" dxfId="775" priority="1" operator="lessThanOrEqual">
      <formula>0</formula>
    </cfRule>
    <cfRule type="cellIs" dxfId="77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49" t="s">
        <v>125</v>
      </c>
      <c r="C2" s="155">
        <f>Analysis!B14</f>
        <v>0.69543100907771715</v>
      </c>
      <c r="D2" s="149" t="s">
        <v>126</v>
      </c>
      <c r="E2" s="155">
        <f>Analysis!J14</f>
        <v>0.30456899092228279</v>
      </c>
      <c r="F2" s="149" t="s">
        <v>47</v>
      </c>
      <c r="G2" s="155">
        <f>Analysis!S14</f>
        <v>4.7888848157793227</v>
      </c>
      <c r="H2" t="s">
        <v>155</v>
      </c>
      <c r="I2" s="169">
        <f>Analysis!T14</f>
        <v>-5.0692189501986666</v>
      </c>
      <c r="J2" t="s">
        <v>48</v>
      </c>
      <c r="K2" s="169">
        <f>C2*G2+E2*I2</f>
        <v>1.7864120993682504</v>
      </c>
      <c r="L2" t="s">
        <v>47</v>
      </c>
      <c r="M2" s="176">
        <v>1</v>
      </c>
      <c r="N2" t="s">
        <v>155</v>
      </c>
      <c r="O2" s="176">
        <v>7</v>
      </c>
    </row>
    <row r="4" spans="1:23" x14ac:dyDescent="0.2">
      <c r="A4" t="s">
        <v>123</v>
      </c>
      <c r="B4">
        <f>$C$2</f>
        <v>0.69543100907771715</v>
      </c>
      <c r="C4" t="s">
        <v>124</v>
      </c>
      <c r="D4">
        <f>$E$2</f>
        <v>0.30456899092228279</v>
      </c>
      <c r="E4" t="s">
        <v>47</v>
      </c>
      <c r="F4">
        <f>G2</f>
        <v>4.7888848157793227</v>
      </c>
      <c r="G4" t="s">
        <v>155</v>
      </c>
      <c r="H4">
        <f>I2</f>
        <v>-5.0692189501986666</v>
      </c>
      <c r="I4" t="s">
        <v>48</v>
      </c>
      <c r="J4">
        <f>K2</f>
        <v>1.7864120993682504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182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0.69543100907771715</v>
      </c>
      <c r="C7" s="95">
        <v>1</v>
      </c>
      <c r="D7" s="109">
        <f>C7*D4</f>
        <v>0.30456899092228279</v>
      </c>
      <c r="E7" s="110"/>
      <c r="F7" s="110"/>
      <c r="G7" s="110"/>
      <c r="H7" s="110"/>
      <c r="I7" s="110"/>
      <c r="J7" s="110"/>
      <c r="K7" s="110"/>
      <c r="L7" s="110"/>
      <c r="M7" s="258"/>
      <c r="N7" s="95">
        <f>B7+D7</f>
        <v>1</v>
      </c>
      <c r="R7" s="296">
        <f>B7-D7</f>
        <v>0.39086201815543437</v>
      </c>
      <c r="S7" s="297">
        <f>SUM(C7)*B4*F4*POWER(O2,A7-1)</f>
        <v>3.330338999794372</v>
      </c>
      <c r="T7" s="276">
        <f>SUM(C7)*D4*H4*POWER(O2,A7-1)</f>
        <v>-1.5439269004261216</v>
      </c>
      <c r="U7" s="294">
        <f>S7+T7</f>
        <v>1.7864120993682504</v>
      </c>
      <c r="V7" s="109">
        <f>(U7+W7*D7)/B7</f>
        <v>3.0067412338480546</v>
      </c>
      <c r="W7" s="57">
        <f>COUNT(D7:M7)</f>
        <v>1</v>
      </c>
    </row>
    <row r="8" spans="1:23" x14ac:dyDescent="0.2">
      <c r="A8" s="99">
        <v>2</v>
      </c>
      <c r="B8" s="97">
        <f>C8*B4</f>
        <v>0.88231024969823968</v>
      </c>
      <c r="C8" s="97">
        <f>1/(1-B4*D4)</f>
        <v>1.2687243424309802</v>
      </c>
      <c r="D8" s="93">
        <f>C8*D4</f>
        <v>0.38641409273274041</v>
      </c>
      <c r="E8" s="1">
        <f>D8*D4</f>
        <v>0.11768975030176015</v>
      </c>
      <c r="F8" s="1"/>
      <c r="G8" s="1"/>
      <c r="H8" s="1"/>
      <c r="I8" s="1"/>
      <c r="J8" s="1"/>
      <c r="K8" s="1"/>
      <c r="L8" s="1"/>
      <c r="M8" s="257"/>
      <c r="N8" s="97">
        <f>B8+E8</f>
        <v>0.99999999999999978</v>
      </c>
      <c r="R8" s="298">
        <f>B8-E8</f>
        <v>0.76462049939647958</v>
      </c>
      <c r="S8" s="299">
        <f>SUM(C8:D8)*B4*F4*POWER(O2,A8-1)</f>
        <v>38.585204564790573</v>
      </c>
      <c r="T8" s="277">
        <f>SUM(C8:D8)*D4*H4*POWER(O2,A8-1)</f>
        <v>-17.887889277849247</v>
      </c>
      <c r="U8" s="295">
        <f>S8+T8+U7</f>
        <v>22.483727386309575</v>
      </c>
      <c r="V8" s="93">
        <f>(U8+W8*E8)/B8</f>
        <v>25.749566997190946</v>
      </c>
      <c r="W8" s="9">
        <f>COUNT(D8:M8)</f>
        <v>2</v>
      </c>
    </row>
    <row r="9" spans="1:23" x14ac:dyDescent="0.2">
      <c r="A9" s="99">
        <v>3</v>
      </c>
      <c r="B9" s="97">
        <f>C9*B4</f>
        <v>0.95098339713582014</v>
      </c>
      <c r="C9" s="97">
        <f>1/(1-D4*B4/(1-D4*B4))</f>
        <v>1.3674733866081372</v>
      </c>
      <c r="D9" s="93">
        <f>C9*D4*C8</f>
        <v>0.52841098802235131</v>
      </c>
      <c r="E9" s="1">
        <f>D9*(D4)</f>
        <v>0.16093760141421401</v>
      </c>
      <c r="F9" s="1">
        <f>E9*D4</f>
        <v>4.9016602864179713E-2</v>
      </c>
      <c r="G9" s="1"/>
      <c r="H9" s="1"/>
      <c r="I9" s="1"/>
      <c r="J9" s="1"/>
      <c r="K9" s="1"/>
      <c r="L9" s="1"/>
      <c r="M9" s="257"/>
      <c r="N9" s="97">
        <f>B9+F9</f>
        <v>0.99999999999999989</v>
      </c>
      <c r="R9" s="298">
        <f>B9-F9</f>
        <v>0.90196679427164039</v>
      </c>
      <c r="S9" s="299">
        <f>SUM(C9:E9)*B4*F4*POWER(O2,A9-1)</f>
        <v>335.64580768033414</v>
      </c>
      <c r="T9" s="277">
        <f>SUM(C9:E9)*D4*H4*POWER(O2,A9-1)</f>
        <v>-155.60355613194841</v>
      </c>
      <c r="U9" s="295">
        <f t="shared" ref="U9:U16" si="0">S9+T9+U8</f>
        <v>202.5259789346953</v>
      </c>
      <c r="V9" s="93">
        <f>(U9+W9*F9)/B9</f>
        <v>213.11941864989461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0.97898398220581029</v>
      </c>
      <c r="C10" s="97">
        <f>1/(1-D4*B4/(1-D4*B4/(1-D4*B4)))</f>
        <v>1.4077370284424648</v>
      </c>
      <c r="D10" s="93">
        <f>C10*D4*C9</f>
        <v>0.58630838015579312</v>
      </c>
      <c r="E10" s="1">
        <f>D10*D4*C8</f>
        <v>0.22655782077950345</v>
      </c>
      <c r="F10" s="1">
        <f>E10*D4</f>
        <v>6.9002486860364753E-2</v>
      </c>
      <c r="G10" s="1">
        <f>F10*D4</f>
        <v>2.1016017794189368E-2</v>
      </c>
      <c r="H10" s="1"/>
      <c r="I10" s="1"/>
      <c r="J10" s="1"/>
      <c r="K10" s="1"/>
      <c r="L10" s="1"/>
      <c r="M10" s="257"/>
      <c r="N10" s="97">
        <f>B10+G10</f>
        <v>0.99999999999999967</v>
      </c>
      <c r="R10" s="298">
        <f>B10-G10</f>
        <v>0.95796796441162091</v>
      </c>
      <c r="S10" s="299">
        <f>SUM(C10:F10)*B4*F4*POWER(O2,A10-1)</f>
        <v>2615.4309813524051</v>
      </c>
      <c r="T10" s="277">
        <f>SUM(C10:F10)*D4*H4*POWER(O2,A10-1)</f>
        <v>-1212.4994628376246</v>
      </c>
      <c r="U10" s="295">
        <f t="shared" si="0"/>
        <v>1605.4574974494758</v>
      </c>
      <c r="V10" s="93">
        <f>(U10+W10*G10)/B10</f>
        <v>1640.0079988061766</v>
      </c>
      <c r="W10" s="9">
        <f t="shared" si="1"/>
        <v>4</v>
      </c>
    </row>
    <row r="11" spans="1:23" x14ac:dyDescent="0.2">
      <c r="A11" s="99">
        <v>5</v>
      </c>
      <c r="B11" s="97">
        <f>C11*B4</f>
        <v>0.99087982761580329</v>
      </c>
      <c r="C11" s="97">
        <f>1/(1-D4*B4/(1-D4*B4/(1-D4*B4/(1-D4*B4))))</f>
        <v>1.4248427445447267</v>
      </c>
      <c r="D11" s="93">
        <f>C11*D4*C10</f>
        <v>0.61090566713174677</v>
      </c>
      <c r="E11" s="1">
        <f>D11*D4*C9</f>
        <v>0.25443609487228003</v>
      </c>
      <c r="F11" s="1">
        <f>E11*D4*C8</f>
        <v>9.8317692758533554E-2</v>
      </c>
      <c r="G11" s="1">
        <f>F11*D4</f>
        <v>2.9944520473273593E-2</v>
      </c>
      <c r="H11" s="1">
        <f>G11*D4</f>
        <v>9.1201723841965766E-3</v>
      </c>
      <c r="I11" s="1"/>
      <c r="J11" s="1"/>
      <c r="K11" s="1"/>
      <c r="L11" s="1"/>
      <c r="M11" s="257"/>
      <c r="N11" s="97">
        <f>B11+H11</f>
        <v>0.99999999999999989</v>
      </c>
      <c r="R11" s="298">
        <f>B11-H11</f>
        <v>0.98175965523160669</v>
      </c>
      <c r="S11" s="299">
        <f>SUM(C11:G11)*B4*F4*POWER(O2,A11-1)</f>
        <v>19338.248078973738</v>
      </c>
      <c r="T11" s="277">
        <f>SUM(C11:G11)*D4*H4*POWER(O2,A11-1)</f>
        <v>-8965.1057799475675</v>
      </c>
      <c r="U11" s="295">
        <f t="shared" si="0"/>
        <v>11978.599796475646</v>
      </c>
      <c r="V11" s="93">
        <f>(U11+W11*H11)/B11</f>
        <v>12088.898233158987</v>
      </c>
      <c r="W11" s="9">
        <f t="shared" si="1"/>
        <v>5</v>
      </c>
    </row>
    <row r="12" spans="1:23" x14ac:dyDescent="0.2">
      <c r="A12" s="99">
        <v>6</v>
      </c>
      <c r="B12" s="97">
        <f>C12*B4</f>
        <v>0.9960216457090163</v>
      </c>
      <c r="C12" s="97">
        <f>1/(1-D4*B4/(1-D4*B4/(1-D4*B4/(1-D4*B4/(1-D4*B4)))))</f>
        <v>1.4322364586962313</v>
      </c>
      <c r="D12" s="93">
        <f>C12*D4*C11</f>
        <v>0.62153751134776802</v>
      </c>
      <c r="E12" s="1">
        <f>D12*D4*C10</f>
        <v>0.26648610134070472</v>
      </c>
      <c r="F12" s="1">
        <f>E12*D4*C9</f>
        <v>0.11098879354190891</v>
      </c>
      <c r="G12" s="1">
        <f>F12*D4*C8</f>
        <v>4.2887633959998166E-2</v>
      </c>
      <c r="H12" s="1">
        <f>G12*D4</f>
        <v>1.3062243398240869E-2</v>
      </c>
      <c r="I12" s="1">
        <f>H12*D4</f>
        <v>3.9783542909834716E-3</v>
      </c>
      <c r="J12" s="1"/>
      <c r="K12" s="1"/>
      <c r="L12" s="1"/>
      <c r="M12" s="257"/>
      <c r="N12" s="97">
        <f>B12+I12</f>
        <v>0.99999999999999978</v>
      </c>
      <c r="R12" s="298">
        <f>B12-I12</f>
        <v>0.99204329141803282</v>
      </c>
      <c r="S12" s="299">
        <f>SUM(C12:H12)*B4*F4*POWER(O2,A12-1)</f>
        <v>139215.99402887039</v>
      </c>
      <c r="T12" s="277">
        <f>SUM(C12:H12)*D4*H4*POWER(O2,A12-1)</f>
        <v>-64539.771525963712</v>
      </c>
      <c r="U12" s="295">
        <f t="shared" si="0"/>
        <v>86654.822299382329</v>
      </c>
      <c r="V12" s="93">
        <f>(U12+W12*I12)/B12</f>
        <v>87000.966839252753</v>
      </c>
      <c r="W12" s="9">
        <f t="shared" si="1"/>
        <v>6</v>
      </c>
    </row>
    <row r="13" spans="1:23" x14ac:dyDescent="0.2">
      <c r="A13" s="99">
        <v>7</v>
      </c>
      <c r="B13" s="97">
        <f>C13*B4</f>
        <v>0.99826068174531435</v>
      </c>
      <c r="C13" s="97">
        <f>1/(1-D4*B4/(1-D4*B4/(1-D4*B4/(1-D4*B4/(1-D4*B4/(1-D4*B4))))))</f>
        <v>1.435456096600022</v>
      </c>
      <c r="D13" s="93">
        <f>C13*D4*C12</f>
        <v>0.62616721272973608</v>
      </c>
      <c r="E13" s="1">
        <f>D13*D4*C11</f>
        <v>0.27173335012144995</v>
      </c>
      <c r="F13" s="1">
        <f>E13*D4*C10</f>
        <v>0.11650650162866304</v>
      </c>
      <c r="G13" s="1">
        <f>F13*D4*C9</f>
        <v>4.8523791636778356E-2</v>
      </c>
      <c r="H13" s="1">
        <f>G13*D4*C8</f>
        <v>1.8750276921278244E-2</v>
      </c>
      <c r="I13" s="1">
        <f>H13*D4</f>
        <v>5.7107529214270817E-3</v>
      </c>
      <c r="J13" s="1">
        <f>I13*D4</f>
        <v>1.7393182546855247E-3</v>
      </c>
      <c r="K13" s="1"/>
      <c r="L13" s="1"/>
      <c r="M13" s="257"/>
      <c r="N13" s="97">
        <f>B13+J13</f>
        <v>0.99999999999999989</v>
      </c>
      <c r="R13" s="298">
        <f>B13-J13</f>
        <v>0.99652136349062881</v>
      </c>
      <c r="S13" s="299">
        <f>SUM(C13:I13)*B4*F4*POWER(O2,A13-1)</f>
        <v>988479.72457222512</v>
      </c>
      <c r="T13" s="277">
        <f>SUM(C13:I13)*D4*H4*POWER(O2,A13-1)</f>
        <v>-458253.780587229</v>
      </c>
      <c r="U13" s="295">
        <f t="shared" si="0"/>
        <v>616880.76628437836</v>
      </c>
      <c r="V13" s="93">
        <f>(U13+W13*J13)/B13</f>
        <v>617955.59991512366</v>
      </c>
      <c r="W13" s="9">
        <f t="shared" si="1"/>
        <v>7</v>
      </c>
    </row>
    <row r="14" spans="1:23" x14ac:dyDescent="0.2">
      <c r="A14" s="99">
        <v>8</v>
      </c>
      <c r="B14" s="97">
        <f>C14*B4</f>
        <v>0.99923883293045879</v>
      </c>
      <c r="C14" s="97">
        <f>1/(1-D4*B4/(1-D4*B4/(1-D4*B4/(1-D4*B4/(1-D4*B4/(1-D4*B4/(1-D4*B4)))))))</f>
        <v>1.4368626361019659</v>
      </c>
      <c r="D14" s="93">
        <f>C14*D4*C13</f>
        <v>0.62818975627982776</v>
      </c>
      <c r="E14" s="1">
        <f>D14*D4*C12</f>
        <v>0.27402567705608921</v>
      </c>
      <c r="F14" s="1">
        <f>E14*D4*C11</f>
        <v>0.11891698212868362</v>
      </c>
      <c r="G14" s="1">
        <f>F14*D4*C10</f>
        <v>5.0986018336942898E-2</v>
      </c>
      <c r="H14" s="1">
        <f>G14*D4*C9</f>
        <v>2.1235166240388712E-2</v>
      </c>
      <c r="I14" s="1">
        <f>H14*D4*C8</f>
        <v>8.205567496808723E-3</v>
      </c>
      <c r="J14" s="1">
        <f>I14*D4</f>
        <v>2.4991614124477146E-3</v>
      </c>
      <c r="K14" s="1">
        <f>J14*D4</f>
        <v>7.6116706954110745E-4</v>
      </c>
      <c r="L14" s="1"/>
      <c r="M14" s="257"/>
      <c r="N14" s="97">
        <f>B14+K14</f>
        <v>0.99999999999999989</v>
      </c>
      <c r="R14" s="298">
        <f>B14-K14</f>
        <v>0.99847766586091768</v>
      </c>
      <c r="S14" s="299">
        <f>SUM(C14:J14)*B4*F4*POWER(O2,A14-1)</f>
        <v>6968926.4321161332</v>
      </c>
      <c r="T14" s="277">
        <f>SUM(C14:J14)*D4*H4*POWER(O2,A14-1)</f>
        <v>-3230756.0840800484</v>
      </c>
      <c r="U14" s="295">
        <f t="shared" si="0"/>
        <v>4355051.1143204635</v>
      </c>
      <c r="V14" s="93">
        <f>(U14+W14*K14)/B14</f>
        <v>4358368.5670399545</v>
      </c>
      <c r="W14" s="9">
        <f t="shared" si="1"/>
        <v>8</v>
      </c>
    </row>
    <row r="15" spans="1:23" x14ac:dyDescent="0.2">
      <c r="A15" s="99">
        <v>9</v>
      </c>
      <c r="B15" s="97">
        <f>C15*B4</f>
        <v>0.99966675252151571</v>
      </c>
      <c r="C15" s="97">
        <f>1/(1-D4*B4/(1-D4*B4/(1-D4*B4/(1-D4*B4/(1-D4*B4/(1-D4*B4/(1-D4*B4/(1-D4*B4))))))))</f>
        <v>1.4374779661425754</v>
      </c>
      <c r="D15" s="93">
        <f>C15*D4*C14</f>
        <v>0.62907457451855653</v>
      </c>
      <c r="E15" s="1">
        <f>D15*D4*C13</f>
        <v>0.27502851958118901</v>
      </c>
      <c r="F15" s="1">
        <f>E15*D4*C12</f>
        <v>0.11997151423525894</v>
      </c>
      <c r="G15" s="1">
        <f>F15*D4*C11</f>
        <v>5.2063188265912816E-2</v>
      </c>
      <c r="H15" s="1">
        <f>G15*D4*C10</f>
        <v>2.2322250565802559E-2</v>
      </c>
      <c r="I15" s="1">
        <f>H15*D4*C9</f>
        <v>9.2969939031495308E-3</v>
      </c>
      <c r="J15" s="1">
        <f>I15*D4*C8</f>
        <v>3.5924894642273453E-3</v>
      </c>
      <c r="K15" s="1">
        <f>J15*D4</f>
        <v>1.094160891018655E-3</v>
      </c>
      <c r="L15" s="1">
        <f>K15*D4</f>
        <v>3.3324747848417758E-4</v>
      </c>
      <c r="M15" s="257"/>
      <c r="N15" s="97">
        <f>B15+L15</f>
        <v>0.99999999999999989</v>
      </c>
      <c r="R15" s="298">
        <f>B15-L15</f>
        <v>0.99933350504303153</v>
      </c>
      <c r="S15" s="299">
        <f>SUM(C15:K15)*B4*F4*POWER(O2,A15-1)</f>
        <v>48955286.994587719</v>
      </c>
      <c r="T15" s="277">
        <f>SUM(C15:K15)*D4*H4*POWER(O2,A15-1)</f>
        <v>-22695402.634293944</v>
      </c>
      <c r="U15" s="295">
        <f t="shared" si="0"/>
        <v>30614935.47461424</v>
      </c>
      <c r="V15" s="93">
        <f>(U15+W15*L15)/B15</f>
        <v>30625141.228706159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0.99985407317791108</v>
      </c>
      <c r="C16" s="145">
        <f>1/(1-D4*B4/(1-D4*B4/(1-D4*B4/(1-D4*B4/(1-D4*B4/(1-D4*B4/(1-D4*B4/(1-D4*B4/(1-D4*B4)))))))))</f>
        <v>1.437747325221981</v>
      </c>
      <c r="D16" s="94">
        <f>C16*D4*C15</f>
        <v>0.62946190133586766</v>
      </c>
      <c r="E16" s="111">
        <f>D16*D4*C14</f>
        <v>0.27546751121417029</v>
      </c>
      <c r="F16" s="111">
        <f>E16*D4*C13</f>
        <v>0.120433132844273</v>
      </c>
      <c r="G16" s="111">
        <f>F16*D4*C12</f>
        <v>5.2534716521128955E-2</v>
      </c>
      <c r="H16" s="111">
        <f>G16*D4*C11</f>
        <v>2.2798118821543225E-2</v>
      </c>
      <c r="I16" s="111">
        <f>H16*D4*C10</f>
        <v>9.7747628932018642E-3</v>
      </c>
      <c r="J16" s="111">
        <f>I16*D4*C9</f>
        <v>4.0710908944840392E-3</v>
      </c>
      <c r="K16" s="111">
        <f>J16*D4*C8</f>
        <v>1.5731268944245706E-3</v>
      </c>
      <c r="L16" s="111">
        <f>K16*D4</f>
        <v>4.7912567082759595E-4</v>
      </c>
      <c r="M16" s="259">
        <f>L16*D4</f>
        <v>1.4592682208892273E-4</v>
      </c>
      <c r="N16" s="145">
        <f>B16+M16</f>
        <v>1</v>
      </c>
      <c r="R16" s="300">
        <f>B16-M16</f>
        <v>0.99970814635582217</v>
      </c>
      <c r="S16" s="301">
        <f>SUM(C16:L16)*B4*F4*POWER(O2,A16-1)</f>
        <v>343280904.43217307</v>
      </c>
      <c r="T16" s="278">
        <f>SUM(C16:L16)*D4*H4*POWER(O2,A16-1)</f>
        <v>-159143145.12371412</v>
      </c>
      <c r="U16" s="295">
        <f t="shared" si="0"/>
        <v>214752694.78307319</v>
      </c>
      <c r="V16" s="94">
        <f>(U16+W16*M16)/B16</f>
        <v>214784037.5365656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6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7</v>
      </c>
      <c r="D21" s="57">
        <f>SUM($C$21:C21)</f>
        <v>7</v>
      </c>
      <c r="E21" s="57">
        <f t="shared" ref="E21:E30" si="3">D21/R7</f>
        <v>17.909133338241897</v>
      </c>
      <c r="F21" s="8">
        <f t="shared" ref="F21:F30" si="4">U7/E21</f>
        <v>9.9748662630908688E-2</v>
      </c>
      <c r="G21" s="281">
        <f>E21*U7</f>
        <v>31.99309248463463</v>
      </c>
      <c r="O21" s="101">
        <v>1</v>
      </c>
      <c r="P21" s="109">
        <v>1</v>
      </c>
      <c r="Q21" s="110">
        <f>P21*7+21</f>
        <v>28</v>
      </c>
      <c r="R21" s="57">
        <f>SUM($Q$21)</f>
        <v>28</v>
      </c>
      <c r="S21" s="276">
        <f>R21/R7</f>
        <v>71.636533352967589</v>
      </c>
      <c r="T21" s="8">
        <f>U7/S21</f>
        <v>2.4937165657727172E-2</v>
      </c>
      <c r="U21" s="281">
        <f>S21*U7</f>
        <v>127.97236993853852</v>
      </c>
    </row>
    <row r="22" spans="1:21" x14ac:dyDescent="0.2">
      <c r="A22" s="97">
        <v>2</v>
      </c>
      <c r="B22" s="93">
        <f>C21</f>
        <v>7</v>
      </c>
      <c r="C22" s="1">
        <f t="shared" si="2"/>
        <v>49</v>
      </c>
      <c r="D22" s="9">
        <f>SUM($C$21:C22)</f>
        <v>56</v>
      </c>
      <c r="E22" s="9">
        <f t="shared" si="3"/>
        <v>73.238946698657955</v>
      </c>
      <c r="F22" s="9">
        <f t="shared" si="4"/>
        <v>0.30699140825739879</v>
      </c>
      <c r="G22" s="282">
        <f t="shared" ref="G22:G30" si="5">E22*U8</f>
        <v>1646.684511633083</v>
      </c>
      <c r="O22" s="99">
        <v>2</v>
      </c>
      <c r="P22" s="93">
        <f>Q21</f>
        <v>28</v>
      </c>
      <c r="Q22" s="1">
        <f t="shared" ref="Q22:Q30" si="6">P22*7+21</f>
        <v>217</v>
      </c>
      <c r="R22" s="9">
        <f>SUM($Q$21:Q22)</f>
        <v>245</v>
      </c>
      <c r="S22" s="277">
        <f t="shared" ref="S22:S30" si="7">R22/R8</f>
        <v>320.42039180662857</v>
      </c>
      <c r="T22" s="9">
        <f>U8/S22</f>
        <v>7.0169464744548299E-2</v>
      </c>
      <c r="U22" s="282">
        <f t="shared" ref="U22:U30" si="8">S22*U8</f>
        <v>7204.2447383947392</v>
      </c>
    </row>
    <row r="23" spans="1:21" x14ac:dyDescent="0.2">
      <c r="A23" s="97">
        <v>3</v>
      </c>
      <c r="B23" s="93">
        <f t="shared" ref="B23:B30" si="9">C22</f>
        <v>49</v>
      </c>
      <c r="C23" s="1">
        <f t="shared" si="2"/>
        <v>343</v>
      </c>
      <c r="D23" s="9">
        <f>SUM($C$21:C23)</f>
        <v>399</v>
      </c>
      <c r="E23" s="9">
        <f t="shared" si="3"/>
        <v>442.36661763385865</v>
      </c>
      <c r="F23" s="9">
        <f t="shared" si="4"/>
        <v>0.45782382951491951</v>
      </c>
      <c r="G23" s="282">
        <f t="shared" si="5"/>
        <v>89590.73228432727</v>
      </c>
      <c r="O23" s="99">
        <v>3</v>
      </c>
      <c r="P23" s="93">
        <f t="shared" ref="P23:P30" si="10">Q22</f>
        <v>217</v>
      </c>
      <c r="Q23" s="1">
        <f t="shared" si="6"/>
        <v>1540</v>
      </c>
      <c r="R23" s="9">
        <f>SUM($Q$21:Q23)</f>
        <v>1785</v>
      </c>
      <c r="S23" s="277">
        <f t="shared" si="7"/>
        <v>1979.0085525725256</v>
      </c>
      <c r="T23" s="9">
        <f t="shared" ref="T23:T30" si="11">U9/S23</f>
        <v>0.10233709130333496</v>
      </c>
      <c r="U23" s="282">
        <f t="shared" si="8"/>
        <v>400800.64442988514</v>
      </c>
    </row>
    <row r="24" spans="1:21" x14ac:dyDescent="0.2">
      <c r="A24" s="97">
        <v>4</v>
      </c>
      <c r="B24" s="93">
        <f t="shared" si="9"/>
        <v>343</v>
      </c>
      <c r="C24" s="1">
        <f t="shared" si="2"/>
        <v>2401</v>
      </c>
      <c r="D24" s="9">
        <f>SUM($C$21:C24)</f>
        <v>2800</v>
      </c>
      <c r="E24" s="9">
        <f t="shared" si="3"/>
        <v>2922.8534815563962</v>
      </c>
      <c r="F24" s="9">
        <f t="shared" si="4"/>
        <v>0.54927744670751766</v>
      </c>
      <c r="G24" s="282">
        <f t="shared" si="5"/>
        <v>4692517.0359110199</v>
      </c>
      <c r="O24" s="99">
        <v>4</v>
      </c>
      <c r="P24" s="93">
        <f t="shared" si="10"/>
        <v>1540</v>
      </c>
      <c r="Q24" s="1">
        <f t="shared" si="6"/>
        <v>10801</v>
      </c>
      <c r="R24" s="9">
        <f>SUM($Q$21:Q24)</f>
        <v>12586</v>
      </c>
      <c r="S24" s="277">
        <f t="shared" si="7"/>
        <v>13138.226399596</v>
      </c>
      <c r="T24" s="9">
        <f t="shared" si="11"/>
        <v>0.12219742974583263</v>
      </c>
      <c r="U24" s="282">
        <f t="shared" si="8"/>
        <v>21092864.076420031</v>
      </c>
    </row>
    <row r="25" spans="1:21" x14ac:dyDescent="0.2">
      <c r="A25" s="97">
        <v>5</v>
      </c>
      <c r="B25" s="93">
        <f t="shared" si="9"/>
        <v>2401</v>
      </c>
      <c r="C25" s="1">
        <f t="shared" si="2"/>
        <v>16807</v>
      </c>
      <c r="D25" s="9">
        <f>SUM($C$21:C25)</f>
        <v>19607</v>
      </c>
      <c r="E25" s="9">
        <f t="shared" si="3"/>
        <v>19971.28308901074</v>
      </c>
      <c r="F25" s="9">
        <f t="shared" si="4"/>
        <v>0.59979119734509734</v>
      </c>
      <c r="G25" s="282">
        <f t="shared" si="5"/>
        <v>239228007.54538158</v>
      </c>
      <c r="O25" s="99">
        <v>5</v>
      </c>
      <c r="P25" s="93">
        <f t="shared" si="10"/>
        <v>10801</v>
      </c>
      <c r="Q25" s="1">
        <f t="shared" si="6"/>
        <v>75628</v>
      </c>
      <c r="R25" s="9">
        <f>SUM($Q$21:Q25)</f>
        <v>88214</v>
      </c>
      <c r="S25" s="277">
        <f t="shared" si="7"/>
        <v>89852.948763910506</v>
      </c>
      <c r="T25" s="9">
        <f t="shared" si="11"/>
        <v>0.13331337436626073</v>
      </c>
      <c r="U25" s="282">
        <f t="shared" si="8"/>
        <v>1076312513.7761149</v>
      </c>
    </row>
    <row r="26" spans="1:21" x14ac:dyDescent="0.2">
      <c r="A26" s="97">
        <v>6</v>
      </c>
      <c r="B26" s="93">
        <f t="shared" si="9"/>
        <v>16807</v>
      </c>
      <c r="C26" s="1">
        <f t="shared" si="2"/>
        <v>117649</v>
      </c>
      <c r="D26" s="9">
        <f>SUM($C$21:C26)</f>
        <v>137256</v>
      </c>
      <c r="E26" s="9">
        <f t="shared" si="3"/>
        <v>138356.86525716577</v>
      </c>
      <c r="F26" s="9">
        <f t="shared" si="4"/>
        <v>0.6263138597301684</v>
      </c>
      <c r="G26" s="282">
        <f t="shared" si="5"/>
        <v>11989289572.759285</v>
      </c>
      <c r="O26" s="99">
        <v>6</v>
      </c>
      <c r="P26" s="93">
        <f t="shared" si="10"/>
        <v>75628</v>
      </c>
      <c r="Q26" s="1">
        <f t="shared" si="6"/>
        <v>529417</v>
      </c>
      <c r="R26" s="9">
        <f>SUM($Q$21:Q26)</f>
        <v>617631</v>
      </c>
      <c r="S26" s="277">
        <f t="shared" si="7"/>
        <v>622584.72522620903</v>
      </c>
      <c r="T26" s="9">
        <f t="shared" si="11"/>
        <v>0.13918558999001668</v>
      </c>
      <c r="U26" s="282">
        <f t="shared" si="8"/>
        <v>53949968730.786919</v>
      </c>
    </row>
    <row r="27" spans="1:21" x14ac:dyDescent="0.2">
      <c r="A27" s="97">
        <v>7</v>
      </c>
      <c r="B27" s="93">
        <f t="shared" si="9"/>
        <v>117649</v>
      </c>
      <c r="C27" s="1">
        <f t="shared" si="2"/>
        <v>823543</v>
      </c>
      <c r="D27" s="9">
        <f>SUM($C$21:C27)</f>
        <v>960799</v>
      </c>
      <c r="E27" s="9">
        <f t="shared" si="3"/>
        <v>964152.93760938547</v>
      </c>
      <c r="F27" s="9">
        <f t="shared" si="4"/>
        <v>0.63981630115024335</v>
      </c>
      <c r="G27" s="282">
        <f t="shared" si="5"/>
        <v>594767402967.81213</v>
      </c>
      <c r="O27" s="99">
        <v>7</v>
      </c>
      <c r="P27" s="93">
        <f t="shared" si="10"/>
        <v>529417</v>
      </c>
      <c r="Q27" s="1">
        <f t="shared" si="6"/>
        <v>3705940</v>
      </c>
      <c r="R27" s="9">
        <f>SUM($Q$21:Q27)</f>
        <v>4323571</v>
      </c>
      <c r="S27" s="277">
        <f t="shared" si="7"/>
        <v>4338663.633718133</v>
      </c>
      <c r="T27" s="9">
        <f t="shared" si="11"/>
        <v>0.14218220594246114</v>
      </c>
      <c r="U27" s="282">
        <f t="shared" si="8"/>
        <v>2676438147018.2075</v>
      </c>
    </row>
    <row r="28" spans="1:21" x14ac:dyDescent="0.2">
      <c r="A28" s="97">
        <v>8</v>
      </c>
      <c r="B28" s="93">
        <f t="shared" si="9"/>
        <v>823543</v>
      </c>
      <c r="C28" s="1">
        <f t="shared" si="2"/>
        <v>5764801</v>
      </c>
      <c r="D28" s="9">
        <f>SUM($C$21:C28)</f>
        <v>6725600</v>
      </c>
      <c r="E28" s="9">
        <f t="shared" si="3"/>
        <v>6735854.2208362604</v>
      </c>
      <c r="F28" s="9">
        <f t="shared" si="4"/>
        <v>0.64654770895261171</v>
      </c>
      <c r="G28" s="282">
        <f t="shared" si="5"/>
        <v>29334989430353.152</v>
      </c>
      <c r="O28" s="99">
        <v>8</v>
      </c>
      <c r="P28" s="93">
        <f t="shared" si="10"/>
        <v>3705940</v>
      </c>
      <c r="Q28" s="1">
        <f t="shared" si="6"/>
        <v>25941601</v>
      </c>
      <c r="R28" s="9">
        <f>SUM($Q$21:Q28)</f>
        <v>30265172</v>
      </c>
      <c r="S28" s="277">
        <f t="shared" si="7"/>
        <v>30311315.951072827</v>
      </c>
      <c r="T28" s="9">
        <f t="shared" si="11"/>
        <v>0.14367740157999714</v>
      </c>
      <c r="U28" s="282">
        <f t="shared" si="8"/>
        <v>132007330309239.36</v>
      </c>
    </row>
    <row r="29" spans="1:21" x14ac:dyDescent="0.2">
      <c r="A29" s="97">
        <v>9</v>
      </c>
      <c r="B29" s="93">
        <f t="shared" si="9"/>
        <v>5764801</v>
      </c>
      <c r="C29" s="1">
        <f t="shared" si="2"/>
        <v>40353607</v>
      </c>
      <c r="D29" s="9">
        <f>SUM($C$21:C29)</f>
        <v>47079207</v>
      </c>
      <c r="E29" s="9">
        <f t="shared" si="3"/>
        <v>47110605.98130627</v>
      </c>
      <c r="F29" s="9">
        <f t="shared" si="4"/>
        <v>0.64985229624858576</v>
      </c>
      <c r="G29" s="282">
        <f t="shared" si="5"/>
        <v>1442288162287667.2</v>
      </c>
      <c r="O29" s="99">
        <v>9</v>
      </c>
      <c r="P29" s="93">
        <f t="shared" si="10"/>
        <v>25941601</v>
      </c>
      <c r="Q29" s="1">
        <f t="shared" si="6"/>
        <v>181591228</v>
      </c>
      <c r="R29" s="9">
        <f>SUM($Q$21:Q29)</f>
        <v>211856400</v>
      </c>
      <c r="S29" s="277">
        <f t="shared" si="7"/>
        <v>211997695.39486963</v>
      </c>
      <c r="T29" s="9">
        <f t="shared" si="11"/>
        <v>0.14441164286050595</v>
      </c>
      <c r="U29" s="282">
        <f t="shared" si="8"/>
        <v>6490295765280858</v>
      </c>
    </row>
    <row r="30" spans="1:21" ht="17" thickBot="1" x14ac:dyDescent="0.25">
      <c r="A30" s="145">
        <v>10</v>
      </c>
      <c r="B30" s="94">
        <f t="shared" si="9"/>
        <v>40353607</v>
      </c>
      <c r="C30" s="111">
        <f t="shared" si="2"/>
        <v>282475249</v>
      </c>
      <c r="D30" s="10">
        <f>SUM($C$21:C30)</f>
        <v>329554456</v>
      </c>
      <c r="E30" s="10">
        <f t="shared" si="3"/>
        <v>329650665.74810421</v>
      </c>
      <c r="F30" s="10">
        <f t="shared" si="4"/>
        <v>0.65145536501713619</v>
      </c>
      <c r="G30" s="283">
        <f t="shared" si="5"/>
        <v>7.0793368806439504E+16</v>
      </c>
      <c r="O30" s="100">
        <v>10</v>
      </c>
      <c r="P30" s="94">
        <f t="shared" si="10"/>
        <v>181591228</v>
      </c>
      <c r="Q30" s="111">
        <f t="shared" si="6"/>
        <v>1271138617</v>
      </c>
      <c r="R30" s="10">
        <f>SUM($Q$21:Q30)</f>
        <v>1482995017</v>
      </c>
      <c r="S30" s="278">
        <f t="shared" si="7"/>
        <v>1483427960.8562512</v>
      </c>
      <c r="T30" s="10">
        <f t="shared" si="11"/>
        <v>0.14476786230934702</v>
      </c>
      <c r="U30" s="283">
        <f t="shared" si="8"/>
        <v>3.1857015211043917E+17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6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7</v>
      </c>
      <c r="D33" s="57">
        <f>SUM($C$33:C33)</f>
        <v>7</v>
      </c>
      <c r="E33" s="9">
        <f t="shared" ref="E33:E42" si="13">D33/R7</f>
        <v>17.909133338241897</v>
      </c>
      <c r="F33" s="8">
        <f t="shared" ref="F33:F42" si="14">U7/E33</f>
        <v>9.9748662630908688E-2</v>
      </c>
      <c r="G33" s="284">
        <f>E33*U7</f>
        <v>31.99309248463463</v>
      </c>
      <c r="O33" s="101">
        <v>1</v>
      </c>
      <c r="P33" s="109">
        <v>1</v>
      </c>
      <c r="Q33" s="110">
        <f>P33*7+21</f>
        <v>28</v>
      </c>
      <c r="R33" s="57">
        <f>SUM($Q$21)</f>
        <v>28</v>
      </c>
      <c r="S33" s="276">
        <f>R33/R7</f>
        <v>71.636533352967589</v>
      </c>
      <c r="T33" s="8">
        <f>U7/S33</f>
        <v>2.4937165657727172E-2</v>
      </c>
      <c r="U33" s="284">
        <f>S33*U7</f>
        <v>127.97236993853852</v>
      </c>
    </row>
    <row r="34" spans="1:21" x14ac:dyDescent="0.2">
      <c r="A34" s="97">
        <v>2</v>
      </c>
      <c r="B34" s="93">
        <f t="shared" ref="B34:B42" si="15">B33*($O$2+1)</f>
        <v>8</v>
      </c>
      <c r="C34" s="1">
        <f t="shared" si="12"/>
        <v>56</v>
      </c>
      <c r="D34" s="9">
        <f>SUM($C$33:C34)</f>
        <v>63</v>
      </c>
      <c r="E34" s="9">
        <f t="shared" si="13"/>
        <v>82.393815035990201</v>
      </c>
      <c r="F34" s="9">
        <f t="shared" si="14"/>
        <v>0.27288125178435446</v>
      </c>
      <c r="G34" s="282">
        <f t="shared" ref="G34:G42" si="16">E34*U8</f>
        <v>1852.5200755872186</v>
      </c>
      <c r="O34" s="99">
        <v>2</v>
      </c>
      <c r="P34" s="93">
        <f>Q33+1</f>
        <v>29</v>
      </c>
      <c r="Q34" s="1">
        <f t="shared" ref="Q34:Q42" si="17">P34*7+21</f>
        <v>224</v>
      </c>
      <c r="R34" s="9">
        <f>SUM($Q$33:Q34)</f>
        <v>252</v>
      </c>
      <c r="S34" s="277">
        <f>R34/R8</f>
        <v>329.5752601439608</v>
      </c>
      <c r="T34" s="9">
        <f t="shared" ref="T34:T42" si="18">U8/S34</f>
        <v>6.8220312946088615E-2</v>
      </c>
      <c r="U34" s="282">
        <f t="shared" ref="U34:U42" si="19">S34*U8</f>
        <v>7410.0803023488743</v>
      </c>
    </row>
    <row r="35" spans="1:21" x14ac:dyDescent="0.2">
      <c r="A35" s="97">
        <v>3</v>
      </c>
      <c r="B35" s="93">
        <f t="shared" si="15"/>
        <v>64</v>
      </c>
      <c r="C35" s="1">
        <f t="shared" si="12"/>
        <v>448</v>
      </c>
      <c r="D35" s="9">
        <f>SUM($C$33:C35)</f>
        <v>511</v>
      </c>
      <c r="E35" s="9">
        <f t="shared" si="13"/>
        <v>566.53970328546814</v>
      </c>
      <c r="F35" s="9">
        <f t="shared" si="14"/>
        <v>0.35747888058014265</v>
      </c>
      <c r="G35" s="282">
        <f t="shared" si="16"/>
        <v>114739.00801326125</v>
      </c>
      <c r="O35" s="99">
        <v>3</v>
      </c>
      <c r="P35" s="93">
        <f t="shared" ref="P35:P42" si="20">Q34+1</f>
        <v>225</v>
      </c>
      <c r="Q35" s="1">
        <f t="shared" si="17"/>
        <v>1596</v>
      </c>
      <c r="R35" s="9">
        <f>SUM($Q$33:Q35)</f>
        <v>1848</v>
      </c>
      <c r="S35" s="277">
        <f t="shared" ref="S35:S42" si="21">R35/R9</f>
        <v>2048.8559132515561</v>
      </c>
      <c r="T35" s="9">
        <f t="shared" si="18"/>
        <v>9.8848326827084887E-2</v>
      </c>
      <c r="U35" s="282">
        <f t="shared" si="19"/>
        <v>414946.54952741053</v>
      </c>
    </row>
    <row r="36" spans="1:21" x14ac:dyDescent="0.2">
      <c r="A36" s="97">
        <v>4</v>
      </c>
      <c r="B36" s="93">
        <f t="shared" si="15"/>
        <v>512</v>
      </c>
      <c r="C36" s="1">
        <f t="shared" si="12"/>
        <v>3584</v>
      </c>
      <c r="D36" s="9">
        <f>SUM($C$33:C36)</f>
        <v>4095</v>
      </c>
      <c r="E36" s="9">
        <f t="shared" si="13"/>
        <v>4274.6732167762293</v>
      </c>
      <c r="F36" s="9">
        <f t="shared" si="14"/>
        <v>0.37557432253505479</v>
      </c>
      <c r="G36" s="282">
        <f t="shared" si="16"/>
        <v>6862806.1650198661</v>
      </c>
      <c r="O36" s="99">
        <v>4</v>
      </c>
      <c r="P36" s="93">
        <f t="shared" si="20"/>
        <v>1597</v>
      </c>
      <c r="Q36" s="1">
        <f t="shared" si="17"/>
        <v>11200</v>
      </c>
      <c r="R36" s="9">
        <f>SUM($Q$33:Q36)</f>
        <v>13048</v>
      </c>
      <c r="S36" s="277">
        <f t="shared" si="21"/>
        <v>13620.497224052806</v>
      </c>
      <c r="T36" s="9">
        <f t="shared" si="18"/>
        <v>0.11787069671835143</v>
      </c>
      <c r="U36" s="282">
        <f t="shared" si="19"/>
        <v>21867129.387345351</v>
      </c>
    </row>
    <row r="37" spans="1:21" x14ac:dyDescent="0.2">
      <c r="A37" s="97">
        <v>5</v>
      </c>
      <c r="B37" s="93">
        <f t="shared" si="15"/>
        <v>4096</v>
      </c>
      <c r="C37" s="1">
        <f t="shared" si="12"/>
        <v>28672</v>
      </c>
      <c r="D37" s="9">
        <f>SUM($C$33:C37)</f>
        <v>32767</v>
      </c>
      <c r="E37" s="9">
        <f t="shared" si="13"/>
        <v>33375.785840649507</v>
      </c>
      <c r="F37" s="9">
        <f t="shared" si="14"/>
        <v>0.35890090659338125</v>
      </c>
      <c r="G37" s="282">
        <f t="shared" si="16"/>
        <v>399795181.47801894</v>
      </c>
      <c r="O37" s="99">
        <v>5</v>
      </c>
      <c r="P37" s="93">
        <f t="shared" si="20"/>
        <v>11201</v>
      </c>
      <c r="Q37" s="1">
        <f t="shared" si="17"/>
        <v>78428</v>
      </c>
      <c r="R37" s="9">
        <f>SUM($Q$33:Q37)</f>
        <v>91476</v>
      </c>
      <c r="S37" s="277">
        <f t="shared" si="21"/>
        <v>93175.554233199699</v>
      </c>
      <c r="T37" s="9">
        <f t="shared" si="18"/>
        <v>0.12855946921974423</v>
      </c>
      <c r="U37" s="282">
        <f t="shared" si="19"/>
        <v>1116112674.9743114</v>
      </c>
    </row>
    <row r="38" spans="1:21" x14ac:dyDescent="0.2">
      <c r="A38" s="97">
        <v>6</v>
      </c>
      <c r="B38" s="93">
        <f t="shared" si="15"/>
        <v>32768</v>
      </c>
      <c r="C38" s="1">
        <f t="shared" si="12"/>
        <v>229376</v>
      </c>
      <c r="D38" s="9">
        <f>SUM($C$33:C38)</f>
        <v>262143</v>
      </c>
      <c r="E38" s="9">
        <f t="shared" si="13"/>
        <v>264245.52463359857</v>
      </c>
      <c r="F38" s="9">
        <f t="shared" si="14"/>
        <v>0.3279329798282769</v>
      </c>
      <c r="G38" s="282">
        <f t="shared" si="16"/>
        <v>22898148980.53154</v>
      </c>
      <c r="O38" s="99">
        <v>6</v>
      </c>
      <c r="P38" s="93">
        <f t="shared" si="20"/>
        <v>78429</v>
      </c>
      <c r="Q38" s="1">
        <f t="shared" si="17"/>
        <v>549024</v>
      </c>
      <c r="R38" s="9">
        <f>SUM($Q$33:Q38)</f>
        <v>640500</v>
      </c>
      <c r="S38" s="277">
        <f t="shared" si="21"/>
        <v>645637.14662539109</v>
      </c>
      <c r="T38" s="9">
        <f t="shared" si="18"/>
        <v>0.13421597990807804</v>
      </c>
      <c r="U38" s="282">
        <f t="shared" si="19"/>
        <v>55947572210.703522</v>
      </c>
    </row>
    <row r="39" spans="1:21" x14ac:dyDescent="0.2">
      <c r="A39" s="97">
        <v>7</v>
      </c>
      <c r="B39" s="93">
        <f t="shared" si="15"/>
        <v>262144</v>
      </c>
      <c r="C39" s="1">
        <f t="shared" si="12"/>
        <v>1835008</v>
      </c>
      <c r="D39" s="9">
        <f>SUM($C$33:C39)</f>
        <v>2097151</v>
      </c>
      <c r="E39" s="9">
        <f t="shared" si="13"/>
        <v>2104471.6920609414</v>
      </c>
      <c r="F39" s="9">
        <f t="shared" si="14"/>
        <v>0.29312856457587111</v>
      </c>
      <c r="G39" s="282">
        <f t="shared" si="16"/>
        <v>1298208110022.3359</v>
      </c>
      <c r="O39" s="99">
        <v>7</v>
      </c>
      <c r="P39" s="93">
        <f t="shared" si="20"/>
        <v>549025</v>
      </c>
      <c r="Q39" s="1">
        <f t="shared" si="17"/>
        <v>3843196</v>
      </c>
      <c r="R39" s="9">
        <f>SUM($Q$33:Q39)</f>
        <v>4483696</v>
      </c>
      <c r="S39" s="277">
        <f t="shared" si="21"/>
        <v>4499347.594811663</v>
      </c>
      <c r="T39" s="9">
        <f t="shared" si="18"/>
        <v>0.13710449199251079</v>
      </c>
      <c r="U39" s="282">
        <f t="shared" si="19"/>
        <v>2775560992067.1934</v>
      </c>
    </row>
    <row r="40" spans="1:21" x14ac:dyDescent="0.2">
      <c r="A40" s="97">
        <v>8</v>
      </c>
      <c r="B40" s="93">
        <f t="shared" si="15"/>
        <v>2097152</v>
      </c>
      <c r="C40" s="1">
        <f t="shared" si="12"/>
        <v>14680064</v>
      </c>
      <c r="D40" s="9">
        <f>SUM($C$33:C40)</f>
        <v>16777215</v>
      </c>
      <c r="E40" s="9">
        <f t="shared" si="13"/>
        <v>16802794.467650086</v>
      </c>
      <c r="F40" s="9">
        <f t="shared" si="14"/>
        <v>0.25918612066017427</v>
      </c>
      <c r="G40" s="282">
        <f t="shared" si="16"/>
        <v>73177028770037.219</v>
      </c>
      <c r="O40" s="99">
        <v>8</v>
      </c>
      <c r="P40" s="93">
        <f t="shared" si="20"/>
        <v>3843197</v>
      </c>
      <c r="Q40" s="1">
        <f t="shared" si="17"/>
        <v>26902400</v>
      </c>
      <c r="R40" s="9">
        <f>SUM($Q$33:Q40)</f>
        <v>31386096</v>
      </c>
      <c r="S40" s="277">
        <f t="shared" si="21"/>
        <v>31433948.973648757</v>
      </c>
      <c r="T40" s="9">
        <f t="shared" si="18"/>
        <v>0.13854610243120663</v>
      </c>
      <c r="U40" s="282">
        <f t="shared" si="19"/>
        <v>136896454505181.61</v>
      </c>
    </row>
    <row r="41" spans="1:21" x14ac:dyDescent="0.2">
      <c r="A41" s="97">
        <v>9</v>
      </c>
      <c r="B41" s="93">
        <f t="shared" si="15"/>
        <v>16777216</v>
      </c>
      <c r="C41" s="1">
        <f t="shared" si="12"/>
        <v>117440512</v>
      </c>
      <c r="D41" s="9">
        <f>SUM($C$33:C41)</f>
        <v>134217727</v>
      </c>
      <c r="E41" s="9">
        <f t="shared" si="13"/>
        <v>134307242.09954369</v>
      </c>
      <c r="F41" s="9">
        <f t="shared" si="14"/>
        <v>0.22794701905890938</v>
      </c>
      <c r="G41" s="282">
        <f t="shared" si="16"/>
        <v>4111807550650923.5</v>
      </c>
      <c r="O41" s="99">
        <v>9</v>
      </c>
      <c r="P41" s="93">
        <f t="shared" si="20"/>
        <v>26902401</v>
      </c>
      <c r="Q41" s="1">
        <f t="shared" si="17"/>
        <v>188316828</v>
      </c>
      <c r="R41" s="9">
        <f>SUM($Q$33:Q41)</f>
        <v>219702924</v>
      </c>
      <c r="S41" s="277">
        <f t="shared" si="21"/>
        <v>219849452.5514178</v>
      </c>
      <c r="T41" s="9">
        <f t="shared" si="18"/>
        <v>0.13925409010265377</v>
      </c>
      <c r="U41" s="282">
        <f t="shared" si="19"/>
        <v>6730676803990921</v>
      </c>
    </row>
    <row r="42" spans="1:21" ht="17" thickBot="1" x14ac:dyDescent="0.25">
      <c r="A42" s="145">
        <v>10</v>
      </c>
      <c r="B42" s="94">
        <f t="shared" si="15"/>
        <v>134217728</v>
      </c>
      <c r="C42" s="111">
        <f t="shared" si="12"/>
        <v>939524096</v>
      </c>
      <c r="D42" s="10">
        <f>SUM($C$33:C42)</f>
        <v>1073741823</v>
      </c>
      <c r="E42" s="9">
        <f t="shared" si="13"/>
        <v>1074055289.9504206</v>
      </c>
      <c r="F42" s="10">
        <f t="shared" si="14"/>
        <v>0.19994566089142987</v>
      </c>
      <c r="G42" s="283">
        <f t="shared" si="16"/>
        <v>2.3065626786286784E+17</v>
      </c>
      <c r="O42" s="100">
        <v>10</v>
      </c>
      <c r="P42" s="94">
        <f t="shared" si="20"/>
        <v>188316829</v>
      </c>
      <c r="Q42" s="111">
        <f t="shared" si="17"/>
        <v>1318217824</v>
      </c>
      <c r="R42" s="10">
        <f>SUM($Q$33:Q42)</f>
        <v>1537920748</v>
      </c>
      <c r="S42" s="278">
        <f t="shared" si="21"/>
        <v>1538369726.8108625</v>
      </c>
      <c r="T42" s="10">
        <f t="shared" si="18"/>
        <v>0.13959758245390663</v>
      </c>
      <c r="U42" s="283">
        <f t="shared" si="19"/>
        <v>3.3036904440533286E+17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6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7</v>
      </c>
      <c r="D45" s="57">
        <f>SUM(C45:C45)</f>
        <v>7</v>
      </c>
      <c r="E45" s="57">
        <f t="shared" ref="E45:E54" si="23">D45/R7</f>
        <v>17.909133338241897</v>
      </c>
      <c r="F45" s="8">
        <f t="shared" ref="F45:F54" si="24">U7/E45</f>
        <v>9.9748662630908688E-2</v>
      </c>
      <c r="G45" s="281">
        <f>E45*U7</f>
        <v>31.99309248463463</v>
      </c>
      <c r="O45" s="101">
        <v>1</v>
      </c>
      <c r="P45" s="109">
        <v>1</v>
      </c>
      <c r="Q45" s="110">
        <f>P45*7+21</f>
        <v>28</v>
      </c>
      <c r="R45" s="57">
        <f>SUM($Q$21)</f>
        <v>28</v>
      </c>
      <c r="S45" s="276">
        <f>R45/R7</f>
        <v>71.636533352967589</v>
      </c>
      <c r="T45" s="8">
        <f>U7/S45</f>
        <v>2.4937165657727172E-2</v>
      </c>
      <c r="U45" s="284">
        <f>S45*U7</f>
        <v>127.97236993853852</v>
      </c>
    </row>
    <row r="46" spans="1:21" x14ac:dyDescent="0.2">
      <c r="A46" s="97">
        <v>2</v>
      </c>
      <c r="B46" s="93">
        <f t="shared" ref="B46:B54" si="25">B45*$O$2*2</f>
        <v>14</v>
      </c>
      <c r="C46" s="1">
        <f t="shared" si="22"/>
        <v>98</v>
      </c>
      <c r="D46" s="9">
        <f>SUM($C$45:C46)</f>
        <v>105</v>
      </c>
      <c r="E46" s="9">
        <f t="shared" si="23"/>
        <v>137.32302505998368</v>
      </c>
      <c r="F46" s="9">
        <f t="shared" si="24"/>
        <v>0.16372875107061269</v>
      </c>
      <c r="G46" s="282">
        <f t="shared" ref="G46:G54" si="26">E46*U8</f>
        <v>3087.533459312031</v>
      </c>
      <c r="O46" s="99">
        <v>2</v>
      </c>
      <c r="P46" s="93">
        <f>Q45*2</f>
        <v>56</v>
      </c>
      <c r="Q46" s="1">
        <f t="shared" ref="Q46:Q54" si="27">P46*7+21</f>
        <v>413</v>
      </c>
      <c r="R46" s="9">
        <f>SUM($Q$45:Q46)</f>
        <v>441</v>
      </c>
      <c r="S46" s="277">
        <f t="shared" ref="S46:S54" si="28">R46/R8</f>
        <v>576.75670525193141</v>
      </c>
      <c r="T46" s="9">
        <f t="shared" ref="T46:T54" si="29">U8/S46</f>
        <v>3.8983035969193496E-2</v>
      </c>
      <c r="U46" s="282">
        <f t="shared" ref="U46:U54" si="30">S46*U8</f>
        <v>12967.640529110529</v>
      </c>
    </row>
    <row r="47" spans="1:21" x14ac:dyDescent="0.2">
      <c r="A47" s="97">
        <v>3</v>
      </c>
      <c r="B47" s="93">
        <f t="shared" si="25"/>
        <v>196</v>
      </c>
      <c r="C47" s="1">
        <f t="shared" si="22"/>
        <v>1372</v>
      </c>
      <c r="D47" s="9">
        <f>SUM($C$45:C47)</f>
        <v>1477</v>
      </c>
      <c r="E47" s="9">
        <f t="shared" si="23"/>
        <v>1637.5325670305997</v>
      </c>
      <c r="F47" s="9">
        <f t="shared" si="24"/>
        <v>0.12367752740450431</v>
      </c>
      <c r="G47" s="282">
        <f t="shared" si="26"/>
        <v>331642.88617531676</v>
      </c>
      <c r="O47" s="99">
        <v>3</v>
      </c>
      <c r="P47" s="93">
        <f t="shared" ref="P47:P54" si="31">Q46*2</f>
        <v>826</v>
      </c>
      <c r="Q47" s="1">
        <f t="shared" si="27"/>
        <v>5803</v>
      </c>
      <c r="R47" s="9">
        <f>SUM($Q$45:Q47)</f>
        <v>6244</v>
      </c>
      <c r="S47" s="277">
        <f t="shared" si="28"/>
        <v>6922.6495250772268</v>
      </c>
      <c r="T47" s="9">
        <f t="shared" si="29"/>
        <v>2.9255558612500464E-2</v>
      </c>
      <c r="U47" s="282">
        <f t="shared" si="30"/>
        <v>1402016.371888069</v>
      </c>
    </row>
    <row r="48" spans="1:21" x14ac:dyDescent="0.2">
      <c r="A48" s="97">
        <v>4</v>
      </c>
      <c r="B48" s="93">
        <f t="shared" si="25"/>
        <v>2744</v>
      </c>
      <c r="C48" s="1">
        <f t="shared" si="22"/>
        <v>19208</v>
      </c>
      <c r="D48" s="9">
        <f>SUM($C$45:C48)</f>
        <v>20685</v>
      </c>
      <c r="E48" s="9">
        <f t="shared" si="23"/>
        <v>21592.580094997877</v>
      </c>
      <c r="F48" s="9">
        <f t="shared" si="24"/>
        <v>7.4352277050086985E-2</v>
      </c>
      <c r="G48" s="282">
        <f t="shared" si="26"/>
        <v>34665969.602792658</v>
      </c>
      <c r="O48" s="99">
        <v>4</v>
      </c>
      <c r="P48" s="93">
        <f t="shared" si="31"/>
        <v>11606</v>
      </c>
      <c r="Q48" s="1">
        <f t="shared" si="27"/>
        <v>81263</v>
      </c>
      <c r="R48" s="9">
        <f>SUM($Q$45:Q48)</f>
        <v>87507</v>
      </c>
      <c r="S48" s="277">
        <f t="shared" si="28"/>
        <v>91346.478432341275</v>
      </c>
      <c r="T48" s="9">
        <f t="shared" si="29"/>
        <v>1.7575472256860014E-2</v>
      </c>
      <c r="U48" s="282">
        <f t="shared" si="30"/>
        <v>146652888.66480914</v>
      </c>
    </row>
    <row r="49" spans="1:21" x14ac:dyDescent="0.2">
      <c r="A49" s="97">
        <v>5</v>
      </c>
      <c r="B49" s="93">
        <f t="shared" si="25"/>
        <v>38416</v>
      </c>
      <c r="C49" s="1">
        <f t="shared" si="22"/>
        <v>268912</v>
      </c>
      <c r="D49" s="9">
        <f>SUM($C$45:C49)</f>
        <v>289597</v>
      </c>
      <c r="E49" s="9">
        <f t="shared" si="23"/>
        <v>294977.49113725929</v>
      </c>
      <c r="F49" s="9">
        <f t="shared" si="24"/>
        <v>4.0608521519025831E-2</v>
      </c>
      <c r="G49" s="282">
        <f t="shared" si="26"/>
        <v>3533417315.301671</v>
      </c>
      <c r="O49" s="99">
        <v>5</v>
      </c>
      <c r="P49" s="93">
        <f t="shared" si="31"/>
        <v>162526</v>
      </c>
      <c r="Q49" s="1">
        <f t="shared" si="27"/>
        <v>1137703</v>
      </c>
      <c r="R49" s="9">
        <f>SUM($Q$45:Q49)</f>
        <v>1225210</v>
      </c>
      <c r="S49" s="277">
        <f t="shared" si="28"/>
        <v>1247973.4662868795</v>
      </c>
      <c r="T49" s="9">
        <f t="shared" si="29"/>
        <v>9.5984410887483169E-3</v>
      </c>
      <c r="U49" s="282">
        <f t="shared" si="30"/>
        <v>14948974709.271021</v>
      </c>
    </row>
    <row r="50" spans="1:21" x14ac:dyDescent="0.2">
      <c r="A50" s="97">
        <v>6</v>
      </c>
      <c r="B50" s="93">
        <f t="shared" si="25"/>
        <v>537824</v>
      </c>
      <c r="C50" s="1">
        <f t="shared" si="22"/>
        <v>3764768</v>
      </c>
      <c r="D50" s="9">
        <f>SUM($C$45:C50)</f>
        <v>4054365</v>
      </c>
      <c r="E50" s="9">
        <f t="shared" si="23"/>
        <v>4086883.1381387254</v>
      </c>
      <c r="F50" s="9">
        <f t="shared" si="24"/>
        <v>2.1203156383582632E-2</v>
      </c>
      <c r="G50" s="282">
        <f t="shared" si="26"/>
        <v>354148132093.75323</v>
      </c>
      <c r="O50" s="99">
        <v>6</v>
      </c>
      <c r="P50" s="93">
        <f t="shared" si="31"/>
        <v>2275406</v>
      </c>
      <c r="Q50" s="1">
        <f t="shared" si="27"/>
        <v>15927863</v>
      </c>
      <c r="R50" s="9">
        <f>SUM($Q$45:Q50)</f>
        <v>17153073</v>
      </c>
      <c r="S50" s="277">
        <f t="shared" si="28"/>
        <v>17290649.660541821</v>
      </c>
      <c r="T50" s="9">
        <f t="shared" si="29"/>
        <v>5.011657977035601E-3</v>
      </c>
      <c r="U50" s="282">
        <f t="shared" si="30"/>
        <v>1498318173775.127</v>
      </c>
    </row>
    <row r="51" spans="1:21" x14ac:dyDescent="0.2">
      <c r="A51" s="97">
        <v>7</v>
      </c>
      <c r="B51" s="93">
        <f t="shared" si="25"/>
        <v>7529536</v>
      </c>
      <c r="C51" s="1">
        <f t="shared" si="22"/>
        <v>52706752</v>
      </c>
      <c r="D51" s="9">
        <f>SUM($C$45:C51)</f>
        <v>56761117</v>
      </c>
      <c r="E51" s="9">
        <f t="shared" si="23"/>
        <v>56959257.552870087</v>
      </c>
      <c r="F51" s="9">
        <f t="shared" si="24"/>
        <v>1.0830210799566413E-2</v>
      </c>
      <c r="G51" s="282">
        <f t="shared" si="26"/>
        <v>35137070446203.766</v>
      </c>
      <c r="O51" s="99">
        <v>7</v>
      </c>
      <c r="P51" s="93">
        <f t="shared" si="31"/>
        <v>31855726</v>
      </c>
      <c r="Q51" s="1">
        <f t="shared" si="27"/>
        <v>222990103</v>
      </c>
      <c r="R51" s="9">
        <f>SUM($Q$45:Q51)</f>
        <v>240143176</v>
      </c>
      <c r="S51" s="277">
        <f t="shared" si="28"/>
        <v>240981462.91497773</v>
      </c>
      <c r="T51" s="9">
        <f t="shared" si="29"/>
        <v>2.5598681277074998E-3</v>
      </c>
      <c r="U51" s="282">
        <f t="shared" si="30"/>
        <v>148656829503321.97</v>
      </c>
    </row>
    <row r="52" spans="1:21" x14ac:dyDescent="0.2">
      <c r="A52" s="97">
        <v>8</v>
      </c>
      <c r="B52" s="93">
        <f t="shared" si="25"/>
        <v>105413504</v>
      </c>
      <c r="C52" s="1">
        <f t="shared" si="22"/>
        <v>737894528</v>
      </c>
      <c r="D52" s="9">
        <f>SUM($C$45:C52)</f>
        <v>794655645</v>
      </c>
      <c r="E52" s="9">
        <f t="shared" si="23"/>
        <v>795867220.84046197</v>
      </c>
      <c r="F52" s="9">
        <f t="shared" si="24"/>
        <v>5.4720825286928973E-3</v>
      </c>
      <c r="G52" s="282">
        <f t="shared" si="26"/>
        <v>3466042426972384.5</v>
      </c>
      <c r="O52" s="99">
        <v>8</v>
      </c>
      <c r="P52" s="93">
        <f t="shared" si="31"/>
        <v>445980206</v>
      </c>
      <c r="Q52" s="1">
        <f t="shared" si="27"/>
        <v>3121861463</v>
      </c>
      <c r="R52" s="9">
        <f>SUM($Q$45:Q52)</f>
        <v>3362004639</v>
      </c>
      <c r="S52" s="277">
        <f t="shared" si="28"/>
        <v>3367130536.7668667</v>
      </c>
      <c r="T52" s="9">
        <f t="shared" si="29"/>
        <v>1.2934013299354299E-3</v>
      </c>
      <c r="U52" s="282">
        <f t="shared" si="30"/>
        <v>1.4664025596209004E+16</v>
      </c>
    </row>
    <row r="53" spans="1:21" x14ac:dyDescent="0.2">
      <c r="A53" s="97">
        <v>9</v>
      </c>
      <c r="B53" s="93">
        <f t="shared" si="25"/>
        <v>1475789056</v>
      </c>
      <c r="C53" s="1">
        <f t="shared" si="22"/>
        <v>10330523392</v>
      </c>
      <c r="D53" s="9">
        <f>SUM($C$45:C53)</f>
        <v>11125179037</v>
      </c>
      <c r="E53" s="9">
        <f t="shared" si="23"/>
        <v>11132598857.996807</v>
      </c>
      <c r="F53" s="9">
        <f t="shared" si="24"/>
        <v>2.7500259252243526E-3</v>
      </c>
      <c r="G53" s="282">
        <f t="shared" si="26"/>
        <v>3.4082379570233645E+17</v>
      </c>
      <c r="O53" s="99">
        <v>9</v>
      </c>
      <c r="P53" s="93">
        <f t="shared" si="31"/>
        <v>6243722926</v>
      </c>
      <c r="Q53" s="1">
        <f t="shared" si="27"/>
        <v>43706060503</v>
      </c>
      <c r="R53" s="9">
        <f>SUM($Q$45:Q53)</f>
        <v>47068065142</v>
      </c>
      <c r="S53" s="277">
        <f t="shared" si="28"/>
        <v>47099456692.361412</v>
      </c>
      <c r="T53" s="9">
        <f t="shared" si="29"/>
        <v>6.5000612798107643E-4</v>
      </c>
      <c r="U53" s="282">
        <f t="shared" si="30"/>
        <v>1.4419468275260324E+18</v>
      </c>
    </row>
    <row r="54" spans="1:21" ht="17" thickBot="1" x14ac:dyDescent="0.25">
      <c r="A54" s="145">
        <v>10</v>
      </c>
      <c r="B54" s="94">
        <f t="shared" si="25"/>
        <v>20661046784</v>
      </c>
      <c r="C54" s="111">
        <f t="shared" si="22"/>
        <v>144627327488</v>
      </c>
      <c r="D54" s="10">
        <f>SUM($C$45:C54)</f>
        <v>155752506525</v>
      </c>
      <c r="E54" s="10">
        <f t="shared" si="23"/>
        <v>155797976732.26483</v>
      </c>
      <c r="F54" s="10">
        <f t="shared" si="24"/>
        <v>1.3784049015740471E-3</v>
      </c>
      <c r="G54" s="283">
        <f t="shared" si="26"/>
        <v>3.3458035345004409E+19</v>
      </c>
      <c r="O54" s="100">
        <v>10</v>
      </c>
      <c r="P54" s="94">
        <f t="shared" si="31"/>
        <v>87412121006</v>
      </c>
      <c r="Q54" s="111">
        <f t="shared" si="27"/>
        <v>611884847063</v>
      </c>
      <c r="R54" s="10">
        <f>SUM($Q$45:Q54)</f>
        <v>658952912205</v>
      </c>
      <c r="S54" s="278">
        <f t="shared" si="28"/>
        <v>659145286158.80811</v>
      </c>
      <c r="T54" s="10">
        <f t="shared" si="29"/>
        <v>3.2580479492548895E-4</v>
      </c>
      <c r="U54" s="283">
        <f t="shared" si="30"/>
        <v>1.4155322645616396E+20</v>
      </c>
    </row>
  </sheetData>
  <mergeCells count="2">
    <mergeCell ref="A18:F18"/>
    <mergeCell ref="O18:T18"/>
  </mergeCells>
  <conditionalFormatting sqref="F45:F54">
    <cfRule type="cellIs" dxfId="773" priority="69" operator="equal">
      <formula>MAX($F$45:$F$54)</formula>
    </cfRule>
  </conditionalFormatting>
  <conditionalFormatting sqref="F21:F30">
    <cfRule type="cellIs" dxfId="772" priority="67" operator="equal">
      <formula>MAX($F$21:$F$30)</formula>
    </cfRule>
  </conditionalFormatting>
  <conditionalFormatting sqref="E33:E42">
    <cfRule type="cellIs" dxfId="771" priority="63" stopIfTrue="1" operator="lessThan">
      <formula>0</formula>
    </cfRule>
    <cfRule type="cellIs" dxfId="770" priority="64" operator="equal">
      <formula>MIN($E$33:$E$42)</formula>
    </cfRule>
  </conditionalFormatting>
  <conditionalFormatting sqref="E21:E30">
    <cfRule type="cellIs" dxfId="769" priority="59" stopIfTrue="1" operator="lessThan">
      <formula>0</formula>
    </cfRule>
    <cfRule type="cellIs" dxfId="768" priority="60" operator="equal">
      <formula>MIN($E$21:$E$30)</formula>
    </cfRule>
  </conditionalFormatting>
  <conditionalFormatting sqref="E45:E54">
    <cfRule type="cellIs" dxfId="767" priority="55" stopIfTrue="1" operator="lessThan">
      <formula>0</formula>
    </cfRule>
    <cfRule type="cellIs" dxfId="766" priority="56" operator="equal">
      <formula>MIN($E$45:$E$54)</formula>
    </cfRule>
  </conditionalFormatting>
  <conditionalFormatting sqref="F33:F42">
    <cfRule type="cellIs" dxfId="765" priority="41" operator="lessThanOrEqual">
      <formula>0</formula>
    </cfRule>
    <cfRule type="cellIs" dxfId="764" priority="42" operator="equal">
      <formula>MAX($F$33:$F$42)</formula>
    </cfRule>
  </conditionalFormatting>
  <conditionalFormatting sqref="R7:R16">
    <cfRule type="cellIs" dxfId="763" priority="27" operator="lessThanOrEqual">
      <formula>0</formula>
    </cfRule>
    <cfRule type="cellIs" dxfId="762" priority="28" operator="greaterThan">
      <formula>0</formula>
    </cfRule>
  </conditionalFormatting>
  <conditionalFormatting sqref="T21:T30">
    <cfRule type="cellIs" dxfId="761" priority="19" operator="equal">
      <formula>MAX($T$21:$T$30)</formula>
    </cfRule>
  </conditionalFormatting>
  <conditionalFormatting sqref="S33:S42">
    <cfRule type="cellIs" dxfId="760" priority="17" stopIfTrue="1" operator="lessThan">
      <formula>0</formula>
    </cfRule>
    <cfRule type="cellIs" dxfId="759" priority="18" operator="equal">
      <formula>MIN($E$21:$E$30)</formula>
    </cfRule>
  </conditionalFormatting>
  <conditionalFormatting sqref="T33:T42">
    <cfRule type="cellIs" dxfId="758" priority="16" operator="equal">
      <formula>MAX($T$21:$T$30)</formula>
    </cfRule>
  </conditionalFormatting>
  <conditionalFormatting sqref="S45:S54">
    <cfRule type="cellIs" dxfId="757" priority="14" stopIfTrue="1" operator="lessThan">
      <formula>0</formula>
    </cfRule>
    <cfRule type="cellIs" dxfId="756" priority="15" operator="equal">
      <formula>MIN($E$21:$E$30)</formula>
    </cfRule>
  </conditionalFormatting>
  <conditionalFormatting sqref="T45:T54">
    <cfRule type="cellIs" dxfId="755" priority="13" operator="equal">
      <formula>MAX($T$21:$T$30)</formula>
    </cfRule>
  </conditionalFormatting>
  <conditionalFormatting sqref="S21:S30">
    <cfRule type="cellIs" dxfId="754" priority="11" stopIfTrue="1" operator="lessThan">
      <formula>0</formula>
    </cfRule>
    <cfRule type="cellIs" dxfId="753" priority="12" operator="equal">
      <formula>MIN($E$21:$E$30)</formula>
    </cfRule>
  </conditionalFormatting>
  <conditionalFormatting sqref="U7:U16">
    <cfRule type="cellIs" dxfId="752" priority="7" operator="lessThanOrEqual">
      <formula>0</formula>
    </cfRule>
    <cfRule type="cellIs" dxfId="751" priority="8" operator="greaterThan">
      <formula>0</formula>
    </cfRule>
  </conditionalFormatting>
  <conditionalFormatting sqref="S7:T16">
    <cfRule type="cellIs" dxfId="750" priority="1" operator="lessThanOrEqual">
      <formula>0</formula>
    </cfRule>
    <cfRule type="cellIs" dxfId="749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49" t="s">
        <v>125</v>
      </c>
      <c r="C2" s="155">
        <f>Analysis!B15</f>
        <v>0.70174850040046388</v>
      </c>
      <c r="D2" s="149" t="s">
        <v>126</v>
      </c>
      <c r="E2" s="155">
        <f>Analysis!K15</f>
        <v>0.29825149959953606</v>
      </c>
      <c r="F2" s="149" t="s">
        <v>47</v>
      </c>
      <c r="G2" s="155">
        <f>Analysis!S15</f>
        <v>5.6146552936527021</v>
      </c>
      <c r="H2" t="s">
        <v>155</v>
      </c>
      <c r="I2" s="169">
        <f>Analysis!T15</f>
        <v>-5.9433287932998162</v>
      </c>
      <c r="J2" t="s">
        <v>48</v>
      </c>
      <c r="K2" s="169">
        <f>C2*G2+E2*I2</f>
        <v>2.1674692073715383</v>
      </c>
      <c r="L2" t="s">
        <v>47</v>
      </c>
      <c r="M2" s="176">
        <v>1</v>
      </c>
      <c r="N2" t="s">
        <v>155</v>
      </c>
      <c r="O2" s="176">
        <v>8</v>
      </c>
    </row>
    <row r="4" spans="1:23" x14ac:dyDescent="0.2">
      <c r="A4" t="s">
        <v>123</v>
      </c>
      <c r="B4">
        <f>$C$2</f>
        <v>0.70174850040046388</v>
      </c>
      <c r="C4" t="s">
        <v>124</v>
      </c>
      <c r="D4">
        <f>$E$2</f>
        <v>0.29825149959953606</v>
      </c>
      <c r="E4" t="s">
        <v>47</v>
      </c>
      <c r="F4">
        <f>G2</f>
        <v>5.6146552936527021</v>
      </c>
      <c r="G4" t="s">
        <v>155</v>
      </c>
      <c r="H4">
        <f>I2</f>
        <v>-5.9433287932998162</v>
      </c>
      <c r="I4" t="s">
        <v>48</v>
      </c>
      <c r="J4">
        <f>K2</f>
        <v>2.1674692073715383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182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0.70174850040046388</v>
      </c>
      <c r="C7" s="95">
        <v>1</v>
      </c>
      <c r="D7" s="109">
        <f>C7*D4</f>
        <v>0.29825149959953606</v>
      </c>
      <c r="E7" s="110"/>
      <c r="F7" s="110"/>
      <c r="G7" s="110"/>
      <c r="H7" s="110"/>
      <c r="I7" s="110"/>
      <c r="J7" s="110"/>
      <c r="K7" s="110"/>
      <c r="L7" s="110"/>
      <c r="M7" s="258"/>
      <c r="N7" s="95">
        <f>B7+D7</f>
        <v>1</v>
      </c>
      <c r="R7" s="296">
        <f>B7-D7</f>
        <v>0.40349700080092782</v>
      </c>
      <c r="S7" s="297">
        <f>SUM(C7)*B4*F4*POWER(O2,A7-1)</f>
        <v>3.9400759325863097</v>
      </c>
      <c r="T7" s="276">
        <f>SUM(C7)*D4*H4*POWER(O2,A7-1)</f>
        <v>-1.7726067252147713</v>
      </c>
      <c r="U7" s="294">
        <f>S7+T7</f>
        <v>2.1674692073715383</v>
      </c>
      <c r="V7" s="109">
        <f>(U7+W7*D7)/B7</f>
        <v>3.5136814764320432</v>
      </c>
      <c r="W7" s="57">
        <f>COUNT(D7:M7)</f>
        <v>1</v>
      </c>
    </row>
    <row r="8" spans="1:23" x14ac:dyDescent="0.2">
      <c r="A8" s="99">
        <v>2</v>
      </c>
      <c r="B8" s="97">
        <f>C8*B4</f>
        <v>0.88750008782783429</v>
      </c>
      <c r="C8" s="97">
        <f>1/(1-B4*D4)</f>
        <v>1.2646982320893716</v>
      </c>
      <c r="D8" s="93">
        <f>C8*D4</f>
        <v>0.37719814426153719</v>
      </c>
      <c r="E8" s="1">
        <f>D8*D4</f>
        <v>0.11249991217216561</v>
      </c>
      <c r="F8" s="1"/>
      <c r="G8" s="1"/>
      <c r="H8" s="1"/>
      <c r="I8" s="1"/>
      <c r="J8" s="1"/>
      <c r="K8" s="1"/>
      <c r="L8" s="1"/>
      <c r="M8" s="257"/>
      <c r="N8" s="97">
        <f>B8+E8</f>
        <v>0.99999999999999989</v>
      </c>
      <c r="R8" s="298">
        <f>B8-E8</f>
        <v>0.7750001756556687</v>
      </c>
      <c r="S8" s="299">
        <f>SUM(C8:D8)*B4*F4*POWER(O2,A8-1)</f>
        <v>51.75357117008712</v>
      </c>
      <c r="T8" s="277">
        <f>SUM(C8:D8)*D4*H4*POWER(O2,A8-1)</f>
        <v>-23.283492470603072</v>
      </c>
      <c r="U8" s="295">
        <f>S8+T8+U7</f>
        <v>30.637547906855588</v>
      </c>
      <c r="V8" s="93">
        <f>(U8+W8*E8)/B8</f>
        <v>34.774698227620824</v>
      </c>
      <c r="W8" s="9">
        <f>COUNT(D8:M8)</f>
        <v>2</v>
      </c>
    </row>
    <row r="9" spans="1:23" x14ac:dyDescent="0.2">
      <c r="A9" s="99">
        <v>3</v>
      </c>
      <c r="B9" s="97">
        <f>C9*B4</f>
        <v>0.95436803095753919</v>
      </c>
      <c r="C9" s="97">
        <f>1/(1-D4*B4/(1-D4*B4))</f>
        <v>1.3599858502197211</v>
      </c>
      <c r="D9" s="93">
        <f>C9*D4*C8</f>
        <v>0.51298413892482764</v>
      </c>
      <c r="E9" s="1">
        <f>D9*(D4)</f>
        <v>0.15299828870510659</v>
      </c>
      <c r="F9" s="1">
        <f>E9*D4</f>
        <v>4.56319690424608E-2</v>
      </c>
      <c r="G9" s="1"/>
      <c r="H9" s="1"/>
      <c r="I9" s="1"/>
      <c r="J9" s="1"/>
      <c r="K9" s="1"/>
      <c r="L9" s="1"/>
      <c r="M9" s="257"/>
      <c r="N9" s="97">
        <f>B9+F9</f>
        <v>1</v>
      </c>
      <c r="R9" s="298">
        <f>B9-F9</f>
        <v>0.90873606191507839</v>
      </c>
      <c r="S9" s="299">
        <f>SUM(C9:E9)*B4*F4*POWER(O2,A9-1)</f>
        <v>510.87800651128077</v>
      </c>
      <c r="T9" s="277">
        <f>SUM(C9:E9)*D4*H4*POWER(O2,A9-1)</f>
        <v>-229.8396796408376</v>
      </c>
      <c r="U9" s="295">
        <f t="shared" ref="U9:U16" si="0">S9+T9+U8</f>
        <v>311.67587477729876</v>
      </c>
      <c r="V9" s="93">
        <f>(U9+W9*F9)/B9</f>
        <v>326.72172638848485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0.98097484417506731</v>
      </c>
      <c r="C10" s="97">
        <f>1/(1-D4*B4/(1-D4*B4/(1-D4*B4)))</f>
        <v>1.3979008770453496</v>
      </c>
      <c r="D10" s="93">
        <f>C10*D4*C9</f>
        <v>0.56701350529182604</v>
      </c>
      <c r="E10" s="1">
        <f>D10*D4*C8</f>
        <v>0.2138764419673061</v>
      </c>
      <c r="F10" s="1">
        <f>E10*D4</f>
        <v>6.3788969545762186E-2</v>
      </c>
      <c r="G10" s="1">
        <f>F10*D4</f>
        <v>1.9025155824932707E-2</v>
      </c>
      <c r="H10" s="1"/>
      <c r="I10" s="1"/>
      <c r="J10" s="1"/>
      <c r="K10" s="1"/>
      <c r="L10" s="1"/>
      <c r="M10" s="257"/>
      <c r="N10" s="97">
        <f>B10+G10</f>
        <v>1</v>
      </c>
      <c r="R10" s="298">
        <f>B10-G10</f>
        <v>0.96194968835013461</v>
      </c>
      <c r="S10" s="299">
        <f>SUM(C10:F10)*B4*F4*POWER(O2,A10-1)</f>
        <v>4523.9985523987016</v>
      </c>
      <c r="T10" s="277">
        <f>SUM(C10:F10)*D4*H4*POWER(O2,A10-1)</f>
        <v>-2035.3085564977653</v>
      </c>
      <c r="U10" s="295">
        <f t="shared" si="0"/>
        <v>2800.3658706782348</v>
      </c>
      <c r="V10" s="93">
        <f>(U10+W10*G10)/B10</f>
        <v>2854.7541131460048</v>
      </c>
      <c r="W10" s="9">
        <f t="shared" si="1"/>
        <v>4</v>
      </c>
    </row>
    <row r="11" spans="1:23" x14ac:dyDescent="0.2">
      <c r="A11" s="99">
        <v>5</v>
      </c>
      <c r="B11" s="97">
        <f>C11*B4</f>
        <v>0.99197893904176604</v>
      </c>
      <c r="C11" s="97">
        <f>1/(1-D4*B4/(1-D4*B4/(1-D4*B4/(1-D4*B4))))</f>
        <v>1.413581843745555</v>
      </c>
      <c r="D11" s="93">
        <f>C11*D4*C10</f>
        <v>0.58935907025029344</v>
      </c>
      <c r="E11" s="1">
        <f>D11*D4*C9</f>
        <v>0.23905454083731106</v>
      </c>
      <c r="F11" s="1">
        <f>E11*D4*C8</f>
        <v>9.0170929181127582E-2</v>
      </c>
      <c r="G11" s="1">
        <f>F11*D4</f>
        <v>2.6893614848554868E-2</v>
      </c>
      <c r="H11" s="1">
        <f>G11*D4</f>
        <v>8.0210609582338395E-3</v>
      </c>
      <c r="I11" s="1"/>
      <c r="J11" s="1"/>
      <c r="K11" s="1"/>
      <c r="L11" s="1"/>
      <c r="M11" s="257"/>
      <c r="N11" s="97">
        <f>B11+H11</f>
        <v>0.99999999999999989</v>
      </c>
      <c r="R11" s="298">
        <f>B11-H11</f>
        <v>0.98395787808353219</v>
      </c>
      <c r="S11" s="299">
        <f>SUM(C11:G11)*B4*F4*POWER(O2,A11-1)</f>
        <v>38071.810150590762</v>
      </c>
      <c r="T11" s="277">
        <f>SUM(C11:G11)*D4*H4*POWER(O2,A11-1)</f>
        <v>-17128.184296117965</v>
      </c>
      <c r="U11" s="295">
        <f t="shared" si="0"/>
        <v>23743.991725151031</v>
      </c>
      <c r="V11" s="93">
        <f>(U11+W11*H11)/B11</f>
        <v>23936.024139173893</v>
      </c>
      <c r="W11" s="9">
        <f t="shared" si="1"/>
        <v>5</v>
      </c>
    </row>
    <row r="12" spans="1:23" x14ac:dyDescent="0.2">
      <c r="A12" s="99">
        <v>6</v>
      </c>
      <c r="B12" s="97">
        <f>C12*B4</f>
        <v>0.99660253534515497</v>
      </c>
      <c r="C12" s="97">
        <f>1/(1-D4*B4/(1-D4*B4/(1-D4*B4/(1-D4*B4/(1-D4*B4)))))</f>
        <v>1.4201705237366777</v>
      </c>
      <c r="D12" s="93">
        <f>C12*D4*C11</f>
        <v>0.59874801798208444</v>
      </c>
      <c r="E12" s="1">
        <f>D12*D4*C10</f>
        <v>0.24963363582621487</v>
      </c>
      <c r="F12" s="1">
        <f>E12*D4*C9</f>
        <v>0.10125585097831895</v>
      </c>
      <c r="G12" s="1">
        <f>F12*D4*C8</f>
        <v>3.8193519084644661E-2</v>
      </c>
      <c r="H12" s="1">
        <f>G12*D4</f>
        <v>1.139127434197877E-2</v>
      </c>
      <c r="I12" s="1">
        <f>H12*D4</f>
        <v>3.3974646548448864E-3</v>
      </c>
      <c r="J12" s="1"/>
      <c r="K12" s="1"/>
      <c r="L12" s="1"/>
      <c r="M12" s="257"/>
      <c r="N12" s="97">
        <f>B12+I12</f>
        <v>0.99999999999999989</v>
      </c>
      <c r="R12" s="298">
        <f>B12-I12</f>
        <v>0.99320507069031005</v>
      </c>
      <c r="S12" s="299">
        <f>SUM(C12:H12)*B4*F4*POWER(O2,A12-1)</f>
        <v>312363.95595323649</v>
      </c>
      <c r="T12" s="277">
        <f>SUM(C12:H12)*D4*H4*POWER(O2,A12-1)</f>
        <v>-140529.89295410449</v>
      </c>
      <c r="U12" s="295">
        <f t="shared" si="0"/>
        <v>195578.05472428302</v>
      </c>
      <c r="V12" s="93">
        <f>(U12+W12*I12)/B12</f>
        <v>196244.80991445208</v>
      </c>
      <c r="W12" s="9">
        <f t="shared" si="1"/>
        <v>6</v>
      </c>
    </row>
    <row r="13" spans="1:23" x14ac:dyDescent="0.2">
      <c r="A13" s="99">
        <v>7</v>
      </c>
      <c r="B13" s="97">
        <f>C13*B4</f>
        <v>0.99855811893999913</v>
      </c>
      <c r="C13" s="97">
        <f>1/(1-D4*B4/(1-D4*B4/(1-D4*B4/(1-D4*B4/(1-D4*B4/(1-D4*B4))))))</f>
        <v>1.4229572537314381</v>
      </c>
      <c r="D13" s="93">
        <f>C13*D4*C12</f>
        <v>0.60271914153015071</v>
      </c>
      <c r="E13" s="1">
        <f>D13*D4*C11</f>
        <v>0.25410814078968552</v>
      </c>
      <c r="F13" s="1">
        <f>E13*D4*C10</f>
        <v>0.10594429905948673</v>
      </c>
      <c r="G13" s="1">
        <f>F13*D4*C9</f>
        <v>4.2972895547769431E-2</v>
      </c>
      <c r="H13" s="1">
        <f>G13*D4*C8</f>
        <v>1.6209296454163503E-2</v>
      </c>
      <c r="I13" s="1">
        <f>H13*D4</f>
        <v>4.8344469749077076E-3</v>
      </c>
      <c r="J13" s="1">
        <f>I13*D4</f>
        <v>1.4418810600006645E-3</v>
      </c>
      <c r="K13" s="1"/>
      <c r="L13" s="1"/>
      <c r="M13" s="257"/>
      <c r="N13" s="97">
        <f>B13+J13</f>
        <v>0.99999999999999978</v>
      </c>
      <c r="R13" s="298">
        <f>B13-J13</f>
        <v>0.99711623787999848</v>
      </c>
      <c r="S13" s="299">
        <f>SUM(C13:I13)*B4*F4*POWER(O2,A13-1)</f>
        <v>2530261.9084330886</v>
      </c>
      <c r="T13" s="277">
        <f>SUM(C13:I13)*D4*H4*POWER(O2,A13-1)</f>
        <v>-1138343.3599207683</v>
      </c>
      <c r="U13" s="295">
        <f t="shared" si="0"/>
        <v>1587496.6032366033</v>
      </c>
      <c r="V13" s="93">
        <f>(U13+W13*J13)/B13</f>
        <v>1589788.8998338408</v>
      </c>
      <c r="W13" s="9">
        <f t="shared" si="1"/>
        <v>7</v>
      </c>
    </row>
    <row r="14" spans="1:23" x14ac:dyDescent="0.2">
      <c r="A14" s="99">
        <v>8</v>
      </c>
      <c r="B14" s="97">
        <f>C14*B4</f>
        <v>0.99938755863118289</v>
      </c>
      <c r="C14" s="97">
        <f>1/(1-D4*B4/(1-D4*B4/(1-D4*B4/(1-D4*B4/(1-D4*B4/(1-D4*B4/(1-D4*B4)))))))</f>
        <v>1.4241392152044023</v>
      </c>
      <c r="D14" s="93">
        <f>C14*D4*C13</f>
        <v>0.60440345075530721</v>
      </c>
      <c r="E14" s="1">
        <f>D14*D4*C12</f>
        <v>0.2560059538133202</v>
      </c>
      <c r="F14" s="1">
        <f>E14*D4*C11</f>
        <v>0.10793285374915981</v>
      </c>
      <c r="G14" s="1">
        <f>F14*D4*C10</f>
        <v>4.5000016530005564E-2</v>
      </c>
      <c r="H14" s="1">
        <f>G14*D4*C9</f>
        <v>1.8252808571662994E-2</v>
      </c>
      <c r="I14" s="1">
        <f>H14*D4*C8</f>
        <v>6.8849255207923607E-3</v>
      </c>
      <c r="J14" s="1">
        <f>I14*D4</f>
        <v>2.0534393612074383E-3</v>
      </c>
      <c r="K14" s="1">
        <f>J14*D4</f>
        <v>6.1244136881683192E-4</v>
      </c>
      <c r="L14" s="1"/>
      <c r="M14" s="257"/>
      <c r="N14" s="97">
        <f>B14+K14</f>
        <v>0.99999999999999978</v>
      </c>
      <c r="R14" s="298">
        <f>B14-K14</f>
        <v>0.99877511726236601</v>
      </c>
      <c r="S14" s="299">
        <f>SUM(C14:J14)*B4*F4*POWER(O2,A14-1)</f>
        <v>20365437.709965754</v>
      </c>
      <c r="T14" s="277">
        <f>SUM(C14:J14)*D4*H4*POWER(O2,A14-1)</f>
        <v>-9162237.5975204669</v>
      </c>
      <c r="U14" s="295">
        <f t="shared" si="0"/>
        <v>12790696.71568189</v>
      </c>
      <c r="V14" s="93">
        <f>(U14+W14*K14)/B14</f>
        <v>12798535.072920335</v>
      </c>
      <c r="W14" s="9">
        <f t="shared" si="1"/>
        <v>8</v>
      </c>
    </row>
    <row r="15" spans="1:23" x14ac:dyDescent="0.2">
      <c r="A15" s="99">
        <v>9</v>
      </c>
      <c r="B15" s="97">
        <f>C15*B4</f>
        <v>0.99973977283447957</v>
      </c>
      <c r="C15" s="97">
        <f>1/(1-D4*B4/(1-D4*B4/(1-D4*B4/(1-D4*B4/(1-D4*B4/(1-D4*B4/(1-D4*B4/(1-D4*B4))))))))</f>
        <v>1.4246411246535793</v>
      </c>
      <c r="D15" s="93">
        <f>C15*D4*C14</f>
        <v>0.60511867771894212</v>
      </c>
      <c r="E15" s="1">
        <f>D15*D4*C13</f>
        <v>0.25681184327005863</v>
      </c>
      <c r="F15" s="1">
        <f>E15*D4*C12</f>
        <v>0.10877727584901774</v>
      </c>
      <c r="G15" s="1">
        <f>F15*D4*C11</f>
        <v>4.5860815463711173E-2</v>
      </c>
      <c r="H15" s="1">
        <f>G15*D4*C10</f>
        <v>1.9120567855481191E-2</v>
      </c>
      <c r="I15" s="1">
        <f>H15*D4*C9</f>
        <v>7.7556430365948534E-3</v>
      </c>
      <c r="J15" s="1">
        <f>I15*D4*C8</f>
        <v>2.9254141609584916E-3</v>
      </c>
      <c r="K15" s="1">
        <f>J15*D4</f>
        <v>8.7250916045558875E-4</v>
      </c>
      <c r="L15" s="1">
        <f>K15*D4</f>
        <v>2.6022716552021155E-4</v>
      </c>
      <c r="M15" s="257"/>
      <c r="N15" s="97">
        <f>B15+L15</f>
        <v>0.99999999999999978</v>
      </c>
      <c r="R15" s="298">
        <f>B15-L15</f>
        <v>0.99947954566895936</v>
      </c>
      <c r="S15" s="299">
        <f>SUM(C15:K15)*B4*F4*POWER(O2,A15-1)</f>
        <v>163400187.78136638</v>
      </c>
      <c r="T15" s="277">
        <f>SUM(C15:K15)*D4*H4*POWER(O2,A15-1)</f>
        <v>-73512357.811967552</v>
      </c>
      <c r="U15" s="295">
        <f t="shared" si="0"/>
        <v>102678526.68508072</v>
      </c>
      <c r="V15" s="93">
        <f>(U15+W15*L15)/B15</f>
        <v>102705253.38439505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0.99988941257548647</v>
      </c>
      <c r="C16" s="145">
        <f>1/(1-D4*B4/(1-D4*B4/(1-D4*B4/(1-D4*B4/(1-D4*B4/(1-D4*B4/(1-D4*B4/(1-D4*B4/(1-D4*B4)))))))))</f>
        <v>1.4248543630729296</v>
      </c>
      <c r="D16" s="94">
        <f>C16*D4*C15</f>
        <v>0.6054225450150299</v>
      </c>
      <c r="E16" s="111">
        <f>D16*D4*C14</f>
        <v>0.25715422892190842</v>
      </c>
      <c r="F16" s="111">
        <f>E16*D4*C13</f>
        <v>0.10913603226241757</v>
      </c>
      <c r="G16" s="111">
        <f>F16*D4*C12</f>
        <v>4.6226529646424527E-2</v>
      </c>
      <c r="H16" s="111">
        <f>G16*D4*C11</f>
        <v>1.948923917330839E-2</v>
      </c>
      <c r="I16" s="111">
        <f>H16*D4*C10</f>
        <v>8.1255711721875644E-3</v>
      </c>
      <c r="J16" s="111">
        <f>I16*D4*C9</f>
        <v>3.2958764591223709E-3</v>
      </c>
      <c r="K16" s="111">
        <f>J16*D4*C8</f>
        <v>1.2431984840962445E-3</v>
      </c>
      <c r="L16" s="111">
        <f>K16*D4</f>
        <v>3.7078581218157492E-4</v>
      </c>
      <c r="M16" s="259">
        <f>L16*D4</f>
        <v>1.1058742451338665E-4</v>
      </c>
      <c r="N16" s="145">
        <f>B16+M16</f>
        <v>0.99999999999999989</v>
      </c>
      <c r="R16" s="300">
        <f>B16-M16</f>
        <v>0.99977882515097305</v>
      </c>
      <c r="S16" s="301">
        <f>SUM(C16:L16)*B4*F4*POWER(O2,A16-1)</f>
        <v>1309017761.5459642</v>
      </c>
      <c r="T16" s="278">
        <f>SUM(C16:L16)*D4*H4*POWER(O2,A16-1)</f>
        <v>-588915982.13916719</v>
      </c>
      <c r="U16" s="295">
        <f t="shared" si="0"/>
        <v>822780306.09187782</v>
      </c>
      <c r="V16" s="94">
        <f>(U16+W16*M16)/B16</f>
        <v>822871305.31134415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6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8</v>
      </c>
      <c r="D21" s="57">
        <f>SUM($C$21:C21)</f>
        <v>8</v>
      </c>
      <c r="E21" s="57">
        <f t="shared" ref="E21:E30" si="3">D21/R7</f>
        <v>19.826665338578159</v>
      </c>
      <c r="F21" s="8">
        <f t="shared" ref="F21:F30" si="4">U7/E21</f>
        <v>0.1093209155628475</v>
      </c>
      <c r="G21" s="281">
        <f>E21*U7</f>
        <v>42.973686606228753</v>
      </c>
      <c r="O21" s="101">
        <v>1</v>
      </c>
      <c r="P21" s="109">
        <v>1</v>
      </c>
      <c r="Q21" s="110">
        <f>P21*8+28</f>
        <v>36</v>
      </c>
      <c r="R21" s="57">
        <f>SUM($Q$21)</f>
        <v>36</v>
      </c>
      <c r="S21" s="276">
        <f>R21/R7</f>
        <v>89.219994023601728</v>
      </c>
      <c r="T21" s="8">
        <f>U7/S21</f>
        <v>2.4293536791743887E-2</v>
      </c>
      <c r="U21" s="281">
        <f>S21*U7</f>
        <v>193.38158972802941</v>
      </c>
    </row>
    <row r="22" spans="1:21" x14ac:dyDescent="0.2">
      <c r="A22" s="97">
        <v>2</v>
      </c>
      <c r="B22" s="93">
        <f>C21</f>
        <v>8</v>
      </c>
      <c r="C22" s="1">
        <f t="shared" si="2"/>
        <v>64</v>
      </c>
      <c r="D22" s="9">
        <f>SUM($C$21:C22)</f>
        <v>72</v>
      </c>
      <c r="E22" s="9">
        <f t="shared" si="3"/>
        <v>92.903204749710255</v>
      </c>
      <c r="F22" s="9">
        <f t="shared" si="4"/>
        <v>0.32977923624266731</v>
      </c>
      <c r="G22" s="282">
        <f t="shared" ref="G22:G30" si="5">E22*U8</f>
        <v>2846.3263862196613</v>
      </c>
      <c r="O22" s="99">
        <v>2</v>
      </c>
      <c r="P22" s="93">
        <f>Q21</f>
        <v>36</v>
      </c>
      <c r="Q22" s="1">
        <f t="shared" ref="Q22:Q30" si="6">P22*8+28</f>
        <v>316</v>
      </c>
      <c r="R22" s="9">
        <f>SUM($Q$21:Q22)</f>
        <v>352</v>
      </c>
      <c r="S22" s="277">
        <f t="shared" ref="S22:S30" si="7">R22/R8</f>
        <v>454.19344544302788</v>
      </c>
      <c r="T22" s="9">
        <f>U8/S22</f>
        <v>6.7454843776909218E-2</v>
      </c>
      <c r="U22" s="282">
        <f t="shared" ref="U22:U30" si="8">S22*U8</f>
        <v>13915.373443740566</v>
      </c>
    </row>
    <row r="23" spans="1:21" x14ac:dyDescent="0.2">
      <c r="A23" s="97">
        <v>3</v>
      </c>
      <c r="B23" s="93">
        <f t="shared" ref="B23:B30" si="9">C22</f>
        <v>64</v>
      </c>
      <c r="C23" s="1">
        <f t="shared" si="2"/>
        <v>512</v>
      </c>
      <c r="D23" s="9">
        <f>SUM($C$21:C23)</f>
        <v>584</v>
      </c>
      <c r="E23" s="9">
        <f t="shared" si="3"/>
        <v>642.65084712196108</v>
      </c>
      <c r="F23" s="9">
        <f t="shared" si="4"/>
        <v>0.48498477232715681</v>
      </c>
      <c r="G23" s="282">
        <f t="shared" si="5"/>
        <v>200298.76495310932</v>
      </c>
      <c r="O23" s="99">
        <v>3</v>
      </c>
      <c r="P23" s="93">
        <f t="shared" ref="P23:P30" si="10">Q22</f>
        <v>316</v>
      </c>
      <c r="Q23" s="1">
        <f t="shared" si="6"/>
        <v>2556</v>
      </c>
      <c r="R23" s="9">
        <f>SUM($Q$21:Q23)</f>
        <v>2908</v>
      </c>
      <c r="S23" s="277">
        <f t="shared" si="7"/>
        <v>3200.0490812168882</v>
      </c>
      <c r="T23" s="9">
        <f t="shared" ref="T23:T30" si="11">U9/S23</f>
        <v>9.7397217001052125E-2</v>
      </c>
      <c r="U23" s="282">
        <f t="shared" si="8"/>
        <v>997378.09671856475</v>
      </c>
    </row>
    <row r="24" spans="1:21" x14ac:dyDescent="0.2">
      <c r="A24" s="97">
        <v>4</v>
      </c>
      <c r="B24" s="93">
        <f t="shared" si="9"/>
        <v>512</v>
      </c>
      <c r="C24" s="1">
        <f t="shared" si="2"/>
        <v>4096</v>
      </c>
      <c r="D24" s="9">
        <f>SUM($C$21:C24)</f>
        <v>4680</v>
      </c>
      <c r="E24" s="9">
        <f t="shared" si="3"/>
        <v>4865.119305799446</v>
      </c>
      <c r="F24" s="9">
        <f t="shared" si="4"/>
        <v>0.57560065738574384</v>
      </c>
      <c r="G24" s="282">
        <f t="shared" si="5"/>
        <v>13624114.060738554</v>
      </c>
      <c r="O24" s="99">
        <v>4</v>
      </c>
      <c r="P24" s="93">
        <f t="shared" si="10"/>
        <v>2556</v>
      </c>
      <c r="Q24" s="1">
        <f t="shared" si="6"/>
        <v>20476</v>
      </c>
      <c r="R24" s="9">
        <f>SUM($Q$21:Q24)</f>
        <v>23384</v>
      </c>
      <c r="S24" s="277">
        <f t="shared" si="7"/>
        <v>24308.963642481674</v>
      </c>
      <c r="T24" s="9">
        <f t="shared" si="11"/>
        <v>0.115198899955751</v>
      </c>
      <c r="U24" s="282">
        <f t="shared" si="8"/>
        <v>68073992.135963753</v>
      </c>
    </row>
    <row r="25" spans="1:21" x14ac:dyDescent="0.2">
      <c r="A25" s="97">
        <v>5</v>
      </c>
      <c r="B25" s="93">
        <f t="shared" si="9"/>
        <v>4096</v>
      </c>
      <c r="C25" s="1">
        <f t="shared" si="2"/>
        <v>32768</v>
      </c>
      <c r="D25" s="9">
        <f>SUM($C$21:C25)</f>
        <v>37448</v>
      </c>
      <c r="E25" s="9">
        <f t="shared" si="3"/>
        <v>38058.539734381688</v>
      </c>
      <c r="F25" s="9">
        <f t="shared" si="4"/>
        <v>0.62388078709443906</v>
      </c>
      <c r="G25" s="282">
        <f t="shared" si="5"/>
        <v>903661652.52449048</v>
      </c>
      <c r="O25" s="99">
        <v>5</v>
      </c>
      <c r="P25" s="93">
        <f t="shared" si="10"/>
        <v>20476</v>
      </c>
      <c r="Q25" s="1">
        <f t="shared" si="6"/>
        <v>163836</v>
      </c>
      <c r="R25" s="9">
        <f>SUM($Q$21:Q25)</f>
        <v>187220</v>
      </c>
      <c r="S25" s="277">
        <f t="shared" si="7"/>
        <v>190272.37259856172</v>
      </c>
      <c r="T25" s="9">
        <f t="shared" si="11"/>
        <v>0.1247894867808597</v>
      </c>
      <c r="U25" s="282">
        <f t="shared" si="8"/>
        <v>4517825640.5051031</v>
      </c>
    </row>
    <row r="26" spans="1:21" x14ac:dyDescent="0.2">
      <c r="A26" s="97">
        <v>6</v>
      </c>
      <c r="B26" s="93">
        <f t="shared" si="9"/>
        <v>32768</v>
      </c>
      <c r="C26" s="1">
        <f t="shared" si="2"/>
        <v>262144</v>
      </c>
      <c r="D26" s="9">
        <f>SUM($C$21:C26)</f>
        <v>299592</v>
      </c>
      <c r="E26" s="9">
        <f t="shared" si="3"/>
        <v>301641.63357701519</v>
      </c>
      <c r="F26" s="9">
        <f t="shared" si="4"/>
        <v>0.64837884745889363</v>
      </c>
      <c r="G26" s="282">
        <f t="shared" si="5"/>
        <v>58994483918.847603</v>
      </c>
      <c r="O26" s="99">
        <v>6</v>
      </c>
      <c r="P26" s="93">
        <f t="shared" si="10"/>
        <v>163836</v>
      </c>
      <c r="Q26" s="1">
        <f t="shared" si="6"/>
        <v>1310716</v>
      </c>
      <c r="R26" s="9">
        <f>SUM($Q$21:Q26)</f>
        <v>1497936</v>
      </c>
      <c r="S26" s="277">
        <f t="shared" si="7"/>
        <v>1508184.0036910861</v>
      </c>
      <c r="T26" s="9">
        <f t="shared" si="11"/>
        <v>0.12967784716296615</v>
      </c>
      <c r="U26" s="282">
        <f t="shared" si="8"/>
        <v>294967693608.18347</v>
      </c>
    </row>
    <row r="27" spans="1:21" x14ac:dyDescent="0.2">
      <c r="A27" s="97">
        <v>7</v>
      </c>
      <c r="B27" s="93">
        <f t="shared" si="9"/>
        <v>262144</v>
      </c>
      <c r="C27" s="1">
        <f t="shared" si="2"/>
        <v>2097152</v>
      </c>
      <c r="D27" s="9">
        <f>SUM($C$21:C27)</f>
        <v>2396744</v>
      </c>
      <c r="E27" s="9">
        <f t="shared" si="3"/>
        <v>2403675.6287268936</v>
      </c>
      <c r="F27" s="9">
        <f t="shared" si="4"/>
        <v>0.66044543792184662</v>
      </c>
      <c r="G27" s="282">
        <f t="shared" si="5"/>
        <v>3815826895886.5503</v>
      </c>
      <c r="O27" s="99">
        <v>7</v>
      </c>
      <c r="P27" s="93">
        <f t="shared" si="10"/>
        <v>1310716</v>
      </c>
      <c r="Q27" s="1">
        <f t="shared" si="6"/>
        <v>10485756</v>
      </c>
      <c r="R27" s="9">
        <f>SUM($Q$21:Q27)</f>
        <v>11983692</v>
      </c>
      <c r="S27" s="277">
        <f t="shared" si="7"/>
        <v>12018350.062655604</v>
      </c>
      <c r="T27" s="9">
        <f t="shared" si="11"/>
        <v>0.13208939621166488</v>
      </c>
      <c r="U27" s="282">
        <f t="shared" si="8"/>
        <v>19079089900974.188</v>
      </c>
    </row>
    <row r="28" spans="1:21" x14ac:dyDescent="0.2">
      <c r="A28" s="97">
        <v>8</v>
      </c>
      <c r="B28" s="93">
        <f t="shared" si="9"/>
        <v>2097152</v>
      </c>
      <c r="C28" s="1">
        <f t="shared" si="2"/>
        <v>16777216</v>
      </c>
      <c r="D28" s="9">
        <f>SUM($C$21:C28)</f>
        <v>19173960</v>
      </c>
      <c r="E28" s="9">
        <f t="shared" si="3"/>
        <v>19197474.655311458</v>
      </c>
      <c r="F28" s="9">
        <f t="shared" si="4"/>
        <v>0.66626975398261701</v>
      </c>
      <c r="G28" s="282">
        <f t="shared" si="5"/>
        <v>245549076023078.59</v>
      </c>
      <c r="O28" s="99">
        <v>8</v>
      </c>
      <c r="P28" s="93">
        <f t="shared" si="10"/>
        <v>10485756</v>
      </c>
      <c r="Q28" s="1">
        <f t="shared" si="6"/>
        <v>83886076</v>
      </c>
      <c r="R28" s="9">
        <f>SUM($Q$21:Q28)</f>
        <v>95869768</v>
      </c>
      <c r="S28" s="277">
        <f t="shared" si="7"/>
        <v>95987341.237312973</v>
      </c>
      <c r="T28" s="9">
        <f t="shared" si="11"/>
        <v>0.13325399527484555</v>
      </c>
      <c r="U28" s="282">
        <f t="shared" si="8"/>
        <v>1227744970311136</v>
      </c>
    </row>
    <row r="29" spans="1:21" x14ac:dyDescent="0.2">
      <c r="A29" s="97">
        <v>9</v>
      </c>
      <c r="B29" s="93">
        <f t="shared" si="9"/>
        <v>16777216</v>
      </c>
      <c r="C29" s="1">
        <f t="shared" si="2"/>
        <v>134217728</v>
      </c>
      <c r="D29" s="9">
        <f>SUM($C$21:C29)</f>
        <v>153391688</v>
      </c>
      <c r="E29" s="9">
        <f t="shared" si="3"/>
        <v>153471562.9396235</v>
      </c>
      <c r="F29" s="9">
        <f t="shared" si="4"/>
        <v>0.66903942801100535</v>
      </c>
      <c r="G29" s="282">
        <f t="shared" si="5"/>
        <v>1.5758233970697178E+16</v>
      </c>
      <c r="O29" s="99">
        <v>9</v>
      </c>
      <c r="P29" s="93">
        <f t="shared" si="10"/>
        <v>83886076</v>
      </c>
      <c r="Q29" s="1">
        <f t="shared" si="6"/>
        <v>671088636</v>
      </c>
      <c r="R29" s="9">
        <f>SUM($Q$21:Q29)</f>
        <v>766958404</v>
      </c>
      <c r="S29" s="277">
        <f t="shared" si="7"/>
        <v>767357778.67937136</v>
      </c>
      <c r="T29" s="9">
        <f t="shared" si="11"/>
        <v>0.13380789188296396</v>
      </c>
      <c r="U29" s="282">
        <f t="shared" si="8"/>
        <v>7.8791166155134096E+16</v>
      </c>
    </row>
    <row r="30" spans="1:21" ht="17" thickBot="1" x14ac:dyDescent="0.25">
      <c r="A30" s="145">
        <v>10</v>
      </c>
      <c r="B30" s="94">
        <f t="shared" si="9"/>
        <v>134217728</v>
      </c>
      <c r="C30" s="111">
        <f t="shared" si="2"/>
        <v>1073741824</v>
      </c>
      <c r="D30" s="10">
        <f>SUM($C$21:C30)</f>
        <v>1227133512</v>
      </c>
      <c r="E30" s="10">
        <f t="shared" si="3"/>
        <v>1227404983.1118348</v>
      </c>
      <c r="F30" s="10">
        <f t="shared" si="4"/>
        <v>0.6703413440654985</v>
      </c>
      <c r="G30" s="283">
        <f t="shared" si="5"/>
        <v>1.0098846477034515E+18</v>
      </c>
      <c r="O30" s="100">
        <v>10</v>
      </c>
      <c r="P30" s="94">
        <f t="shared" si="10"/>
        <v>671088636</v>
      </c>
      <c r="Q30" s="111">
        <f t="shared" si="6"/>
        <v>5368709116</v>
      </c>
      <c r="R30" s="10">
        <f>SUM($Q$21:Q30)</f>
        <v>6135667520</v>
      </c>
      <c r="S30" s="278">
        <f t="shared" si="7"/>
        <v>6137024875.5503244</v>
      </c>
      <c r="T30" s="10">
        <f t="shared" si="11"/>
        <v>0.13406826968712535</v>
      </c>
      <c r="U30" s="283">
        <f t="shared" si="8"/>
        <v>5.049423205598764E+18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6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8</v>
      </c>
      <c r="D33" s="57">
        <f>SUM($C$33:C33)</f>
        <v>8</v>
      </c>
      <c r="E33" s="9">
        <f t="shared" ref="E33:E42" si="13">D33/R7</f>
        <v>19.826665338578159</v>
      </c>
      <c r="F33" s="8">
        <f t="shared" ref="F33:F42" si="14">U7/E33</f>
        <v>0.1093209155628475</v>
      </c>
      <c r="G33" s="284">
        <f>E33*U7</f>
        <v>42.973686606228753</v>
      </c>
      <c r="O33" s="101">
        <v>1</v>
      </c>
      <c r="P33" s="109">
        <v>1</v>
      </c>
      <c r="Q33" s="110">
        <f>P33*8+28</f>
        <v>36</v>
      </c>
      <c r="R33" s="57">
        <f>SUM($Q$21)</f>
        <v>36</v>
      </c>
      <c r="S33" s="276">
        <f>R33/R7</f>
        <v>89.219994023601728</v>
      </c>
      <c r="T33" s="8">
        <f>U7/S33</f>
        <v>2.4293536791743887E-2</v>
      </c>
      <c r="U33" s="284">
        <f>S33*U7</f>
        <v>193.38158972802941</v>
      </c>
    </row>
    <row r="34" spans="1:21" x14ac:dyDescent="0.2">
      <c r="A34" s="97">
        <v>2</v>
      </c>
      <c r="B34" s="93">
        <f t="shared" ref="B34:B42" si="15">B33*($O$2+1)</f>
        <v>9</v>
      </c>
      <c r="C34" s="1">
        <f t="shared" si="12"/>
        <v>72</v>
      </c>
      <c r="D34" s="9">
        <f>SUM($C$33:C34)</f>
        <v>80</v>
      </c>
      <c r="E34" s="9">
        <f t="shared" si="13"/>
        <v>103.22578305523362</v>
      </c>
      <c r="F34" s="9">
        <f t="shared" si="14"/>
        <v>0.29680131261840054</v>
      </c>
      <c r="G34" s="282">
        <f t="shared" ref="G34:G42" si="16">E34*U8</f>
        <v>3162.5848735774016</v>
      </c>
      <c r="O34" s="99">
        <v>2</v>
      </c>
      <c r="P34" s="93">
        <f>Q33+1</f>
        <v>37</v>
      </c>
      <c r="Q34" s="1">
        <f t="shared" ref="Q34:Q42" si="17">P34*8+28</f>
        <v>324</v>
      </c>
      <c r="R34" s="9">
        <f>SUM($Q$33:Q34)</f>
        <v>360</v>
      </c>
      <c r="S34" s="277">
        <f>R34/R8</f>
        <v>464.51602374855128</v>
      </c>
      <c r="T34" s="9">
        <f t="shared" ref="T34:T42" si="18">U8/S34</f>
        <v>6.5955847248533456E-2</v>
      </c>
      <c r="U34" s="282">
        <f t="shared" ref="U34:U42" si="19">S34*U8</f>
        <v>14231.631931098307</v>
      </c>
    </row>
    <row r="35" spans="1:21" x14ac:dyDescent="0.2">
      <c r="A35" s="97">
        <v>3</v>
      </c>
      <c r="B35" s="93">
        <f t="shared" si="15"/>
        <v>81</v>
      </c>
      <c r="C35" s="1">
        <f t="shared" si="12"/>
        <v>648</v>
      </c>
      <c r="D35" s="9">
        <f>SUM($C$33:C35)</f>
        <v>728</v>
      </c>
      <c r="E35" s="9">
        <f t="shared" si="13"/>
        <v>801.11269983696513</v>
      </c>
      <c r="F35" s="9">
        <f t="shared" si="14"/>
        <v>0.38905371846024672</v>
      </c>
      <c r="G35" s="282">
        <f t="shared" si="16"/>
        <v>249687.50151688966</v>
      </c>
      <c r="O35" s="99">
        <v>3</v>
      </c>
      <c r="P35" s="93">
        <f t="shared" ref="P35:P42" si="20">Q34+1</f>
        <v>325</v>
      </c>
      <c r="Q35" s="1">
        <f t="shared" si="17"/>
        <v>2628</v>
      </c>
      <c r="R35" s="9">
        <f>SUM($Q$33:Q35)</f>
        <v>2988</v>
      </c>
      <c r="S35" s="277">
        <f t="shared" ref="S35:S42" si="21">R35/R9</f>
        <v>3288.0834438363349</v>
      </c>
      <c r="T35" s="9">
        <f t="shared" si="18"/>
        <v>9.4789527121505887E-2</v>
      </c>
      <c r="U35" s="282">
        <f t="shared" si="19"/>
        <v>1024816.2836984427</v>
      </c>
    </row>
    <row r="36" spans="1:21" x14ac:dyDescent="0.2">
      <c r="A36" s="97">
        <v>4</v>
      </c>
      <c r="B36" s="93">
        <f t="shared" si="15"/>
        <v>729</v>
      </c>
      <c r="C36" s="1">
        <f t="shared" si="12"/>
        <v>5832</v>
      </c>
      <c r="D36" s="9">
        <f>SUM($C$33:C36)</f>
        <v>6560</v>
      </c>
      <c r="E36" s="9">
        <f t="shared" si="13"/>
        <v>6819.4834713770006</v>
      </c>
      <c r="F36" s="9">
        <f t="shared" si="14"/>
        <v>0.41064193240324415</v>
      </c>
      <c r="G36" s="282">
        <f t="shared" si="16"/>
        <v>19097048.768898487</v>
      </c>
      <c r="O36" s="99">
        <v>4</v>
      </c>
      <c r="P36" s="93">
        <f t="shared" si="20"/>
        <v>2629</v>
      </c>
      <c r="Q36" s="1">
        <f t="shared" si="17"/>
        <v>21060</v>
      </c>
      <c r="R36" s="9">
        <f>SUM($Q$33:Q36)</f>
        <v>24048</v>
      </c>
      <c r="S36" s="277">
        <f t="shared" si="21"/>
        <v>24999.228432877153</v>
      </c>
      <c r="T36" s="9">
        <f t="shared" si="18"/>
        <v>0.11201809200620763</v>
      </c>
      <c r="U36" s="282">
        <f t="shared" si="19"/>
        <v>70006986.096718118</v>
      </c>
    </row>
    <row r="37" spans="1:21" x14ac:dyDescent="0.2">
      <c r="A37" s="97">
        <v>5</v>
      </c>
      <c r="B37" s="93">
        <f t="shared" si="15"/>
        <v>6561</v>
      </c>
      <c r="C37" s="1">
        <f t="shared" si="12"/>
        <v>52488</v>
      </c>
      <c r="D37" s="9">
        <f>SUM($C$33:C37)</f>
        <v>59048</v>
      </c>
      <c r="E37" s="9">
        <f t="shared" si="13"/>
        <v>60010.698948829573</v>
      </c>
      <c r="F37" s="9">
        <f t="shared" si="14"/>
        <v>0.39566264251308347</v>
      </c>
      <c r="G37" s="282">
        <f t="shared" si="16"/>
        <v>1424893539.261539</v>
      </c>
      <c r="O37" s="99">
        <v>5</v>
      </c>
      <c r="P37" s="93">
        <f t="shared" si="20"/>
        <v>21061</v>
      </c>
      <c r="Q37" s="1">
        <f t="shared" si="17"/>
        <v>168516</v>
      </c>
      <c r="R37" s="9">
        <f>SUM($Q$33:Q37)</f>
        <v>192564</v>
      </c>
      <c r="S37" s="277">
        <f t="shared" si="21"/>
        <v>195703.49939680289</v>
      </c>
      <c r="T37" s="9">
        <f t="shared" si="18"/>
        <v>0.121326352356165</v>
      </c>
      <c r="U37" s="282">
        <f t="shared" si="19"/>
        <v>4646782270.260787</v>
      </c>
    </row>
    <row r="38" spans="1:21" x14ac:dyDescent="0.2">
      <c r="A38" s="97">
        <v>6</v>
      </c>
      <c r="B38" s="93">
        <f t="shared" si="15"/>
        <v>59049</v>
      </c>
      <c r="C38" s="1">
        <f t="shared" si="12"/>
        <v>472392</v>
      </c>
      <c r="D38" s="9">
        <f>SUM($C$33:C38)</f>
        <v>531440</v>
      </c>
      <c r="E38" s="9">
        <f t="shared" si="13"/>
        <v>535075.80225162546</v>
      </c>
      <c r="F38" s="9">
        <f t="shared" si="14"/>
        <v>0.36551466895210155</v>
      </c>
      <c r="G38" s="282">
        <f t="shared" si="16"/>
        <v>104649084534.40805</v>
      </c>
      <c r="O38" s="99">
        <v>6</v>
      </c>
      <c r="P38" s="93">
        <f t="shared" si="20"/>
        <v>168517</v>
      </c>
      <c r="Q38" s="1">
        <f t="shared" si="17"/>
        <v>1348164</v>
      </c>
      <c r="R38" s="9">
        <f>SUM($Q$33:Q38)</f>
        <v>1540728</v>
      </c>
      <c r="S38" s="277">
        <f t="shared" si="21"/>
        <v>1551268.7615752339</v>
      </c>
      <c r="T38" s="9">
        <f t="shared" si="18"/>
        <v>0.1260761897414111</v>
      </c>
      <c r="U38" s="282">
        <f t="shared" si="19"/>
        <v>303394126743.43182</v>
      </c>
    </row>
    <row r="39" spans="1:21" x14ac:dyDescent="0.2">
      <c r="A39" s="97">
        <v>7</v>
      </c>
      <c r="B39" s="93">
        <f t="shared" si="15"/>
        <v>531441</v>
      </c>
      <c r="C39" s="1">
        <f t="shared" si="12"/>
        <v>4251528</v>
      </c>
      <c r="D39" s="9">
        <f>SUM($C$33:C39)</f>
        <v>4782968</v>
      </c>
      <c r="E39" s="9">
        <f t="shared" si="13"/>
        <v>4796800.8325380646</v>
      </c>
      <c r="F39" s="9">
        <f t="shared" si="14"/>
        <v>0.33094903429555844</v>
      </c>
      <c r="G39" s="282">
        <f t="shared" si="16"/>
        <v>7614905028056.6885</v>
      </c>
      <c r="O39" s="99">
        <v>7</v>
      </c>
      <c r="P39" s="93">
        <f t="shared" si="20"/>
        <v>1348165</v>
      </c>
      <c r="Q39" s="1">
        <f t="shared" si="17"/>
        <v>10785348</v>
      </c>
      <c r="R39" s="9">
        <f>SUM($Q$33:Q39)</f>
        <v>12326076</v>
      </c>
      <c r="S39" s="277">
        <f t="shared" si="21"/>
        <v>12361724.272194056</v>
      </c>
      <c r="T39" s="9">
        <f t="shared" si="18"/>
        <v>0.12842032133069425</v>
      </c>
      <c r="U39" s="282">
        <f t="shared" si="19"/>
        <v>19624195292255.535</v>
      </c>
    </row>
    <row r="40" spans="1:21" x14ac:dyDescent="0.2">
      <c r="A40" s="97">
        <v>8</v>
      </c>
      <c r="B40" s="93">
        <f t="shared" si="15"/>
        <v>4782969</v>
      </c>
      <c r="C40" s="1">
        <f t="shared" si="12"/>
        <v>38263752</v>
      </c>
      <c r="D40" s="9">
        <f>SUM($C$33:C40)</f>
        <v>43046720</v>
      </c>
      <c r="E40" s="9">
        <f t="shared" si="13"/>
        <v>43099511.848063141</v>
      </c>
      <c r="F40" s="9">
        <f t="shared" si="14"/>
        <v>0.29677126647680802</v>
      </c>
      <c r="G40" s="282">
        <f t="shared" si="16"/>
        <v>551272784642513.94</v>
      </c>
      <c r="O40" s="99">
        <v>8</v>
      </c>
      <c r="P40" s="93">
        <f t="shared" si="20"/>
        <v>10785349</v>
      </c>
      <c r="Q40" s="1">
        <f t="shared" si="17"/>
        <v>86282820</v>
      </c>
      <c r="R40" s="9">
        <f>SUM($Q$33:Q40)</f>
        <v>98608896</v>
      </c>
      <c r="S40" s="277">
        <f t="shared" si="21"/>
        <v>98729828.462573364</v>
      </c>
      <c r="T40" s="9">
        <f t="shared" si="18"/>
        <v>0.12955250621680767</v>
      </c>
      <c r="U40" s="282">
        <f t="shared" si="19"/>
        <v>1262823292656073.5</v>
      </c>
    </row>
    <row r="41" spans="1:21" x14ac:dyDescent="0.2">
      <c r="A41" s="97">
        <v>9</v>
      </c>
      <c r="B41" s="93">
        <f t="shared" si="15"/>
        <v>43046721</v>
      </c>
      <c r="C41" s="1">
        <f t="shared" si="12"/>
        <v>344373768</v>
      </c>
      <c r="D41" s="9">
        <f>SUM($C$33:C41)</f>
        <v>387420488</v>
      </c>
      <c r="E41" s="9">
        <f t="shared" si="13"/>
        <v>387622227.66719699</v>
      </c>
      <c r="F41" s="9">
        <f t="shared" si="14"/>
        <v>0.26489328876474549</v>
      </c>
      <c r="G41" s="282">
        <f t="shared" si="16"/>
        <v>3.980047924725672E+16</v>
      </c>
      <c r="O41" s="99">
        <v>9</v>
      </c>
      <c r="P41" s="93">
        <f t="shared" si="20"/>
        <v>86282821</v>
      </c>
      <c r="Q41" s="1">
        <f t="shared" si="17"/>
        <v>690262596</v>
      </c>
      <c r="R41" s="9">
        <f>SUM($Q$33:Q41)</f>
        <v>788871492</v>
      </c>
      <c r="S41" s="277">
        <f t="shared" si="21"/>
        <v>789282277.37967587</v>
      </c>
      <c r="T41" s="9">
        <f t="shared" si="18"/>
        <v>0.13009100752390049</v>
      </c>
      <c r="U41" s="282">
        <f t="shared" si="19"/>
        <v>8.1042341379990336E+16</v>
      </c>
    </row>
    <row r="42" spans="1:21" ht="17" thickBot="1" x14ac:dyDescent="0.25">
      <c r="A42" s="145">
        <v>10</v>
      </c>
      <c r="B42" s="94">
        <f t="shared" si="15"/>
        <v>387420489</v>
      </c>
      <c r="C42" s="111">
        <f t="shared" si="12"/>
        <v>3099363912</v>
      </c>
      <c r="D42" s="10">
        <f>SUM($C$33:C42)</f>
        <v>3486784400</v>
      </c>
      <c r="E42" s="9">
        <f t="shared" si="13"/>
        <v>3487555759.6186066</v>
      </c>
      <c r="F42" s="10">
        <f t="shared" si="14"/>
        <v>0.23591889644277853</v>
      </c>
      <c r="G42" s="283">
        <f t="shared" si="16"/>
        <v>2.8694921954114888E+18</v>
      </c>
      <c r="O42" s="100">
        <v>10</v>
      </c>
      <c r="P42" s="94">
        <f t="shared" si="20"/>
        <v>690262597</v>
      </c>
      <c r="Q42" s="111">
        <f t="shared" si="17"/>
        <v>5522100804</v>
      </c>
      <c r="R42" s="10">
        <f>SUM($Q$33:Q42)</f>
        <v>6310972296</v>
      </c>
      <c r="S42" s="278">
        <f t="shared" si="21"/>
        <v>6312368433.1352015</v>
      </c>
      <c r="T42" s="10">
        <f t="shared" si="18"/>
        <v>0.130344151297142</v>
      </c>
      <c r="U42" s="283">
        <f t="shared" si="19"/>
        <v>5.1936924315796879E+18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6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8</v>
      </c>
      <c r="D45" s="57">
        <f>SUM(C45:C45)</f>
        <v>8</v>
      </c>
      <c r="E45" s="57">
        <f t="shared" ref="E45:E54" si="23">D45/R7</f>
        <v>19.826665338578159</v>
      </c>
      <c r="F45" s="8">
        <f t="shared" ref="F45:F54" si="24">U7/E45</f>
        <v>0.1093209155628475</v>
      </c>
      <c r="G45" s="281">
        <f>E45*U7</f>
        <v>42.973686606228753</v>
      </c>
      <c r="O45" s="101">
        <v>1</v>
      </c>
      <c r="P45" s="109">
        <v>1</v>
      </c>
      <c r="Q45" s="110">
        <f>P45*8+28</f>
        <v>36</v>
      </c>
      <c r="R45" s="57">
        <f>SUM($Q$21)</f>
        <v>36</v>
      </c>
      <c r="S45" s="276">
        <f>R45/R7</f>
        <v>89.219994023601728</v>
      </c>
      <c r="T45" s="8">
        <f>U7/S45</f>
        <v>2.4293536791743887E-2</v>
      </c>
      <c r="U45" s="284">
        <f>S45*U7</f>
        <v>193.38158972802941</v>
      </c>
    </row>
    <row r="46" spans="1:21" x14ac:dyDescent="0.2">
      <c r="A46" s="97">
        <v>2</v>
      </c>
      <c r="B46" s="93">
        <f t="shared" ref="B46:B54" si="25">B45*$O$2*2</f>
        <v>16</v>
      </c>
      <c r="C46" s="1">
        <f t="shared" si="22"/>
        <v>128</v>
      </c>
      <c r="D46" s="9">
        <f>SUM($C$45:C46)</f>
        <v>136</v>
      </c>
      <c r="E46" s="9">
        <f t="shared" si="23"/>
        <v>175.48383119389715</v>
      </c>
      <c r="F46" s="9">
        <f t="shared" si="24"/>
        <v>0.17458900742258857</v>
      </c>
      <c r="G46" s="282">
        <f t="shared" ref="G46:G54" si="26">E46*U8</f>
        <v>5376.3942850815829</v>
      </c>
      <c r="O46" s="99">
        <v>2</v>
      </c>
      <c r="P46" s="93">
        <f>Q45*2</f>
        <v>72</v>
      </c>
      <c r="Q46" s="1">
        <f t="shared" ref="Q46:Q54" si="27">P46*8+28</f>
        <v>604</v>
      </c>
      <c r="R46" s="9">
        <f>SUM($Q$45:Q46)</f>
        <v>640</v>
      </c>
      <c r="S46" s="277">
        <f t="shared" ref="S46:S54" si="28">R46/R8</f>
        <v>825.80626444186896</v>
      </c>
      <c r="T46" s="9">
        <f t="shared" ref="T46:T54" si="29">U8/S46</f>
        <v>3.7100164077300067E-2</v>
      </c>
      <c r="U46" s="282">
        <f t="shared" ref="U46:U54" si="30">S46*U8</f>
        <v>25300.678988619213</v>
      </c>
    </row>
    <row r="47" spans="1:21" x14ac:dyDescent="0.2">
      <c r="A47" s="97">
        <v>3</v>
      </c>
      <c r="B47" s="93">
        <f t="shared" si="25"/>
        <v>256</v>
      </c>
      <c r="C47" s="1">
        <f t="shared" si="22"/>
        <v>2048</v>
      </c>
      <c r="D47" s="9">
        <f>SUM($C$45:C47)</f>
        <v>2184</v>
      </c>
      <c r="E47" s="9">
        <f t="shared" si="23"/>
        <v>2403.3380995108955</v>
      </c>
      <c r="F47" s="9">
        <f t="shared" si="24"/>
        <v>0.12968457282008222</v>
      </c>
      <c r="G47" s="282">
        <f t="shared" si="26"/>
        <v>749062.50455066911</v>
      </c>
      <c r="O47" s="99">
        <v>3</v>
      </c>
      <c r="P47" s="93">
        <f t="shared" ref="P47:P54" si="31">Q46*2</f>
        <v>1208</v>
      </c>
      <c r="Q47" s="1">
        <f t="shared" si="27"/>
        <v>9692</v>
      </c>
      <c r="R47" s="9">
        <f>SUM($Q$45:Q47)</f>
        <v>10332</v>
      </c>
      <c r="S47" s="277">
        <f t="shared" si="28"/>
        <v>11369.637932301544</v>
      </c>
      <c r="T47" s="9">
        <f t="shared" si="29"/>
        <v>2.7412999132700309E-2</v>
      </c>
      <c r="U47" s="282">
        <f t="shared" si="30"/>
        <v>3543641.8484512423</v>
      </c>
    </row>
    <row r="48" spans="1:21" x14ac:dyDescent="0.2">
      <c r="A48" s="97">
        <v>4</v>
      </c>
      <c r="B48" s="93">
        <f t="shared" si="25"/>
        <v>4096</v>
      </c>
      <c r="C48" s="1">
        <f t="shared" si="22"/>
        <v>32768</v>
      </c>
      <c r="D48" s="9">
        <f>SUM($C$45:C48)</f>
        <v>34952</v>
      </c>
      <c r="E48" s="9">
        <f t="shared" si="23"/>
        <v>36334.540593226971</v>
      </c>
      <c r="F48" s="9">
        <f t="shared" si="24"/>
        <v>7.707172913038686E-2</v>
      </c>
      <c r="G48" s="282">
        <f t="shared" si="26"/>
        <v>101750007.40404572</v>
      </c>
      <c r="O48" s="99">
        <v>4</v>
      </c>
      <c r="P48" s="93">
        <f t="shared" si="31"/>
        <v>19384</v>
      </c>
      <c r="Q48" s="1">
        <f t="shared" si="27"/>
        <v>155100</v>
      </c>
      <c r="R48" s="9">
        <f>SUM($Q$45:Q48)</f>
        <v>165432</v>
      </c>
      <c r="S48" s="277">
        <f t="shared" si="28"/>
        <v>171975.73012756708</v>
      </c>
      <c r="T48" s="9">
        <f t="shared" si="29"/>
        <v>1.6283494587294365E-2</v>
      </c>
      <c r="U48" s="282">
        <f t="shared" si="30"/>
        <v>481594965.23420954</v>
      </c>
    </row>
    <row r="49" spans="1:21" x14ac:dyDescent="0.2">
      <c r="A49" s="97">
        <v>5</v>
      </c>
      <c r="B49" s="93">
        <f t="shared" si="25"/>
        <v>65536</v>
      </c>
      <c r="C49" s="1">
        <f t="shared" si="22"/>
        <v>524288</v>
      </c>
      <c r="D49" s="9">
        <f>SUM($C$45:C49)</f>
        <v>559240</v>
      </c>
      <c r="E49" s="9">
        <f t="shared" si="23"/>
        <v>568357.6629207331</v>
      </c>
      <c r="F49" s="9">
        <f t="shared" si="24"/>
        <v>4.1776496164638716E-2</v>
      </c>
      <c r="G49" s="282">
        <f t="shared" si="26"/>
        <v>13495079645.316065</v>
      </c>
      <c r="O49" s="99">
        <v>5</v>
      </c>
      <c r="P49" s="93">
        <f t="shared" si="31"/>
        <v>310200</v>
      </c>
      <c r="Q49" s="1">
        <f t="shared" si="27"/>
        <v>2481628</v>
      </c>
      <c r="R49" s="9">
        <f>SUM($Q$45:Q49)</f>
        <v>2647060</v>
      </c>
      <c r="S49" s="277">
        <f t="shared" si="28"/>
        <v>2690216.7856572415</v>
      </c>
      <c r="T49" s="9">
        <f t="shared" si="29"/>
        <v>8.8260514363529934E-3</v>
      </c>
      <c r="U49" s="282">
        <f t="shared" si="30"/>
        <v>63876485097.507942</v>
      </c>
    </row>
    <row r="50" spans="1:21" x14ac:dyDescent="0.2">
      <c r="A50" s="97">
        <v>6</v>
      </c>
      <c r="B50" s="93">
        <f t="shared" si="25"/>
        <v>1048576</v>
      </c>
      <c r="C50" s="1">
        <f t="shared" si="22"/>
        <v>8388608</v>
      </c>
      <c r="D50" s="9">
        <f>SUM($C$45:C50)</f>
        <v>8947848</v>
      </c>
      <c r="E50" s="9">
        <f t="shared" si="23"/>
        <v>9009063.9527051076</v>
      </c>
      <c r="F50" s="9">
        <f t="shared" si="24"/>
        <v>2.1709031676432684E-2</v>
      </c>
      <c r="G50" s="282">
        <f t="shared" si="26"/>
        <v>1761975202756.7251</v>
      </c>
      <c r="O50" s="99">
        <v>6</v>
      </c>
      <c r="P50" s="93">
        <f t="shared" si="31"/>
        <v>4963256</v>
      </c>
      <c r="Q50" s="1">
        <f t="shared" si="27"/>
        <v>39706076</v>
      </c>
      <c r="R50" s="9">
        <f>SUM($Q$45:Q50)</f>
        <v>42353136</v>
      </c>
      <c r="S50" s="277">
        <f t="shared" si="28"/>
        <v>42642891.432846978</v>
      </c>
      <c r="T50" s="9">
        <f t="shared" si="29"/>
        <v>4.5864163557547393E-3</v>
      </c>
      <c r="U50" s="282">
        <f t="shared" si="30"/>
        <v>8340013754255.0059</v>
      </c>
    </row>
    <row r="51" spans="1:21" x14ac:dyDescent="0.2">
      <c r="A51" s="97">
        <v>7</v>
      </c>
      <c r="B51" s="93">
        <f t="shared" si="25"/>
        <v>16777216</v>
      </c>
      <c r="C51" s="1">
        <f t="shared" si="22"/>
        <v>134217728</v>
      </c>
      <c r="D51" s="9">
        <f>SUM($C$45:C51)</f>
        <v>143165576</v>
      </c>
      <c r="E51" s="9">
        <f t="shared" si="23"/>
        <v>143579625.48517817</v>
      </c>
      <c r="F51" s="9">
        <f t="shared" si="24"/>
        <v>1.1056559019931987E-2</v>
      </c>
      <c r="G51" s="282">
        <f t="shared" si="26"/>
        <v>227932167751704</v>
      </c>
      <c r="O51" s="99">
        <v>7</v>
      </c>
      <c r="P51" s="93">
        <f t="shared" si="31"/>
        <v>79412152</v>
      </c>
      <c r="Q51" s="1">
        <f t="shared" si="27"/>
        <v>635297244</v>
      </c>
      <c r="R51" s="9">
        <f>SUM($Q$45:Q51)</f>
        <v>677650380</v>
      </c>
      <c r="S51" s="277">
        <f t="shared" si="28"/>
        <v>679610214.1920532</v>
      </c>
      <c r="T51" s="9">
        <f t="shared" si="29"/>
        <v>2.3358927957312712E-3</v>
      </c>
      <c r="U51" s="282">
        <f t="shared" si="30"/>
        <v>1078878906554784.9</v>
      </c>
    </row>
    <row r="52" spans="1:21" x14ac:dyDescent="0.2">
      <c r="A52" s="97">
        <v>8</v>
      </c>
      <c r="B52" s="93">
        <f t="shared" si="25"/>
        <v>268435456</v>
      </c>
      <c r="C52" s="1">
        <f t="shared" si="22"/>
        <v>2147483648</v>
      </c>
      <c r="D52" s="9">
        <f>SUM($C$45:C52)</f>
        <v>2290649224</v>
      </c>
      <c r="E52" s="9">
        <f t="shared" si="23"/>
        <v>2293458441.6546636</v>
      </c>
      <c r="F52" s="9">
        <f t="shared" si="24"/>
        <v>5.5770344399411805E-3</v>
      </c>
      <c r="G52" s="282">
        <f t="shared" si="26"/>
        <v>2.9334931357225212E+16</v>
      </c>
      <c r="O52" s="99">
        <v>8</v>
      </c>
      <c r="P52" s="93">
        <f t="shared" si="31"/>
        <v>1270594488</v>
      </c>
      <c r="Q52" s="1">
        <f t="shared" si="27"/>
        <v>10164755932</v>
      </c>
      <c r="R52" s="9">
        <f>SUM($Q$45:Q52)</f>
        <v>10842406312</v>
      </c>
      <c r="S52" s="277">
        <f t="shared" si="28"/>
        <v>10855703275.547094</v>
      </c>
      <c r="T52" s="9">
        <f t="shared" si="29"/>
        <v>1.1782467142864384E-3</v>
      </c>
      <c r="U52" s="282">
        <f t="shared" si="30"/>
        <v>1.3885200823295736E+17</v>
      </c>
    </row>
    <row r="53" spans="1:21" x14ac:dyDescent="0.2">
      <c r="A53" s="97">
        <v>9</v>
      </c>
      <c r="B53" s="93">
        <f t="shared" si="25"/>
        <v>4294967296</v>
      </c>
      <c r="C53" s="1">
        <f t="shared" si="22"/>
        <v>34359738368</v>
      </c>
      <c r="D53" s="9">
        <f>SUM($C$45:C53)</f>
        <v>36650387592</v>
      </c>
      <c r="E53" s="9">
        <f t="shared" si="23"/>
        <v>36669472377.715958</v>
      </c>
      <c r="F53" s="9">
        <f t="shared" si="24"/>
        <v>2.8001091923940107E-3</v>
      </c>
      <c r="G53" s="282">
        <f t="shared" si="26"/>
        <v>3.7651673980631383E+18</v>
      </c>
      <c r="O53" s="99">
        <v>9</v>
      </c>
      <c r="P53" s="93">
        <f t="shared" si="31"/>
        <v>20329511864</v>
      </c>
      <c r="Q53" s="1">
        <f t="shared" si="27"/>
        <v>162636094940</v>
      </c>
      <c r="R53" s="9">
        <f>SUM($Q$45:Q53)</f>
        <v>173478501252</v>
      </c>
      <c r="S53" s="277">
        <f t="shared" si="28"/>
        <v>173568835904.38013</v>
      </c>
      <c r="T53" s="9">
        <f t="shared" si="29"/>
        <v>5.9157236464757305E-4</v>
      </c>
      <c r="U53" s="282">
        <f t="shared" si="30"/>
        <v>1.7821792349106293E+19</v>
      </c>
    </row>
    <row r="54" spans="1:21" ht="17" thickBot="1" x14ac:dyDescent="0.25">
      <c r="A54" s="145">
        <v>10</v>
      </c>
      <c r="B54" s="94">
        <f t="shared" si="25"/>
        <v>68719476736</v>
      </c>
      <c r="C54" s="111">
        <f t="shared" si="22"/>
        <v>549755813888</v>
      </c>
      <c r="D54" s="10">
        <f>SUM($C$45:C54)</f>
        <v>586406201480</v>
      </c>
      <c r="E54" s="10">
        <f t="shared" si="23"/>
        <v>586535928475.42944</v>
      </c>
      <c r="F54" s="10">
        <f t="shared" si="24"/>
        <v>1.402779039010472E-3</v>
      </c>
      <c r="G54" s="283">
        <f t="shared" si="26"/>
        <v>4.8259021076489758E+20</v>
      </c>
      <c r="O54" s="100">
        <v>10</v>
      </c>
      <c r="P54" s="94">
        <f t="shared" si="31"/>
        <v>325272189880</v>
      </c>
      <c r="Q54" s="111">
        <f t="shared" si="27"/>
        <v>2602177519068</v>
      </c>
      <c r="R54" s="10">
        <f>SUM($Q$45:Q54)</f>
        <v>2775656020320</v>
      </c>
      <c r="S54" s="278">
        <f t="shared" si="28"/>
        <v>2776270061431.6953</v>
      </c>
      <c r="T54" s="10">
        <f t="shared" si="29"/>
        <v>2.9636176880702236E-4</v>
      </c>
      <c r="U54" s="283">
        <f t="shared" si="30"/>
        <v>2.2842603309384868E+21</v>
      </c>
    </row>
  </sheetData>
  <mergeCells count="2">
    <mergeCell ref="A18:F18"/>
    <mergeCell ref="O18:T18"/>
  </mergeCells>
  <conditionalFormatting sqref="F45:F54">
    <cfRule type="cellIs" dxfId="748" priority="69" operator="equal">
      <formula>MAX($F$45:$F$54)</formula>
    </cfRule>
  </conditionalFormatting>
  <conditionalFormatting sqref="F21:F30">
    <cfRule type="cellIs" dxfId="747" priority="67" operator="equal">
      <formula>MAX($F$21:$F$30)</formula>
    </cfRule>
  </conditionalFormatting>
  <conditionalFormatting sqref="E33:E42">
    <cfRule type="cellIs" dxfId="746" priority="63" stopIfTrue="1" operator="lessThan">
      <formula>0</formula>
    </cfRule>
    <cfRule type="cellIs" dxfId="745" priority="64" operator="equal">
      <formula>MIN($E$33:$E$42)</formula>
    </cfRule>
  </conditionalFormatting>
  <conditionalFormatting sqref="E21:E30">
    <cfRule type="cellIs" dxfId="744" priority="59" stopIfTrue="1" operator="lessThan">
      <formula>0</formula>
    </cfRule>
    <cfRule type="cellIs" dxfId="743" priority="60" operator="equal">
      <formula>MIN($E$21:$E$30)</formula>
    </cfRule>
  </conditionalFormatting>
  <conditionalFormatting sqref="E45:E54">
    <cfRule type="cellIs" dxfId="742" priority="55" stopIfTrue="1" operator="lessThan">
      <formula>0</formula>
    </cfRule>
    <cfRule type="cellIs" dxfId="741" priority="56" operator="equal">
      <formula>MIN($E$45:$E$54)</formula>
    </cfRule>
  </conditionalFormatting>
  <conditionalFormatting sqref="F33:F42">
    <cfRule type="cellIs" dxfId="740" priority="41" operator="lessThanOrEqual">
      <formula>0</formula>
    </cfRule>
    <cfRule type="cellIs" dxfId="739" priority="42" operator="equal">
      <formula>MAX($F$33:$F$42)</formula>
    </cfRule>
  </conditionalFormatting>
  <conditionalFormatting sqref="R7:R16">
    <cfRule type="cellIs" dxfId="738" priority="27" operator="lessThanOrEqual">
      <formula>0</formula>
    </cfRule>
    <cfRule type="cellIs" dxfId="737" priority="28" operator="greaterThan">
      <formula>0</formula>
    </cfRule>
  </conditionalFormatting>
  <conditionalFormatting sqref="T21:T30">
    <cfRule type="cellIs" dxfId="736" priority="19" operator="equal">
      <formula>MAX($T$21:$T$30)</formula>
    </cfRule>
  </conditionalFormatting>
  <conditionalFormatting sqref="S33:S42">
    <cfRule type="cellIs" dxfId="735" priority="17" stopIfTrue="1" operator="lessThan">
      <formula>0</formula>
    </cfRule>
    <cfRule type="cellIs" dxfId="734" priority="18" operator="equal">
      <formula>MIN($E$21:$E$30)</formula>
    </cfRule>
  </conditionalFormatting>
  <conditionalFormatting sqref="T33:T42">
    <cfRule type="cellIs" dxfId="733" priority="16" operator="equal">
      <formula>MAX($T$21:$T$30)</formula>
    </cfRule>
  </conditionalFormatting>
  <conditionalFormatting sqref="S45:S54">
    <cfRule type="cellIs" dxfId="732" priority="14" stopIfTrue="1" operator="lessThan">
      <formula>0</formula>
    </cfRule>
    <cfRule type="cellIs" dxfId="731" priority="15" operator="equal">
      <formula>MIN($E$21:$E$30)</formula>
    </cfRule>
  </conditionalFormatting>
  <conditionalFormatting sqref="T45:T54">
    <cfRule type="cellIs" dxfId="730" priority="13" operator="equal">
      <formula>MAX($T$21:$T$30)</formula>
    </cfRule>
  </conditionalFormatting>
  <conditionalFormatting sqref="S21:S30">
    <cfRule type="cellIs" dxfId="729" priority="11" stopIfTrue="1" operator="lessThan">
      <formula>0</formula>
    </cfRule>
    <cfRule type="cellIs" dxfId="728" priority="12" operator="equal">
      <formula>MIN($E$21:$E$30)</formula>
    </cfRule>
  </conditionalFormatting>
  <conditionalFormatting sqref="U7:U16">
    <cfRule type="cellIs" dxfId="727" priority="7" operator="lessThanOrEqual">
      <formula>0</formula>
    </cfRule>
    <cfRule type="cellIs" dxfId="726" priority="8" operator="greaterThan">
      <formula>0</formula>
    </cfRule>
  </conditionalFormatting>
  <conditionalFormatting sqref="S7:T16">
    <cfRule type="cellIs" dxfId="725" priority="1" operator="lessThanOrEqual">
      <formula>0</formula>
    </cfRule>
    <cfRule type="cellIs" dxfId="72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13" max="13" width="9.1640625" bestFit="1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0.99999999999999989</v>
      </c>
    </row>
    <row r="2" spans="1:23" x14ac:dyDescent="0.2">
      <c r="A2" t="s">
        <v>40</v>
      </c>
      <c r="B2" s="149" t="s">
        <v>125</v>
      </c>
      <c r="C2" s="155">
        <f>Analysis!B16</f>
        <v>0.70611685802635826</v>
      </c>
      <c r="D2" s="149" t="s">
        <v>126</v>
      </c>
      <c r="E2" s="155">
        <f>Analysis!L16</f>
        <v>0.29388314197364163</v>
      </c>
      <c r="F2" s="149" t="s">
        <v>47</v>
      </c>
      <c r="G2" s="155">
        <f>Analysis!S16</f>
        <v>6.4632820919161782</v>
      </c>
      <c r="H2" t="s">
        <v>155</v>
      </c>
      <c r="I2" s="169">
        <f>Analysis!T16</f>
        <v>-6.8416329315052291</v>
      </c>
      <c r="J2" t="s">
        <v>48</v>
      </c>
      <c r="K2" s="169">
        <f>C2*G2+E2*I2</f>
        <v>2.5531918611407871</v>
      </c>
      <c r="L2" t="s">
        <v>47</v>
      </c>
      <c r="M2" s="176">
        <v>1</v>
      </c>
      <c r="N2" t="s">
        <v>155</v>
      </c>
      <c r="O2" s="176">
        <v>9</v>
      </c>
    </row>
    <row r="4" spans="1:23" x14ac:dyDescent="0.2">
      <c r="A4" t="s">
        <v>123</v>
      </c>
      <c r="B4">
        <f>$C$2</f>
        <v>0.70611685802635826</v>
      </c>
      <c r="C4" t="s">
        <v>124</v>
      </c>
      <c r="D4">
        <f>$E$2</f>
        <v>0.29388314197364163</v>
      </c>
      <c r="E4" t="s">
        <v>47</v>
      </c>
      <c r="F4">
        <f>G2</f>
        <v>6.4632820919161782</v>
      </c>
      <c r="G4" t="s">
        <v>155</v>
      </c>
      <c r="H4">
        <f>I2</f>
        <v>-6.8416329315052291</v>
      </c>
      <c r="I4" t="s">
        <v>48</v>
      </c>
      <c r="J4">
        <f>K2</f>
        <v>2.5531918611407871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182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0.70611685802635826</v>
      </c>
      <c r="C7" s="95">
        <v>1</v>
      </c>
      <c r="D7" s="109">
        <f>C7*D4</f>
        <v>0.29388314197364163</v>
      </c>
      <c r="E7" s="110"/>
      <c r="F7" s="110"/>
      <c r="G7" s="110"/>
      <c r="H7" s="110"/>
      <c r="I7" s="110"/>
      <c r="J7" s="110"/>
      <c r="K7" s="110"/>
      <c r="L7" s="110"/>
      <c r="M7" s="258"/>
      <c r="N7" s="95">
        <f>B7+D7</f>
        <v>0.99999999999999989</v>
      </c>
      <c r="R7" s="296">
        <f>B7-D7</f>
        <v>0.41223371605271664</v>
      </c>
      <c r="S7" s="297">
        <f>SUM(C7)*B4*F4*POWER(O2,A7-1)</f>
        <v>4.5638324432818802</v>
      </c>
      <c r="T7" s="276">
        <f>SUM(C7)*D4*H4*POWER(O2,A7-1)</f>
        <v>-2.0106405821410931</v>
      </c>
      <c r="U7" s="294">
        <f>S7+T7</f>
        <v>2.5531918611407871</v>
      </c>
      <c r="V7" s="109">
        <f>(U7+W7*D7)/B7</f>
        <v>4.0320167557990123</v>
      </c>
      <c r="W7" s="57">
        <f>COUNT(D7:M7)</f>
        <v>1</v>
      </c>
    </row>
    <row r="8" spans="1:23" x14ac:dyDescent="0.2">
      <c r="A8" s="99">
        <v>2</v>
      </c>
      <c r="B8" s="97">
        <f>C8*B4</f>
        <v>0.89101699997693862</v>
      </c>
      <c r="C8" s="97">
        <f>1/(1-B4*D4)</f>
        <v>1.2618548755051509</v>
      </c>
      <c r="D8" s="93">
        <f>C8*D4</f>
        <v>0.37083787552821212</v>
      </c>
      <c r="E8" s="1">
        <f>D8*D4</f>
        <v>0.1089830000230612</v>
      </c>
      <c r="F8" s="1"/>
      <c r="G8" s="1"/>
      <c r="H8" s="1"/>
      <c r="I8" s="1"/>
      <c r="J8" s="1"/>
      <c r="K8" s="1"/>
      <c r="L8" s="1"/>
      <c r="M8" s="257"/>
      <c r="N8" s="97">
        <f>B8+E8</f>
        <v>0.99999999999999978</v>
      </c>
      <c r="R8" s="298">
        <f>B8-E8</f>
        <v>0.78203399995387746</v>
      </c>
      <c r="S8" s="299">
        <f>SUM(C8:D8)*B4*F4*POWER(O2,A8-1)</f>
        <v>67.062025323694854</v>
      </c>
      <c r="T8" s="277">
        <f>SUM(C8:D8)*D4*H4*POWER(O2,A8-1)</f>
        <v>-29.544824730557373</v>
      </c>
      <c r="U8" s="295">
        <f>S8+T8+U7</f>
        <v>40.07039245427827</v>
      </c>
      <c r="V8" s="93">
        <f>(U8+W8*E8)/B8</f>
        <v>45.216150146817782</v>
      </c>
      <c r="W8" s="9">
        <f>COUNT(D8:M8)</f>
        <v>2</v>
      </c>
    </row>
    <row r="9" spans="1:23" x14ac:dyDescent="0.2">
      <c r="A9" s="99">
        <v>3</v>
      </c>
      <c r="B9" s="97">
        <f>C9*B4</f>
        <v>0.95660979744273267</v>
      </c>
      <c r="C9" s="97">
        <f>1/(1-D4*B4/(1-D4*B4))</f>
        <v>1.3547471449931363</v>
      </c>
      <c r="D9" s="93">
        <f>C9*D4*C8</f>
        <v>0.50239155312716544</v>
      </c>
      <c r="E9" s="1">
        <f>D9*(D4)</f>
        <v>0.14764440813402907</v>
      </c>
      <c r="F9" s="1">
        <f>E9*D4</f>
        <v>4.3390202557267152E-2</v>
      </c>
      <c r="G9" s="1"/>
      <c r="H9" s="1"/>
      <c r="I9" s="1"/>
      <c r="J9" s="1"/>
      <c r="K9" s="1"/>
      <c r="L9" s="1"/>
      <c r="M9" s="257"/>
      <c r="N9" s="97">
        <f>B9+F9</f>
        <v>0.99999999999999978</v>
      </c>
      <c r="R9" s="298">
        <f>B9-F9</f>
        <v>0.91321959488546556</v>
      </c>
      <c r="S9" s="299">
        <f>SUM(C9:E9)*B4*F4*POWER(O2,A9-1)</f>
        <v>741.10902874742203</v>
      </c>
      <c r="T9" s="277">
        <f>SUM(C9:E9)*D4*H4*POWER(O2,A9-1)</f>
        <v>-326.5027600178928</v>
      </c>
      <c r="U9" s="295">
        <f t="shared" ref="U9:U16" si="0">S9+T9+U8</f>
        <v>454.67666118380748</v>
      </c>
      <c r="V9" s="93">
        <f>(U9+W9*F9)/B9</f>
        <v>475.43610049499438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0.98226149993673451</v>
      </c>
      <c r="C10" s="97">
        <f>1/(1-D4*B4/(1-D4*B4/(1-D4*B4)))</f>
        <v>1.3910749881856923</v>
      </c>
      <c r="D10" s="93">
        <f>C10*D4*C9</f>
        <v>0.55383890603996044</v>
      </c>
      <c r="E10" s="1">
        <f>D10*D4*C8</f>
        <v>0.20538444330072803</v>
      </c>
      <c r="F10" s="1">
        <f>E10*D4</f>
        <v>6.0359025509725203E-2</v>
      </c>
      <c r="G10" s="1">
        <f>F10*D4</f>
        <v>1.7738500063265227E-2</v>
      </c>
      <c r="H10" s="1"/>
      <c r="I10" s="1"/>
      <c r="J10" s="1"/>
      <c r="K10" s="1"/>
      <c r="L10" s="1"/>
      <c r="M10" s="257"/>
      <c r="N10" s="97">
        <f>B10+G10</f>
        <v>0.99999999999999978</v>
      </c>
      <c r="R10" s="298">
        <f>B10-G10</f>
        <v>0.96452299987346923</v>
      </c>
      <c r="S10" s="299">
        <f>SUM(C10:F10)*B4*F4*POWER(O2,A10-1)</f>
        <v>7354.9318801206236</v>
      </c>
      <c r="T10" s="277">
        <f>SUM(C10:F10)*D4*H4*POWER(O2,A10-1)</f>
        <v>-3240.2864699431398</v>
      </c>
      <c r="U10" s="295">
        <f t="shared" si="0"/>
        <v>4569.3220713612909</v>
      </c>
      <c r="V10" s="93">
        <f>(U10+W10*G10)/B10</f>
        <v>4651.9109480070729</v>
      </c>
      <c r="W10" s="9">
        <f t="shared" si="1"/>
        <v>4</v>
      </c>
    </row>
    <row r="11" spans="1:23" x14ac:dyDescent="0.2">
      <c r="A11" s="99">
        <v>5</v>
      </c>
      <c r="B11" s="97">
        <f>C11*B4</f>
        <v>0.99267140872046322</v>
      </c>
      <c r="C11" s="97">
        <f>1/(1-D4*B4/(1-D4*B4/(1-D4*B4/(1-D4*B4))))</f>
        <v>1.4058174612840193</v>
      </c>
      <c r="D11" s="93">
        <f>C11*D4*C10</f>
        <v>0.57471714018881392</v>
      </c>
      <c r="E11" s="1">
        <f>D11*D4*C9</f>
        <v>0.22881635778652779</v>
      </c>
      <c r="F11" s="1">
        <f>E11*D4*C8</f>
        <v>8.4853772007659256E-2</v>
      </c>
      <c r="G11" s="1">
        <f>F11*D4</f>
        <v>2.4937093125925944E-2</v>
      </c>
      <c r="H11" s="1">
        <f>G11*D4</f>
        <v>7.3285912795364172E-3</v>
      </c>
      <c r="I11" s="1"/>
      <c r="J11" s="1"/>
      <c r="K11" s="1"/>
      <c r="L11" s="1"/>
      <c r="M11" s="257"/>
      <c r="N11" s="97">
        <f>B11+H11</f>
        <v>0.99999999999999967</v>
      </c>
      <c r="R11" s="298">
        <f>B11-H11</f>
        <v>0.98534281744092678</v>
      </c>
      <c r="S11" s="299">
        <f>SUM(C11:G11)*B4*F4*POWER(O2,A11-1)</f>
        <v>69442.770198409897</v>
      </c>
      <c r="T11" s="277">
        <f>SUM(C11:G11)*D4*H4*POWER(O2,A11-1)</f>
        <v>-30593.684941863517</v>
      </c>
      <c r="U11" s="295">
        <f t="shared" si="0"/>
        <v>43418.407327907669</v>
      </c>
      <c r="V11" s="93">
        <f>(U11+W11*H11)/B11</f>
        <v>43738.98914528999</v>
      </c>
      <c r="W11" s="9">
        <f t="shared" si="1"/>
        <v>5</v>
      </c>
    </row>
    <row r="12" spans="1:23" x14ac:dyDescent="0.2">
      <c r="A12" s="99">
        <v>6</v>
      </c>
      <c r="B12" s="97">
        <f>C12*B4</f>
        <v>0.99695914328677071</v>
      </c>
      <c r="C12" s="97">
        <f>1/(1-D4*B4/(1-D4*B4/(1-D4*B4/(1-D4*B4/(1-D4*B4)))))</f>
        <v>1.4118897346160737</v>
      </c>
      <c r="D12" s="93">
        <f>C12*D4*C11</f>
        <v>0.58331667051163738</v>
      </c>
      <c r="E12" s="1">
        <f>D12*D4*C10</f>
        <v>0.23846772282563036</v>
      </c>
      <c r="F12" s="1">
        <f>E12*D4*C9</f>
        <v>9.4942906642181302E-2</v>
      </c>
      <c r="G12" s="1">
        <f>F12*D4*C8</f>
        <v>3.5208425795659894E-2</v>
      </c>
      <c r="H12" s="1">
        <f>G12*D4</f>
        <v>1.0347162796774343E-2</v>
      </c>
      <c r="I12" s="1">
        <f>H12*D4</f>
        <v>3.0408567132288169E-3</v>
      </c>
      <c r="J12" s="1"/>
      <c r="K12" s="1"/>
      <c r="L12" s="1"/>
      <c r="M12" s="257"/>
      <c r="N12" s="97">
        <f>B12+I12</f>
        <v>0.99999999999999956</v>
      </c>
      <c r="R12" s="298">
        <f>B12-I12</f>
        <v>0.99391828657354186</v>
      </c>
      <c r="S12" s="299">
        <f>SUM(C12:H12)*B4*F4*POWER(O2,A12-1)</f>
        <v>639815.16755189293</v>
      </c>
      <c r="T12" s="277">
        <f>SUM(C12:H12)*D4*H4*POWER(O2,A12-1)</f>
        <v>-281876.76846964902</v>
      </c>
      <c r="U12" s="295">
        <f t="shared" si="0"/>
        <v>401356.80641015159</v>
      </c>
      <c r="V12" s="93">
        <f>(U12+W12*I12)/B12</f>
        <v>402581.01583992736</v>
      </c>
      <c r="W12" s="9">
        <f t="shared" si="1"/>
        <v>6</v>
      </c>
    </row>
    <row r="13" spans="1:23" x14ac:dyDescent="0.2">
      <c r="A13" s="99">
        <v>7</v>
      </c>
      <c r="B13" s="97">
        <f>C13*B4</f>
        <v>0.99873600673995289</v>
      </c>
      <c r="C13" s="97">
        <f>1/(1-D4*B4/(1-D4*B4/(1-D4*B4/(1-D4*B4/(1-D4*B4/(1-D4*B4))))))</f>
        <v>1.4144061218584751</v>
      </c>
      <c r="D13" s="93">
        <f>C13*D4*C12</f>
        <v>0.5868803685225229</v>
      </c>
      <c r="E13" s="1">
        <f>D13*D4*C11</f>
        <v>0.24246730758212529</v>
      </c>
      <c r="F13" s="1">
        <f>E13*D4*C10</f>
        <v>9.9123905798981587E-2</v>
      </c>
      <c r="G13" s="1">
        <f>F13*D4*C9</f>
        <v>3.946492893364259E-2</v>
      </c>
      <c r="H13" s="1">
        <f>G13*D4*C8</f>
        <v>1.4635090403623888E-2</v>
      </c>
      <c r="I13" s="1">
        <f>H13*D4</f>
        <v>4.3010063508852787E-3</v>
      </c>
      <c r="J13" s="1">
        <f>I13*D4</f>
        <v>1.2639932600467527E-3</v>
      </c>
      <c r="K13" s="1"/>
      <c r="L13" s="1"/>
      <c r="M13" s="257"/>
      <c r="N13" s="97">
        <f>B13+J13</f>
        <v>0.99999999999999967</v>
      </c>
      <c r="R13" s="298">
        <f>B13-J13</f>
        <v>0.99747201347990611</v>
      </c>
      <c r="S13" s="299">
        <f>SUM(C13:I13)*B4*F4*POWER(O2,A13-1)</f>
        <v>5824079.866202483</v>
      </c>
      <c r="T13" s="277">
        <f>SUM(C13:I13)*D4*H4*POWER(O2,A13-1)</f>
        <v>-2565854.7894008029</v>
      </c>
      <c r="U13" s="295">
        <f t="shared" si="0"/>
        <v>3659581.8832118316</v>
      </c>
      <c r="V13" s="93">
        <f>(U13+W13*J13)/B13</f>
        <v>3664213.4331426509</v>
      </c>
      <c r="W13" s="9">
        <f t="shared" si="1"/>
        <v>7</v>
      </c>
    </row>
    <row r="14" spans="1:23" x14ac:dyDescent="0.2">
      <c r="A14" s="99">
        <v>8</v>
      </c>
      <c r="B14" s="97">
        <f>C14*B4</f>
        <v>0.99947420743146054</v>
      </c>
      <c r="C14" s="97">
        <f>1/(1-D4*B4/(1-D4*B4/(1-D4*B4/(1-D4*B4/(1-D4*B4/(1-D4*B4/(1-D4*B4)))))))</f>
        <v>1.4154515588610288</v>
      </c>
      <c r="D14" s="93">
        <f>C14*D4*C13</f>
        <v>0.58836091241645538</v>
      </c>
      <c r="E14" s="1">
        <f>D14*D4*C12</f>
        <v>0.24412894130400795</v>
      </c>
      <c r="F14" s="1">
        <f>E14*D4*C11</f>
        <v>0.10086090841627092</v>
      </c>
      <c r="G14" s="1">
        <f>F14*D4*C10</f>
        <v>4.1233299797614364E-2</v>
      </c>
      <c r="H14" s="1">
        <f>G14*D4*C9</f>
        <v>1.6416516612172773E-2</v>
      </c>
      <c r="I14" s="1">
        <f>H14*D4*C8</f>
        <v>6.0878661440317535E-3</v>
      </c>
      <c r="J14" s="1">
        <f>I14*D4</f>
        <v>1.7891212303230101E-3</v>
      </c>
      <c r="K14" s="1">
        <f>J14*D4</f>
        <v>5.2579256853907354E-4</v>
      </c>
      <c r="L14" s="1"/>
      <c r="M14" s="257"/>
      <c r="N14" s="97">
        <f>B14+K14</f>
        <v>0.99999999999999956</v>
      </c>
      <c r="R14" s="298">
        <f>B14-K14</f>
        <v>0.99894841486292152</v>
      </c>
      <c r="S14" s="299">
        <f>SUM(C14:J14)*B4*F4*POWER(O2,A14-1)</f>
        <v>52701591.557107285</v>
      </c>
      <c r="T14" s="277">
        <f>SUM(C14:J14)*D4*H4*POWER(O2,A14-1)</f>
        <v>-23218196.558492627</v>
      </c>
      <c r="U14" s="295">
        <f t="shared" si="0"/>
        <v>33142976.88182649</v>
      </c>
      <c r="V14" s="93">
        <f>(U14+W14*K14)/B14</f>
        <v>33160412.384434272</v>
      </c>
      <c r="W14" s="9">
        <f t="shared" si="1"/>
        <v>8</v>
      </c>
    </row>
    <row r="15" spans="1:23" x14ac:dyDescent="0.2">
      <c r="A15" s="99">
        <v>9</v>
      </c>
      <c r="B15" s="97">
        <f>C15*B4</f>
        <v>0.99978121501658912</v>
      </c>
      <c r="C15" s="97">
        <f>1/(1-D4*B4/(1-D4*B4/(1-D4*B4/(1-D4*B4/(1-D4*B4/(1-D4*B4/(1-D4*B4/(1-D4*B4))))))))</f>
        <v>1.4158863418316361</v>
      </c>
      <c r="D15" s="93">
        <f>C15*D4*C14</f>
        <v>0.58897665040042402</v>
      </c>
      <c r="E15" s="1">
        <f>D15*D4*C13</f>
        <v>0.24481999207406582</v>
      </c>
      <c r="F15" s="1">
        <f>E15*D4*C12</f>
        <v>0.10158330408052736</v>
      </c>
      <c r="G15" s="1">
        <f>F15*D4*C11</f>
        <v>4.1968741087233238E-2</v>
      </c>
      <c r="H15" s="1">
        <f>G15*D4*C10</f>
        <v>1.7157387441289172E-2</v>
      </c>
      <c r="I15" s="1">
        <f>H15*D4*C9</f>
        <v>6.830996726769476E-3</v>
      </c>
      <c r="J15" s="1">
        <f>I15*D4*C8</f>
        <v>2.5331923138953633E-3</v>
      </c>
      <c r="K15" s="1">
        <f>J15*D4</f>
        <v>7.4446251643104885E-4</v>
      </c>
      <c r="L15" s="1">
        <f>K15*D4</f>
        <v>2.1878498341036044E-4</v>
      </c>
      <c r="M15" s="257"/>
      <c r="N15" s="97">
        <f>B15+L15</f>
        <v>0.99999999999999944</v>
      </c>
      <c r="R15" s="298">
        <f>B15-L15</f>
        <v>0.99956243003317879</v>
      </c>
      <c r="S15" s="299">
        <f>SUM(C15:K15)*B4*F4*POWER(O2,A15-1)</f>
        <v>475526851.86250949</v>
      </c>
      <c r="T15" s="277">
        <f>SUM(C15:K15)*D4*H4*POWER(O2,A15-1)</f>
        <v>-209497959.91305289</v>
      </c>
      <c r="U15" s="295">
        <f t="shared" si="0"/>
        <v>299171868.83128309</v>
      </c>
      <c r="V15" s="93">
        <f>(U15+W15*L15)/B15</f>
        <v>299237337.46916622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0.99990895081543307</v>
      </c>
      <c r="C16" s="145">
        <f>1/(1-D4*B4/(1-D4*B4/(1-D4*B4/(1-D4*B4/(1-D4*B4/(1-D4*B4/(1-D4*B4/(1-D4*B4/(1-D4*B4)))))))))</f>
        <v>1.4160672407825561</v>
      </c>
      <c r="D16" s="94">
        <f>C16*D4*C15</f>
        <v>0.58923283880445887</v>
      </c>
      <c r="E16" s="111">
        <f>D16*D4*C14</f>
        <v>0.24510751566120442</v>
      </c>
      <c r="F16" s="111">
        <f>E16*D4*C13</f>
        <v>0.1018838692513078</v>
      </c>
      <c r="G16" s="111">
        <f>F16*D4*C12</f>
        <v>4.2274734115362513E-2</v>
      </c>
      <c r="H16" s="111">
        <f>G16*D4*C11</f>
        <v>1.7465639522935911E-2</v>
      </c>
      <c r="I16" s="111">
        <f>H16*D4*C10</f>
        <v>7.1401890178702902E-3</v>
      </c>
      <c r="J16" s="111">
        <f>I16*D4*C9</f>
        <v>2.8427759165833982E-3</v>
      </c>
      <c r="K16" s="111">
        <f>J16*D4*C8</f>
        <v>1.0542089815085533E-3</v>
      </c>
      <c r="L16" s="111">
        <f>K16*D4</f>
        <v>3.0981424778256633E-4</v>
      </c>
      <c r="M16" s="259">
        <f>L16*D4</f>
        <v>9.1049184566540926E-5</v>
      </c>
      <c r="N16" s="145">
        <f>B16+M16</f>
        <v>0.99999999999999967</v>
      </c>
      <c r="R16" s="300">
        <f>B16-M16</f>
        <v>0.99981790163086648</v>
      </c>
      <c r="S16" s="301">
        <f>SUM(C16:L16)*B4*F4*POWER(O2,A16-1)</f>
        <v>4284829894.257843</v>
      </c>
      <c r="T16" s="278">
        <f>SUM(C16:L16)*D4*H4*POWER(O2,A16-1)</f>
        <v>-1887723307.1183631</v>
      </c>
      <c r="U16" s="295">
        <f t="shared" si="0"/>
        <v>2696278455.9707627</v>
      </c>
      <c r="V16" s="94">
        <f>(U16+W16*M16)/B16</f>
        <v>2696523972.2805142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6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9</v>
      </c>
      <c r="D21" s="57">
        <f>SUM($C$21:C21)</f>
        <v>9</v>
      </c>
      <c r="E21" s="57">
        <f t="shared" ref="E21:E30" si="3">D21/R7</f>
        <v>21.832275356266774</v>
      </c>
      <c r="F21" s="8">
        <f t="shared" ref="F21:F30" si="4">U7/E21</f>
        <v>0.11694575207929092</v>
      </c>
      <c r="G21" s="281">
        <f>E21*U7</f>
        <v>55.741987749804906</v>
      </c>
      <c r="O21" s="101">
        <v>1</v>
      </c>
      <c r="P21" s="109">
        <v>1</v>
      </c>
      <c r="Q21" s="110">
        <f>P21*9+36</f>
        <v>45</v>
      </c>
      <c r="R21" s="57">
        <f>SUM($Q$21)</f>
        <v>45</v>
      </c>
      <c r="S21" s="276">
        <f>R21/R7</f>
        <v>109.16137678133387</v>
      </c>
      <c r="T21" s="8">
        <f>U7/S21</f>
        <v>2.3389150415858186E-2</v>
      </c>
      <c r="U21" s="281">
        <f>S21*U7</f>
        <v>278.70993874902456</v>
      </c>
    </row>
    <row r="22" spans="1:21" x14ac:dyDescent="0.2">
      <c r="A22" s="97">
        <v>2</v>
      </c>
      <c r="B22" s="93">
        <f>C21</f>
        <v>9</v>
      </c>
      <c r="C22" s="1">
        <f t="shared" si="2"/>
        <v>81</v>
      </c>
      <c r="D22" s="9">
        <f>SUM($C$21:C22)</f>
        <v>90</v>
      </c>
      <c r="E22" s="9">
        <f t="shared" si="3"/>
        <v>115.08451039891871</v>
      </c>
      <c r="F22" s="9">
        <f t="shared" si="4"/>
        <v>0.34818232545267669</v>
      </c>
      <c r="G22" s="282">
        <f t="shared" ref="G22:G30" si="5">E22*U8</f>
        <v>4611.4814970931411</v>
      </c>
      <c r="O22" s="99">
        <v>2</v>
      </c>
      <c r="P22" s="93">
        <f>Q21</f>
        <v>45</v>
      </c>
      <c r="Q22" s="1">
        <f t="shared" ref="Q22:Q30" si="6">P22*9+36</f>
        <v>441</v>
      </c>
      <c r="R22" s="9">
        <f>SUM($Q$21:Q22)</f>
        <v>486</v>
      </c>
      <c r="S22" s="277">
        <f t="shared" ref="S22:S30" si="7">R22/R8</f>
        <v>621.45635615416097</v>
      </c>
      <c r="T22" s="9">
        <f>U8/S22</f>
        <v>6.4478208417162355E-2</v>
      </c>
      <c r="U22" s="282">
        <f t="shared" ref="U22:U30" si="8">S22*U8</f>
        <v>24902.000084302959</v>
      </c>
    </row>
    <row r="23" spans="1:21" x14ac:dyDescent="0.2">
      <c r="A23" s="97">
        <v>3</v>
      </c>
      <c r="B23" s="93">
        <f t="shared" ref="B23:B30" si="9">C22</f>
        <v>81</v>
      </c>
      <c r="C23" s="1">
        <f t="shared" si="2"/>
        <v>729</v>
      </c>
      <c r="D23" s="9">
        <f>SUM($C$21:C23)</f>
        <v>819</v>
      </c>
      <c r="E23" s="9">
        <f t="shared" si="3"/>
        <v>896.82701136380854</v>
      </c>
      <c r="F23" s="9">
        <f t="shared" si="4"/>
        <v>0.50698368294279939</v>
      </c>
      <c r="G23" s="282">
        <f t="shared" si="5"/>
        <v>407766.31118634902</v>
      </c>
      <c r="O23" s="99">
        <v>3</v>
      </c>
      <c r="P23" s="93">
        <f t="shared" ref="P23:P30" si="10">Q22</f>
        <v>441</v>
      </c>
      <c r="Q23" s="1">
        <f t="shared" si="6"/>
        <v>4005</v>
      </c>
      <c r="R23" s="9">
        <f>SUM($Q$21:Q23)</f>
        <v>4491</v>
      </c>
      <c r="S23" s="277">
        <f t="shared" si="7"/>
        <v>4917.7656996762689</v>
      </c>
      <c r="T23" s="9">
        <f t="shared" ref="T23:T30" si="11">U9/S23</f>
        <v>9.2455942179949388E-2</v>
      </c>
      <c r="U23" s="282">
        <f t="shared" si="8"/>
        <v>2235993.2888130569</v>
      </c>
    </row>
    <row r="24" spans="1:21" x14ac:dyDescent="0.2">
      <c r="A24" s="97">
        <v>4</v>
      </c>
      <c r="B24" s="93">
        <f t="shared" si="9"/>
        <v>729</v>
      </c>
      <c r="C24" s="1">
        <f t="shared" si="2"/>
        <v>6561</v>
      </c>
      <c r="D24" s="9">
        <f>SUM($C$21:C24)</f>
        <v>7380</v>
      </c>
      <c r="E24" s="9">
        <f t="shared" si="3"/>
        <v>7651.4505107375808</v>
      </c>
      <c r="F24" s="9">
        <f t="shared" si="4"/>
        <v>0.59718377122729627</v>
      </c>
      <c r="G24" s="282">
        <f t="shared" si="5"/>
        <v>34961941.696641847</v>
      </c>
      <c r="O24" s="99">
        <v>4</v>
      </c>
      <c r="P24" s="93">
        <f t="shared" si="10"/>
        <v>4005</v>
      </c>
      <c r="Q24" s="1">
        <f t="shared" si="6"/>
        <v>36081</v>
      </c>
      <c r="R24" s="9">
        <f>SUM($Q$21:Q24)</f>
        <v>40572</v>
      </c>
      <c r="S24" s="277">
        <f t="shared" si="7"/>
        <v>42064.315734640266</v>
      </c>
      <c r="T24" s="9">
        <f t="shared" si="11"/>
        <v>0.10862703913185069</v>
      </c>
      <c r="U24" s="282">
        <f t="shared" si="8"/>
        <v>192205406.30300179</v>
      </c>
    </row>
    <row r="25" spans="1:21" x14ac:dyDescent="0.2">
      <c r="A25" s="97">
        <v>5</v>
      </c>
      <c r="B25" s="93">
        <f t="shared" si="9"/>
        <v>6561</v>
      </c>
      <c r="C25" s="1">
        <f t="shared" si="2"/>
        <v>59049</v>
      </c>
      <c r="D25" s="9">
        <f>SUM($C$21:C25)</f>
        <v>66429</v>
      </c>
      <c r="E25" s="9">
        <f t="shared" si="3"/>
        <v>67417.145407854507</v>
      </c>
      <c r="F25" s="9">
        <f t="shared" si="4"/>
        <v>0.64402619044812248</v>
      </c>
      <c r="G25" s="282">
        <f t="shared" si="5"/>
        <v>2927145080.2030072</v>
      </c>
      <c r="O25" s="99">
        <v>5</v>
      </c>
      <c r="P25" s="93">
        <f t="shared" si="10"/>
        <v>36081</v>
      </c>
      <c r="Q25" s="1">
        <f t="shared" si="6"/>
        <v>324765</v>
      </c>
      <c r="R25" s="9">
        <f>SUM($Q$21:Q25)</f>
        <v>365337</v>
      </c>
      <c r="S25" s="277">
        <f t="shared" si="7"/>
        <v>370771.46505094675</v>
      </c>
      <c r="T25" s="9">
        <f t="shared" si="11"/>
        <v>0.11710288255850988</v>
      </c>
      <c r="U25" s="282">
        <f t="shared" si="8"/>
        <v>16098306495.147089</v>
      </c>
    </row>
    <row r="26" spans="1:21" x14ac:dyDescent="0.2">
      <c r="A26" s="97">
        <v>6</v>
      </c>
      <c r="B26" s="93">
        <f t="shared" si="9"/>
        <v>59049</v>
      </c>
      <c r="C26" s="1">
        <f t="shared" si="2"/>
        <v>531441</v>
      </c>
      <c r="D26" s="9">
        <f>SUM($C$21:C26)</f>
        <v>597870</v>
      </c>
      <c r="E26" s="9">
        <f t="shared" si="3"/>
        <v>601528.32287763979</v>
      </c>
      <c r="F26" s="9">
        <f t="shared" si="4"/>
        <v>0.66722844319301289</v>
      </c>
      <c r="G26" s="282">
        <f t="shared" si="5"/>
        <v>241427486635.42404</v>
      </c>
      <c r="O26" s="99">
        <v>6</v>
      </c>
      <c r="P26" s="93">
        <f t="shared" si="10"/>
        <v>324765</v>
      </c>
      <c r="Q26" s="1">
        <f t="shared" si="6"/>
        <v>2922921</v>
      </c>
      <c r="R26" s="9">
        <f>SUM($Q$21:Q26)</f>
        <v>3288258</v>
      </c>
      <c r="S26" s="277">
        <f t="shared" si="7"/>
        <v>3308378.6106159901</v>
      </c>
      <c r="T26" s="9">
        <f t="shared" si="11"/>
        <v>0.12131525851432784</v>
      </c>
      <c r="U26" s="282">
        <f t="shared" si="8"/>
        <v>1327840273552.4883</v>
      </c>
    </row>
    <row r="27" spans="1:21" x14ac:dyDescent="0.2">
      <c r="A27" s="97">
        <v>7</v>
      </c>
      <c r="B27" s="93">
        <f t="shared" si="9"/>
        <v>531441</v>
      </c>
      <c r="C27" s="1">
        <f t="shared" si="2"/>
        <v>4782969</v>
      </c>
      <c r="D27" s="9">
        <f>SUM($C$21:C27)</f>
        <v>5380839</v>
      </c>
      <c r="E27" s="9">
        <f t="shared" si="3"/>
        <v>5394476.16302309</v>
      </c>
      <c r="F27" s="9">
        <f t="shared" si="4"/>
        <v>0.67839430050627647</v>
      </c>
      <c r="G27" s="282">
        <f t="shared" si="5"/>
        <v>19741527235617.375</v>
      </c>
      <c r="O27" s="99">
        <v>7</v>
      </c>
      <c r="P27" s="93">
        <f t="shared" si="10"/>
        <v>2922921</v>
      </c>
      <c r="Q27" s="1">
        <f t="shared" si="6"/>
        <v>26306325</v>
      </c>
      <c r="R27" s="9">
        <f>SUM($Q$21:Q27)</f>
        <v>29594583</v>
      </c>
      <c r="S27" s="277">
        <f t="shared" si="7"/>
        <v>29669587.316793602</v>
      </c>
      <c r="T27" s="9">
        <f t="shared" si="11"/>
        <v>0.12334454955969112</v>
      </c>
      <c r="U27" s="282">
        <f t="shared" si="8"/>
        <v>108578284226909.41</v>
      </c>
    </row>
    <row r="28" spans="1:21" x14ac:dyDescent="0.2">
      <c r="A28" s="97">
        <v>8</v>
      </c>
      <c r="B28" s="93">
        <f t="shared" si="9"/>
        <v>4782969</v>
      </c>
      <c r="C28" s="1">
        <f t="shared" si="2"/>
        <v>43046721</v>
      </c>
      <c r="D28" s="9">
        <f>SUM($C$21:C28)</f>
        <v>48427560</v>
      </c>
      <c r="E28" s="9">
        <f t="shared" si="3"/>
        <v>48478539.311407149</v>
      </c>
      <c r="F28" s="9">
        <f t="shared" si="4"/>
        <v>0.68366286098120632</v>
      </c>
      <c r="G28" s="282">
        <f t="shared" si="5"/>
        <v>1606723107662683.8</v>
      </c>
      <c r="O28" s="99">
        <v>8</v>
      </c>
      <c r="P28" s="93">
        <f t="shared" si="10"/>
        <v>26306325</v>
      </c>
      <c r="Q28" s="1">
        <f t="shared" si="6"/>
        <v>236756961</v>
      </c>
      <c r="R28" s="9">
        <f>SUM($Q$21:Q28)</f>
        <v>266351544</v>
      </c>
      <c r="S28" s="277">
        <f t="shared" si="7"/>
        <v>266631930.17484242</v>
      </c>
      <c r="T28" s="9">
        <f t="shared" si="11"/>
        <v>0.12430235516088851</v>
      </c>
      <c r="U28" s="282">
        <f t="shared" si="8"/>
        <v>8836975897741577</v>
      </c>
    </row>
    <row r="29" spans="1:21" x14ac:dyDescent="0.2">
      <c r="A29" s="97">
        <v>9</v>
      </c>
      <c r="B29" s="93">
        <f t="shared" si="9"/>
        <v>43046721</v>
      </c>
      <c r="C29" s="1">
        <f t="shared" si="2"/>
        <v>387420489</v>
      </c>
      <c r="D29" s="9">
        <f>SUM($C$21:C29)</f>
        <v>435848049</v>
      </c>
      <c r="E29" s="9">
        <f t="shared" si="3"/>
        <v>436038846.50359732</v>
      </c>
      <c r="F29" s="9">
        <f t="shared" si="4"/>
        <v>0.68611288014866112</v>
      </c>
      <c r="G29" s="282">
        <f t="shared" si="5"/>
        <v>1.3045055659151819E+17</v>
      </c>
      <c r="O29" s="99">
        <v>9</v>
      </c>
      <c r="P29" s="93">
        <f t="shared" si="10"/>
        <v>236756961</v>
      </c>
      <c r="Q29" s="1">
        <f t="shared" si="6"/>
        <v>2130812685</v>
      </c>
      <c r="R29" s="9">
        <f>SUM($Q$21:Q29)</f>
        <v>2397164229</v>
      </c>
      <c r="S29" s="277">
        <f t="shared" si="7"/>
        <v>2398213615.2520561</v>
      </c>
      <c r="T29" s="9">
        <f t="shared" si="11"/>
        <v>0.124747798498275</v>
      </c>
      <c r="U29" s="282">
        <f t="shared" si="8"/>
        <v>7.1747804913158541E+17</v>
      </c>
    </row>
    <row r="30" spans="1:21" ht="17" thickBot="1" x14ac:dyDescent="0.25">
      <c r="A30" s="145">
        <v>10</v>
      </c>
      <c r="B30" s="94">
        <f t="shared" si="9"/>
        <v>387420489</v>
      </c>
      <c r="C30" s="111">
        <f t="shared" si="2"/>
        <v>3486784401</v>
      </c>
      <c r="D30" s="10">
        <f>SUM($C$21:C30)</f>
        <v>3922632450</v>
      </c>
      <c r="E30" s="10">
        <f t="shared" si="3"/>
        <v>3923346885.0693164</v>
      </c>
      <c r="F30" s="10">
        <f t="shared" si="4"/>
        <v>0.68723937366632459</v>
      </c>
      <c r="G30" s="283">
        <f t="shared" si="5"/>
        <v>1.0578435681512399E+19</v>
      </c>
      <c r="O30" s="100">
        <v>10</v>
      </c>
      <c r="P30" s="94">
        <f t="shared" si="10"/>
        <v>2130812685</v>
      </c>
      <c r="Q30" s="111">
        <f t="shared" si="6"/>
        <v>19177314201</v>
      </c>
      <c r="R30" s="10">
        <f>SUM($Q$21:Q30)</f>
        <v>21574478430</v>
      </c>
      <c r="S30" s="278">
        <f t="shared" si="7"/>
        <v>21578407822.873043</v>
      </c>
      <c r="T30" s="10">
        <f t="shared" si="11"/>
        <v>0.12495261365450309</v>
      </c>
      <c r="U30" s="283">
        <f t="shared" si="8"/>
        <v>5.8181396126963556E+19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6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9</v>
      </c>
      <c r="D33" s="57">
        <f>SUM($C$33:C33)</f>
        <v>9</v>
      </c>
      <c r="E33" s="9">
        <f t="shared" ref="E33:E42" si="13">D33/R7</f>
        <v>21.832275356266774</v>
      </c>
      <c r="F33" s="8">
        <f t="shared" ref="F33:F42" si="14">U7/E33</f>
        <v>0.11694575207929092</v>
      </c>
      <c r="G33" s="284">
        <f>E33*U7</f>
        <v>55.741987749804906</v>
      </c>
      <c r="O33" s="101">
        <v>1</v>
      </c>
      <c r="P33" s="109">
        <v>1</v>
      </c>
      <c r="Q33" s="110">
        <f>P33*9+36</f>
        <v>45</v>
      </c>
      <c r="R33" s="57">
        <f>SUM($Q$21)</f>
        <v>45</v>
      </c>
      <c r="S33" s="276">
        <f>R33/R7</f>
        <v>109.16137678133387</v>
      </c>
      <c r="T33" s="8">
        <f>U7/S33</f>
        <v>2.3389150415858186E-2</v>
      </c>
      <c r="U33" s="284">
        <f>S33*U7</f>
        <v>278.70993874902456</v>
      </c>
    </row>
    <row r="34" spans="1:21" x14ac:dyDescent="0.2">
      <c r="A34" s="97">
        <v>2</v>
      </c>
      <c r="B34" s="93">
        <f t="shared" ref="B34:B42" si="15">B33*($O$2+1)</f>
        <v>10</v>
      </c>
      <c r="C34" s="1">
        <f t="shared" si="12"/>
        <v>90</v>
      </c>
      <c r="D34" s="9">
        <f>SUM($C$33:C34)</f>
        <v>99</v>
      </c>
      <c r="E34" s="9">
        <f t="shared" si="13"/>
        <v>126.59296143881058</v>
      </c>
      <c r="F34" s="9">
        <f t="shared" si="14"/>
        <v>0.31652938677516063</v>
      </c>
      <c r="G34" s="282">
        <f t="shared" ref="G34:G42" si="16">E34*U8</f>
        <v>5072.6296468024557</v>
      </c>
      <c r="O34" s="99">
        <v>2</v>
      </c>
      <c r="P34" s="93">
        <f>Q33+1</f>
        <v>46</v>
      </c>
      <c r="Q34" s="1">
        <f t="shared" ref="Q34:Q42" si="17">P34*9+36</f>
        <v>450</v>
      </c>
      <c r="R34" s="9">
        <f>SUM($Q$33:Q34)</f>
        <v>495</v>
      </c>
      <c r="S34" s="277">
        <f>R34/R8</f>
        <v>632.96480719405292</v>
      </c>
      <c r="T34" s="9">
        <f t="shared" ref="T34:T42" si="18">U8/S34</f>
        <v>6.3305877355032125E-2</v>
      </c>
      <c r="U34" s="282">
        <f t="shared" ref="U34:U42" si="19">S34*U8</f>
        <v>25363.148234012278</v>
      </c>
    </row>
    <row r="35" spans="1:21" x14ac:dyDescent="0.2">
      <c r="A35" s="97">
        <v>3</v>
      </c>
      <c r="B35" s="93">
        <f t="shared" si="15"/>
        <v>100</v>
      </c>
      <c r="C35" s="1">
        <f t="shared" si="12"/>
        <v>900</v>
      </c>
      <c r="D35" s="9">
        <f>SUM($C$33:C35)</f>
        <v>999</v>
      </c>
      <c r="E35" s="9">
        <f t="shared" si="13"/>
        <v>1093.931849026184</v>
      </c>
      <c r="F35" s="9">
        <f t="shared" si="14"/>
        <v>0.41563527160175451</v>
      </c>
      <c r="G35" s="282">
        <f t="shared" si="16"/>
        <v>497385.28067785426</v>
      </c>
      <c r="O35" s="99">
        <v>3</v>
      </c>
      <c r="P35" s="93">
        <f t="shared" ref="P35:P42" si="20">Q34+1</f>
        <v>451</v>
      </c>
      <c r="Q35" s="1">
        <f t="shared" si="17"/>
        <v>4095</v>
      </c>
      <c r="R35" s="9">
        <f>SUM($Q$33:Q35)</f>
        <v>4590</v>
      </c>
      <c r="S35" s="277">
        <f t="shared" ref="S35:S42" si="21">R35/R9</f>
        <v>5026.173360390575</v>
      </c>
      <c r="T35" s="9">
        <f t="shared" si="18"/>
        <v>9.046179440744069E-2</v>
      </c>
      <c r="U35" s="282">
        <f t="shared" si="19"/>
        <v>2285283.7220333847</v>
      </c>
    </row>
    <row r="36" spans="1:21" x14ac:dyDescent="0.2">
      <c r="A36" s="97">
        <v>4</v>
      </c>
      <c r="B36" s="93">
        <f t="shared" si="15"/>
        <v>1000</v>
      </c>
      <c r="C36" s="1">
        <f t="shared" si="12"/>
        <v>9000</v>
      </c>
      <c r="D36" s="9">
        <f>SUM($C$33:C36)</f>
        <v>9999</v>
      </c>
      <c r="E36" s="9">
        <f t="shared" si="13"/>
        <v>10366.782338328601</v>
      </c>
      <c r="F36" s="9">
        <f t="shared" si="14"/>
        <v>0.44076569973571822</v>
      </c>
      <c r="G36" s="282">
        <f t="shared" si="16"/>
        <v>47369167.347523294</v>
      </c>
      <c r="O36" s="99">
        <v>4</v>
      </c>
      <c r="P36" s="93">
        <f t="shared" si="20"/>
        <v>4096</v>
      </c>
      <c r="Q36" s="1">
        <f t="shared" si="17"/>
        <v>36900</v>
      </c>
      <c r="R36" s="9">
        <f>SUM($Q$33:Q36)</f>
        <v>41490</v>
      </c>
      <c r="S36" s="277">
        <f t="shared" si="21"/>
        <v>43016.081529878349</v>
      </c>
      <c r="T36" s="9">
        <f t="shared" si="18"/>
        <v>0.10622357752849956</v>
      </c>
      <c r="U36" s="282">
        <f t="shared" si="19"/>
        <v>196554330.75794992</v>
      </c>
    </row>
    <row r="37" spans="1:21" x14ac:dyDescent="0.2">
      <c r="A37" s="97">
        <v>5</v>
      </c>
      <c r="B37" s="93">
        <f t="shared" si="15"/>
        <v>10000</v>
      </c>
      <c r="C37" s="1">
        <f t="shared" si="12"/>
        <v>90000</v>
      </c>
      <c r="D37" s="9">
        <f>SUM($C$33:C37)</f>
        <v>99999</v>
      </c>
      <c r="E37" s="9">
        <f t="shared" si="13"/>
        <v>101486.50624937969</v>
      </c>
      <c r="F37" s="9">
        <f t="shared" si="14"/>
        <v>0.42782443629714617</v>
      </c>
      <c r="G37" s="282">
        <f t="shared" si="16"/>
        <v>4406382466.6218147</v>
      </c>
      <c r="O37" s="99">
        <v>5</v>
      </c>
      <c r="P37" s="93">
        <f t="shared" si="20"/>
        <v>36901</v>
      </c>
      <c r="Q37" s="1">
        <f t="shared" si="17"/>
        <v>332145</v>
      </c>
      <c r="R37" s="9">
        <f>SUM($Q$33:Q37)</f>
        <v>373635</v>
      </c>
      <c r="S37" s="277">
        <f t="shared" si="21"/>
        <v>379192.89955386531</v>
      </c>
      <c r="T37" s="9">
        <f t="shared" si="18"/>
        <v>0.11450216335535569</v>
      </c>
      <c r="U37" s="282">
        <f t="shared" si="19"/>
        <v>16463951768.680103</v>
      </c>
    </row>
    <row r="38" spans="1:21" x14ac:dyDescent="0.2">
      <c r="A38" s="97">
        <v>6</v>
      </c>
      <c r="B38" s="93">
        <f t="shared" si="15"/>
        <v>100000</v>
      </c>
      <c r="C38" s="1">
        <f t="shared" si="12"/>
        <v>900000</v>
      </c>
      <c r="D38" s="9">
        <f>SUM($C$33:C38)</f>
        <v>999999</v>
      </c>
      <c r="E38" s="9">
        <f t="shared" si="13"/>
        <v>1006117.9208679427</v>
      </c>
      <c r="F38" s="9">
        <f t="shared" si="14"/>
        <v>0.39891626824807486</v>
      </c>
      <c r="G38" s="282">
        <f t="shared" si="16"/>
        <v>403812275591.5791</v>
      </c>
      <c r="O38" s="99">
        <v>6</v>
      </c>
      <c r="P38" s="93">
        <f t="shared" si="20"/>
        <v>332146</v>
      </c>
      <c r="Q38" s="1">
        <f t="shared" si="17"/>
        <v>2989350</v>
      </c>
      <c r="R38" s="9">
        <f>SUM($Q$33:Q38)</f>
        <v>3362985</v>
      </c>
      <c r="S38" s="277">
        <f t="shared" si="21"/>
        <v>3383562.859672938</v>
      </c>
      <c r="T38" s="9">
        <f t="shared" si="18"/>
        <v>0.11861958032278069</v>
      </c>
      <c r="U38" s="282">
        <f t="shared" si="19"/>
        <v>1358015983646.3303</v>
      </c>
    </row>
    <row r="39" spans="1:21" x14ac:dyDescent="0.2">
      <c r="A39" s="97">
        <v>7</v>
      </c>
      <c r="B39" s="93">
        <f t="shared" si="15"/>
        <v>1000000</v>
      </c>
      <c r="C39" s="1">
        <f t="shared" si="12"/>
        <v>9000000</v>
      </c>
      <c r="D39" s="9">
        <f>SUM($C$33:C39)</f>
        <v>9999999</v>
      </c>
      <c r="E39" s="9">
        <f t="shared" si="13"/>
        <v>10025342.931790886</v>
      </c>
      <c r="F39" s="9">
        <f t="shared" si="14"/>
        <v>0.36503308745749796</v>
      </c>
      <c r="G39" s="282">
        <f t="shared" si="16"/>
        <v>36688563366167.719</v>
      </c>
      <c r="O39" s="99">
        <v>7</v>
      </c>
      <c r="P39" s="93">
        <f t="shared" si="20"/>
        <v>2989351</v>
      </c>
      <c r="Q39" s="1">
        <f t="shared" si="17"/>
        <v>26904195</v>
      </c>
      <c r="R39" s="9">
        <f>SUM($Q$33:Q39)</f>
        <v>30267180</v>
      </c>
      <c r="S39" s="277">
        <f t="shared" si="21"/>
        <v>30343888.94221314</v>
      </c>
      <c r="T39" s="9">
        <f t="shared" si="18"/>
        <v>0.12060358809581508</v>
      </c>
      <c r="U39" s="282">
        <f t="shared" si="19"/>
        <v>111045946239115.03</v>
      </c>
    </row>
    <row r="40" spans="1:21" x14ac:dyDescent="0.2">
      <c r="A40" s="97">
        <v>8</v>
      </c>
      <c r="B40" s="93">
        <f t="shared" si="15"/>
        <v>10000000</v>
      </c>
      <c r="C40" s="1">
        <f t="shared" si="12"/>
        <v>90000000</v>
      </c>
      <c r="D40" s="9">
        <f>SUM($C$33:C40)</f>
        <v>99999999</v>
      </c>
      <c r="E40" s="9">
        <f t="shared" si="13"/>
        <v>100105268.2121952</v>
      </c>
      <c r="F40" s="9">
        <f t="shared" si="14"/>
        <v>0.33108124551020268</v>
      </c>
      <c r="G40" s="282">
        <f t="shared" si="16"/>
        <v>3317786590105826</v>
      </c>
      <c r="O40" s="99">
        <v>8</v>
      </c>
      <c r="P40" s="93">
        <f t="shared" si="20"/>
        <v>26904196</v>
      </c>
      <c r="Q40" s="1">
        <f t="shared" si="17"/>
        <v>242137800</v>
      </c>
      <c r="R40" s="9">
        <f>SUM($Q$33:Q40)</f>
        <v>272404980</v>
      </c>
      <c r="S40" s="277">
        <f t="shared" si="21"/>
        <v>272691738.57929409</v>
      </c>
      <c r="T40" s="9">
        <f t="shared" si="18"/>
        <v>0.12154008425227404</v>
      </c>
      <c r="U40" s="282">
        <f t="shared" si="19"/>
        <v>9037815987598616</v>
      </c>
    </row>
    <row r="41" spans="1:21" x14ac:dyDescent="0.2">
      <c r="A41" s="97">
        <v>9</v>
      </c>
      <c r="B41" s="93">
        <f t="shared" si="15"/>
        <v>100000000</v>
      </c>
      <c r="C41" s="1">
        <f t="shared" si="12"/>
        <v>900000000</v>
      </c>
      <c r="D41" s="9">
        <f>SUM($C$33:C41)</f>
        <v>999999999</v>
      </c>
      <c r="E41" s="9">
        <f t="shared" si="13"/>
        <v>1000437760.5176764</v>
      </c>
      <c r="F41" s="9">
        <f t="shared" si="14"/>
        <v>0.29904096050560575</v>
      </c>
      <c r="G41" s="282">
        <f t="shared" si="16"/>
        <v>2.993028344634569E+17</v>
      </c>
      <c r="O41" s="99">
        <v>9</v>
      </c>
      <c r="P41" s="93">
        <f t="shared" si="20"/>
        <v>242137801</v>
      </c>
      <c r="Q41" s="1">
        <f t="shared" si="17"/>
        <v>2179240245</v>
      </c>
      <c r="R41" s="9">
        <f>SUM($Q$33:Q41)</f>
        <v>2451645225</v>
      </c>
      <c r="S41" s="277">
        <f t="shared" si="21"/>
        <v>2452718460.9355731</v>
      </c>
      <c r="T41" s="9">
        <f t="shared" si="18"/>
        <v>0.12197562565626305</v>
      </c>
      <c r="U41" s="282">
        <f t="shared" si="19"/>
        <v>7.3378436567508378E+17</v>
      </c>
    </row>
    <row r="42" spans="1:21" ht="17" thickBot="1" x14ac:dyDescent="0.25">
      <c r="A42" s="145">
        <v>10</v>
      </c>
      <c r="B42" s="94">
        <f t="shared" si="15"/>
        <v>1000000000</v>
      </c>
      <c r="C42" s="111">
        <f t="shared" si="12"/>
        <v>9000000000</v>
      </c>
      <c r="D42" s="10">
        <f>SUM($C$33:C42)</f>
        <v>9999999999</v>
      </c>
      <c r="E42" s="9">
        <f t="shared" si="13"/>
        <v>10001821314.349709</v>
      </c>
      <c r="F42" s="10">
        <f t="shared" si="14"/>
        <v>0.26957874683307792</v>
      </c>
      <c r="G42" s="283">
        <f t="shared" si="16"/>
        <v>2.6967695330350297E+19</v>
      </c>
      <c r="O42" s="100">
        <v>10</v>
      </c>
      <c r="P42" s="94">
        <f t="shared" si="20"/>
        <v>2179240246</v>
      </c>
      <c r="Q42" s="111">
        <f t="shared" si="17"/>
        <v>19613162250</v>
      </c>
      <c r="R42" s="10">
        <f>SUM($Q$33:Q42)</f>
        <v>22064807475</v>
      </c>
      <c r="S42" s="278">
        <f t="shared" si="21"/>
        <v>22068826172.254658</v>
      </c>
      <c r="T42" s="10">
        <f t="shared" si="18"/>
        <v>0.12217588896325508</v>
      </c>
      <c r="U42" s="283">
        <f t="shared" si="19"/>
        <v>5.9503700556813943E+19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6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9</v>
      </c>
      <c r="D45" s="57">
        <f>SUM(C45:C45)</f>
        <v>9</v>
      </c>
      <c r="E45" s="57">
        <f t="shared" ref="E45:E54" si="23">D45/R7</f>
        <v>21.832275356266774</v>
      </c>
      <c r="F45" s="8">
        <f t="shared" ref="F45:F54" si="24">U7/E45</f>
        <v>0.11694575207929092</v>
      </c>
      <c r="G45" s="281">
        <f>E45*U7</f>
        <v>55.741987749804906</v>
      </c>
      <c r="O45" s="101">
        <v>1</v>
      </c>
      <c r="P45" s="109">
        <v>1</v>
      </c>
      <c r="Q45" s="110">
        <f>P45*9+36</f>
        <v>45</v>
      </c>
      <c r="R45" s="57">
        <f>SUM($Q$21)</f>
        <v>45</v>
      </c>
      <c r="S45" s="276">
        <f>R45/R7</f>
        <v>109.16137678133387</v>
      </c>
      <c r="T45" s="8">
        <f>U7/S45</f>
        <v>2.3389150415858186E-2</v>
      </c>
      <c r="U45" s="284">
        <f>S45*U7</f>
        <v>278.70993874902456</v>
      </c>
    </row>
    <row r="46" spans="1:21" x14ac:dyDescent="0.2">
      <c r="A46" s="97">
        <v>2</v>
      </c>
      <c r="B46" s="93">
        <f t="shared" ref="B46:B54" si="25">B45*$O$2*2</f>
        <v>18</v>
      </c>
      <c r="C46" s="1">
        <f t="shared" si="22"/>
        <v>162</v>
      </c>
      <c r="D46" s="9">
        <f>SUM($C$45:C46)</f>
        <v>171</v>
      </c>
      <c r="E46" s="9">
        <f t="shared" si="23"/>
        <v>218.66056975794555</v>
      </c>
      <c r="F46" s="9">
        <f t="shared" si="24"/>
        <v>0.1832538555014088</v>
      </c>
      <c r="G46" s="282">
        <f t="shared" ref="G46:G54" si="26">E46*U8</f>
        <v>8761.8148444769686</v>
      </c>
      <c r="O46" s="99">
        <v>2</v>
      </c>
      <c r="P46" s="93">
        <f>Q45*2</f>
        <v>90</v>
      </c>
      <c r="Q46" s="1">
        <f t="shared" ref="Q46:Q54" si="27">P46*9+36</f>
        <v>846</v>
      </c>
      <c r="R46" s="9">
        <f>SUM($Q$45:Q46)</f>
        <v>891</v>
      </c>
      <c r="S46" s="277">
        <f t="shared" ref="S46:S54" si="28">R46/R8</f>
        <v>1139.3366529492953</v>
      </c>
      <c r="T46" s="9">
        <f t="shared" ref="T46:T54" si="29">U8/S46</f>
        <v>3.5169931863906732E-2</v>
      </c>
      <c r="U46" s="282">
        <f t="shared" ref="U46:U54" si="30">S46*U8</f>
        <v>45653.666821222105</v>
      </c>
    </row>
    <row r="47" spans="1:21" x14ac:dyDescent="0.2">
      <c r="A47" s="97">
        <v>3</v>
      </c>
      <c r="B47" s="93">
        <f t="shared" si="25"/>
        <v>324</v>
      </c>
      <c r="C47" s="1">
        <f t="shared" si="22"/>
        <v>2916</v>
      </c>
      <c r="D47" s="9">
        <f>SUM($C$45:C47)</f>
        <v>3087</v>
      </c>
      <c r="E47" s="9">
        <f t="shared" si="23"/>
        <v>3380.3479659097397</v>
      </c>
      <c r="F47" s="9">
        <f t="shared" si="24"/>
        <v>0.134505875066457</v>
      </c>
      <c r="G47" s="282">
        <f t="shared" si="26"/>
        <v>1536965.3267793155</v>
      </c>
      <c r="O47" s="99">
        <v>3</v>
      </c>
      <c r="P47" s="93">
        <f t="shared" ref="P47:P54" si="31">Q46*2</f>
        <v>1692</v>
      </c>
      <c r="Q47" s="1">
        <f t="shared" si="27"/>
        <v>15264</v>
      </c>
      <c r="R47" s="9">
        <f>SUM($Q$45:Q47)</f>
        <v>16155</v>
      </c>
      <c r="S47" s="277">
        <f t="shared" si="28"/>
        <v>17690.159180198199</v>
      </c>
      <c r="T47" s="9">
        <f t="shared" si="29"/>
        <v>2.5702236851139138E-2</v>
      </c>
      <c r="U47" s="282">
        <f t="shared" si="30"/>
        <v>8043302.5118625984</v>
      </c>
    </row>
    <row r="48" spans="1:21" x14ac:dyDescent="0.2">
      <c r="A48" s="97">
        <v>4</v>
      </c>
      <c r="B48" s="93">
        <f t="shared" si="25"/>
        <v>5832</v>
      </c>
      <c r="C48" s="1">
        <f t="shared" si="22"/>
        <v>52488</v>
      </c>
      <c r="D48" s="9">
        <f>SUM($C$45:C48)</f>
        <v>55575</v>
      </c>
      <c r="E48" s="9">
        <f t="shared" si="23"/>
        <v>57619.15476073727</v>
      </c>
      <c r="F48" s="9">
        <f t="shared" si="24"/>
        <v>7.9302136422086306E-2</v>
      </c>
      <c r="G48" s="282">
        <f t="shared" si="26"/>
        <v>263280475.58141881</v>
      </c>
      <c r="O48" s="99">
        <v>4</v>
      </c>
      <c r="P48" s="93">
        <f t="shared" si="31"/>
        <v>30528</v>
      </c>
      <c r="Q48" s="1">
        <f t="shared" si="27"/>
        <v>274788</v>
      </c>
      <c r="R48" s="9">
        <f>SUM($Q$45:Q48)</f>
        <v>290943</v>
      </c>
      <c r="S48" s="277">
        <f t="shared" si="28"/>
        <v>301644.43983001681</v>
      </c>
      <c r="T48" s="9">
        <f t="shared" si="29"/>
        <v>1.5148040102897978E-2</v>
      </c>
      <c r="U48" s="282">
        <f t="shared" si="30"/>
        <v>1378310596.6187086</v>
      </c>
    </row>
    <row r="49" spans="1:21" x14ac:dyDescent="0.2">
      <c r="A49" s="97">
        <v>5</v>
      </c>
      <c r="B49" s="93">
        <f t="shared" si="25"/>
        <v>104976</v>
      </c>
      <c r="C49" s="1">
        <f t="shared" si="22"/>
        <v>944784</v>
      </c>
      <c r="D49" s="9">
        <f>SUM($C$45:C49)</f>
        <v>1000359</v>
      </c>
      <c r="E49" s="9">
        <f t="shared" si="23"/>
        <v>1015239.5514467466</v>
      </c>
      <c r="F49" s="9">
        <f t="shared" si="24"/>
        <v>4.2766662573414466E-2</v>
      </c>
      <c r="G49" s="282">
        <f t="shared" si="26"/>
        <v>44080084380.117119</v>
      </c>
      <c r="O49" s="99">
        <v>5</v>
      </c>
      <c r="P49" s="93">
        <f t="shared" si="31"/>
        <v>549576</v>
      </c>
      <c r="Q49" s="1">
        <f t="shared" si="27"/>
        <v>4946220</v>
      </c>
      <c r="R49" s="9">
        <f>SUM($Q$45:Q49)</f>
        <v>5237163</v>
      </c>
      <c r="S49" s="277">
        <f t="shared" si="28"/>
        <v>5315066.9059542604</v>
      </c>
      <c r="T49" s="9">
        <f t="shared" si="29"/>
        <v>8.1689295913223089E-3</v>
      </c>
      <c r="U49" s="282">
        <f t="shared" si="30"/>
        <v>230771739897.80402</v>
      </c>
    </row>
    <row r="50" spans="1:21" x14ac:dyDescent="0.2">
      <c r="A50" s="97">
        <v>6</v>
      </c>
      <c r="B50" s="93">
        <f t="shared" si="25"/>
        <v>1889568</v>
      </c>
      <c r="C50" s="1">
        <f t="shared" si="22"/>
        <v>17006112</v>
      </c>
      <c r="D50" s="9">
        <f>SUM($C$45:C50)</f>
        <v>18006471</v>
      </c>
      <c r="E50" s="9">
        <f t="shared" si="23"/>
        <v>18116651.281340186</v>
      </c>
      <c r="F50" s="9">
        <f t="shared" si="24"/>
        <v>2.2154028367457824E-2</v>
      </c>
      <c r="G50" s="282">
        <f t="shared" si="26"/>
        <v>7271241301125.0781</v>
      </c>
      <c r="O50" s="99">
        <v>6</v>
      </c>
      <c r="P50" s="93">
        <f t="shared" si="31"/>
        <v>9892440</v>
      </c>
      <c r="Q50" s="1">
        <f t="shared" si="27"/>
        <v>89031996</v>
      </c>
      <c r="R50" s="9">
        <f>SUM($Q$45:Q50)</f>
        <v>94269159</v>
      </c>
      <c r="S50" s="277">
        <f t="shared" si="28"/>
        <v>94845985.101034611</v>
      </c>
      <c r="T50" s="9">
        <f t="shared" si="29"/>
        <v>4.231668910208551E-3</v>
      </c>
      <c r="U50" s="282">
        <f t="shared" si="30"/>
        <v>38067081680976.07</v>
      </c>
    </row>
    <row r="51" spans="1:21" x14ac:dyDescent="0.2">
      <c r="A51" s="97">
        <v>7</v>
      </c>
      <c r="B51" s="93">
        <f t="shared" si="25"/>
        <v>34012224</v>
      </c>
      <c r="C51" s="1">
        <f t="shared" si="22"/>
        <v>306110016</v>
      </c>
      <c r="D51" s="9">
        <f>SUM($C$45:C51)</f>
        <v>324116487</v>
      </c>
      <c r="E51" s="9">
        <f t="shared" si="23"/>
        <v>324937925.6960268</v>
      </c>
      <c r="F51" s="9">
        <f t="shared" si="24"/>
        <v>1.1262403043205551E-2</v>
      </c>
      <c r="G51" s="282">
        <f t="shared" si="26"/>
        <v>1189136946045612</v>
      </c>
      <c r="O51" s="99">
        <v>7</v>
      </c>
      <c r="P51" s="93">
        <f t="shared" si="31"/>
        <v>178063992</v>
      </c>
      <c r="Q51" s="1">
        <f t="shared" si="27"/>
        <v>1602575964</v>
      </c>
      <c r="R51" s="9">
        <f>SUM($Q$45:Q51)</f>
        <v>1696845123</v>
      </c>
      <c r="S51" s="277">
        <f t="shared" si="28"/>
        <v>1701145596.1357481</v>
      </c>
      <c r="T51" s="9">
        <f t="shared" si="29"/>
        <v>2.1512455438998201E-3</v>
      </c>
      <c r="U51" s="282">
        <f t="shared" si="30"/>
        <v>6225481604323975</v>
      </c>
    </row>
    <row r="52" spans="1:21" x14ac:dyDescent="0.2">
      <c r="A52" s="97">
        <v>8</v>
      </c>
      <c r="B52" s="93">
        <f t="shared" si="25"/>
        <v>612220032</v>
      </c>
      <c r="C52" s="1">
        <f t="shared" si="22"/>
        <v>5509980288</v>
      </c>
      <c r="D52" s="9">
        <f>SUM($C$45:C52)</f>
        <v>5834096775</v>
      </c>
      <c r="E52" s="9">
        <f t="shared" si="23"/>
        <v>5840238282.7751627</v>
      </c>
      <c r="F52" s="9">
        <f t="shared" si="24"/>
        <v>5.67493572643711E-3</v>
      </c>
      <c r="G52" s="282">
        <f t="shared" si="26"/>
        <v>1.9356288239037526E+17</v>
      </c>
      <c r="O52" s="99">
        <v>8</v>
      </c>
      <c r="P52" s="93">
        <f t="shared" si="31"/>
        <v>3205151928</v>
      </c>
      <c r="Q52" s="1">
        <f t="shared" si="27"/>
        <v>28846367388</v>
      </c>
      <c r="R52" s="9">
        <f>SUM($Q$45:Q52)</f>
        <v>30543212511</v>
      </c>
      <c r="S52" s="277">
        <f t="shared" si="28"/>
        <v>30575365110.51096</v>
      </c>
      <c r="T52" s="9">
        <f t="shared" si="29"/>
        <v>1.0839764876734981E-3</v>
      </c>
      <c r="U52" s="282">
        <f t="shared" si="30"/>
        <v>1.0133586190110689E+18</v>
      </c>
    </row>
    <row r="53" spans="1:21" x14ac:dyDescent="0.2">
      <c r="A53" s="97">
        <v>9</v>
      </c>
      <c r="B53" s="93">
        <f t="shared" si="25"/>
        <v>11019960576</v>
      </c>
      <c r="C53" s="1">
        <f t="shared" si="22"/>
        <v>99179645184</v>
      </c>
      <c r="D53" s="9">
        <f>SUM($C$45:C53)</f>
        <v>105013741959</v>
      </c>
      <c r="E53" s="9">
        <f t="shared" si="23"/>
        <v>105059712934.10281</v>
      </c>
      <c r="F53" s="9">
        <f t="shared" si="24"/>
        <v>2.8476364581248603E-3</v>
      </c>
      <c r="G53" s="282">
        <f t="shared" si="26"/>
        <v>3.1430910657373663E+19</v>
      </c>
      <c r="O53" s="99">
        <v>9</v>
      </c>
      <c r="P53" s="93">
        <f t="shared" si="31"/>
        <v>57692734776</v>
      </c>
      <c r="Q53" s="1">
        <f t="shared" si="27"/>
        <v>519234613020</v>
      </c>
      <c r="R53" s="9">
        <f>SUM($Q$45:Q53)</f>
        <v>549777825531</v>
      </c>
      <c r="S53" s="277">
        <f t="shared" si="28"/>
        <v>550018497106.52991</v>
      </c>
      <c r="T53" s="9">
        <f t="shared" si="29"/>
        <v>5.4393055943596422E-4</v>
      </c>
      <c r="U53" s="282">
        <f t="shared" si="30"/>
        <v>1.6455006167113423E+20</v>
      </c>
    </row>
    <row r="54" spans="1:21" ht="17" thickBot="1" x14ac:dyDescent="0.25">
      <c r="A54" s="145">
        <v>10</v>
      </c>
      <c r="B54" s="94">
        <f t="shared" si="25"/>
        <v>198359290368</v>
      </c>
      <c r="C54" s="111">
        <f t="shared" si="22"/>
        <v>1785233613312</v>
      </c>
      <c r="D54" s="10">
        <f>SUM($C$45:C54)</f>
        <v>1890247355271</v>
      </c>
      <c r="E54" s="10">
        <f t="shared" si="23"/>
        <v>1890591628923.3245</v>
      </c>
      <c r="F54" s="10">
        <f t="shared" si="24"/>
        <v>1.4261559263891747E-3</v>
      </c>
      <c r="G54" s="283">
        <f t="shared" si="26"/>
        <v>5.0975614781046307E+21</v>
      </c>
      <c r="O54" s="100">
        <v>10</v>
      </c>
      <c r="P54" s="94">
        <f t="shared" si="31"/>
        <v>1038469226040</v>
      </c>
      <c r="Q54" s="111">
        <f t="shared" si="27"/>
        <v>9346223034396</v>
      </c>
      <c r="R54" s="10">
        <f>SUM($Q$45:Q54)</f>
        <v>9896000859927</v>
      </c>
      <c r="S54" s="278">
        <f t="shared" si="28"/>
        <v>9897803233753.8711</v>
      </c>
      <c r="T54" s="10">
        <f t="shared" si="29"/>
        <v>2.7241180616480735E-4</v>
      </c>
      <c r="U54" s="283">
        <f t="shared" si="30"/>
        <v>2.6687233620608312E+22</v>
      </c>
    </row>
  </sheetData>
  <mergeCells count="2">
    <mergeCell ref="A18:F18"/>
    <mergeCell ref="O18:T18"/>
  </mergeCells>
  <conditionalFormatting sqref="F45:F54">
    <cfRule type="cellIs" dxfId="723" priority="77" operator="equal">
      <formula>MAX($F$45:$F$54)</formula>
    </cfRule>
  </conditionalFormatting>
  <conditionalFormatting sqref="F21:F30">
    <cfRule type="cellIs" dxfId="722" priority="75" operator="equal">
      <formula>MAX($F$21:$F$30)</formula>
    </cfRule>
  </conditionalFormatting>
  <conditionalFormatting sqref="E33:E42">
    <cfRule type="cellIs" dxfId="721" priority="71" stopIfTrue="1" operator="lessThan">
      <formula>0</formula>
    </cfRule>
    <cfRule type="cellIs" dxfId="720" priority="72" operator="equal">
      <formula>MIN($E$33:$E$42)</formula>
    </cfRule>
  </conditionalFormatting>
  <conditionalFormatting sqref="E21:E30">
    <cfRule type="cellIs" dxfId="719" priority="67" stopIfTrue="1" operator="lessThan">
      <formula>0</formula>
    </cfRule>
    <cfRule type="cellIs" dxfId="718" priority="68" operator="equal">
      <formula>MIN($E$21:$E$30)</formula>
    </cfRule>
  </conditionalFormatting>
  <conditionalFormatting sqref="E45:E54">
    <cfRule type="cellIs" dxfId="717" priority="63" stopIfTrue="1" operator="lessThan">
      <formula>0</formula>
    </cfRule>
    <cfRule type="cellIs" dxfId="716" priority="64" operator="equal">
      <formula>MIN($E$45:$E$54)</formula>
    </cfRule>
  </conditionalFormatting>
  <conditionalFormatting sqref="F33:F42">
    <cfRule type="cellIs" dxfId="715" priority="45" operator="lessThanOrEqual">
      <formula>0</formula>
    </cfRule>
    <cfRule type="cellIs" dxfId="714" priority="46" operator="equal">
      <formula>MAX($F$33:$F$42)</formula>
    </cfRule>
  </conditionalFormatting>
  <conditionalFormatting sqref="R7:R16">
    <cfRule type="cellIs" dxfId="713" priority="27" operator="lessThanOrEqual">
      <formula>0</formula>
    </cfRule>
    <cfRule type="cellIs" dxfId="712" priority="28" operator="greaterThan">
      <formula>0</formula>
    </cfRule>
  </conditionalFormatting>
  <conditionalFormatting sqref="T21:T30">
    <cfRule type="cellIs" dxfId="711" priority="19" operator="equal">
      <formula>MAX($T$21:$T$30)</formula>
    </cfRule>
  </conditionalFormatting>
  <conditionalFormatting sqref="S33:S42">
    <cfRule type="cellIs" dxfId="710" priority="17" stopIfTrue="1" operator="lessThan">
      <formula>0</formula>
    </cfRule>
    <cfRule type="cellIs" dxfId="709" priority="18" operator="equal">
      <formula>MIN($E$21:$E$30)</formula>
    </cfRule>
  </conditionalFormatting>
  <conditionalFormatting sqref="T33:T42">
    <cfRule type="cellIs" dxfId="708" priority="16" operator="equal">
      <formula>MAX($T$21:$T$30)</formula>
    </cfRule>
  </conditionalFormatting>
  <conditionalFormatting sqref="S45:S54">
    <cfRule type="cellIs" dxfId="707" priority="14" stopIfTrue="1" operator="lessThan">
      <formula>0</formula>
    </cfRule>
    <cfRule type="cellIs" dxfId="706" priority="15" operator="equal">
      <formula>MIN($E$21:$E$30)</formula>
    </cfRule>
  </conditionalFormatting>
  <conditionalFormatting sqref="T45:T54">
    <cfRule type="cellIs" dxfId="705" priority="13" operator="equal">
      <formula>MAX($T$21:$T$30)</formula>
    </cfRule>
  </conditionalFormatting>
  <conditionalFormatting sqref="S21:S30">
    <cfRule type="cellIs" dxfId="704" priority="11" stopIfTrue="1" operator="lessThan">
      <formula>0</formula>
    </cfRule>
    <cfRule type="cellIs" dxfId="703" priority="12" operator="equal">
      <formula>MIN($E$21:$E$30)</formula>
    </cfRule>
  </conditionalFormatting>
  <conditionalFormatting sqref="U7:U16">
    <cfRule type="cellIs" dxfId="702" priority="7" operator="lessThanOrEqual">
      <formula>0</formula>
    </cfRule>
    <cfRule type="cellIs" dxfId="701" priority="8" operator="greaterThan">
      <formula>0</formula>
    </cfRule>
  </conditionalFormatting>
  <conditionalFormatting sqref="S7:T16">
    <cfRule type="cellIs" dxfId="700" priority="1" operator="lessThanOrEqual">
      <formula>0</formula>
    </cfRule>
    <cfRule type="cellIs" dxfId="699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14" max="14" width="5.6640625" bestFit="1" customWidth="1"/>
  </cols>
  <sheetData>
    <row r="1" spans="1:23" x14ac:dyDescent="0.2">
      <c r="C1" t="s">
        <v>95</v>
      </c>
      <c r="D1">
        <f>C2+E2</f>
        <v>0.99999999999999978</v>
      </c>
    </row>
    <row r="2" spans="1:23" x14ac:dyDescent="0.2">
      <c r="A2" t="s">
        <v>40</v>
      </c>
      <c r="B2" s="149" t="s">
        <v>125</v>
      </c>
      <c r="C2" s="155">
        <f>Analysis!B17</f>
        <v>0.70916938988868072</v>
      </c>
      <c r="D2" s="149" t="s">
        <v>126</v>
      </c>
      <c r="E2" s="155">
        <f>Analysis!M17</f>
        <v>0.29083061011131911</v>
      </c>
      <c r="F2" s="149" t="s">
        <v>47</v>
      </c>
      <c r="G2" s="155">
        <f>Analysis!S17</f>
        <v>7.3310349619076991</v>
      </c>
      <c r="H2" t="s">
        <v>155</v>
      </c>
      <c r="I2" s="169">
        <f>Analysis!T17</f>
        <v>-7.7601827529910592</v>
      </c>
      <c r="J2" t="s">
        <v>48</v>
      </c>
      <c r="K2" s="169">
        <f>C2*G2+E2*I2</f>
        <v>2.9420469065609449</v>
      </c>
      <c r="L2" t="s">
        <v>47</v>
      </c>
      <c r="M2" s="176">
        <v>1</v>
      </c>
      <c r="N2" t="s">
        <v>155</v>
      </c>
      <c r="O2" s="176">
        <v>10</v>
      </c>
    </row>
    <row r="4" spans="1:23" x14ac:dyDescent="0.2">
      <c r="A4" t="s">
        <v>123</v>
      </c>
      <c r="B4">
        <f>$C$2</f>
        <v>0.70916938988868072</v>
      </c>
      <c r="C4" t="s">
        <v>124</v>
      </c>
      <c r="D4">
        <f>$E$2</f>
        <v>0.29083061011131911</v>
      </c>
      <c r="E4" t="s">
        <v>47</v>
      </c>
      <c r="F4">
        <f>G2</f>
        <v>7.3310349619076991</v>
      </c>
      <c r="G4" t="s">
        <v>155</v>
      </c>
      <c r="H4">
        <f>I2</f>
        <v>-7.7601827529910592</v>
      </c>
      <c r="I4" t="s">
        <v>48</v>
      </c>
      <c r="J4">
        <f>K2</f>
        <v>2.9420469065609449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182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0.70916938988868072</v>
      </c>
      <c r="C7" s="95">
        <v>1</v>
      </c>
      <c r="D7" s="109">
        <f>C7*D4</f>
        <v>0.29083061011131911</v>
      </c>
      <c r="E7" s="110"/>
      <c r="F7" s="110"/>
      <c r="G7" s="110"/>
      <c r="H7" s="110"/>
      <c r="I7" s="110"/>
      <c r="J7" s="110"/>
      <c r="K7" s="110"/>
      <c r="L7" s="110"/>
      <c r="M7" s="258"/>
      <c r="N7" s="95">
        <f>B7+D7</f>
        <v>0.99999999999999978</v>
      </c>
      <c r="R7" s="296">
        <f>B7-D7</f>
        <v>0.41833877977736161</v>
      </c>
      <c r="S7" s="297">
        <f>SUM(C7)*B4*F4*POWER(O2,A7-1)</f>
        <v>5.1989455911886706</v>
      </c>
      <c r="T7" s="276">
        <f>SUM(C7)*D4*H4*POWER(O2,A7-1)</f>
        <v>-2.2568986846277257</v>
      </c>
      <c r="U7" s="294">
        <f>S7+T7</f>
        <v>2.9420469065609449</v>
      </c>
      <c r="V7" s="109">
        <f>(U7+W7*D7)/B7</f>
        <v>4.5586816954687412</v>
      </c>
      <c r="W7" s="57">
        <f>COUNT(D7:M7)</f>
        <v>1</v>
      </c>
    </row>
    <row r="8" spans="1:23" x14ac:dyDescent="0.2">
      <c r="A8" s="99">
        <v>2</v>
      </c>
      <c r="B8" s="97">
        <f>C8*B4</f>
        <v>0.89343968707822785</v>
      </c>
      <c r="C8" s="97">
        <f>1/(1-B4*D4)</f>
        <v>1.259839609290627</v>
      </c>
      <c r="D8" s="93">
        <f>C8*D4</f>
        <v>0.36639992221239892</v>
      </c>
      <c r="E8" s="1">
        <f>D8*D4</f>
        <v>0.10656031292177184</v>
      </c>
      <c r="F8" s="1"/>
      <c r="G8" s="1"/>
      <c r="H8" s="1"/>
      <c r="I8" s="1"/>
      <c r="J8" s="1"/>
      <c r="K8" s="1"/>
      <c r="L8" s="1"/>
      <c r="M8" s="257"/>
      <c r="N8" s="97">
        <f>B8+E8</f>
        <v>0.99999999999999967</v>
      </c>
      <c r="R8" s="298">
        <f>B8-E8</f>
        <v>0.78687937415645604</v>
      </c>
      <c r="S8" s="299">
        <f>SUM(C8:D8)*B4*F4*POWER(O2,A8-1)</f>
        <v>84.547308425243855</v>
      </c>
      <c r="T8" s="277">
        <f>SUM(C8:D8)*D4*H4*POWER(O2,A8-1)</f>
        <v>-36.702578595387877</v>
      </c>
      <c r="U8" s="295">
        <f>S8+T8+U7</f>
        <v>50.786776736416925</v>
      </c>
      <c r="V8" s="93">
        <f>(U8+W8*E8)/B8</f>
        <v>57.082641503247906</v>
      </c>
      <c r="W8" s="9">
        <f>COUNT(D8:M8)</f>
        <v>2</v>
      </c>
    </row>
    <row r="9" spans="1:23" x14ac:dyDescent="0.2">
      <c r="A9" s="99">
        <v>3</v>
      </c>
      <c r="B9" s="97">
        <f>C9*B4</f>
        <v>0.95812934438305952</v>
      </c>
      <c r="C9" s="97">
        <f>1/(1-D4*B4/(1-D4*B4))</f>
        <v>1.3510585172513698</v>
      </c>
      <c r="D9" s="93">
        <f>C9*D4*C8</f>
        <v>0.49502773562530095</v>
      </c>
      <c r="E9" s="1">
        <f>D9*(D4)</f>
        <v>0.14396921837393106</v>
      </c>
      <c r="F9" s="1">
        <f>E9*D4</f>
        <v>4.1870655616940103E-2</v>
      </c>
      <c r="G9" s="1"/>
      <c r="H9" s="1"/>
      <c r="I9" s="1"/>
      <c r="J9" s="1"/>
      <c r="K9" s="1"/>
      <c r="L9" s="1"/>
      <c r="M9" s="257"/>
      <c r="N9" s="97">
        <f>B9+F9</f>
        <v>0.99999999999999967</v>
      </c>
      <c r="R9" s="298">
        <f>B9-F9</f>
        <v>0.91625868876611938</v>
      </c>
      <c r="S9" s="299">
        <f>SUM(C9:E9)*B4*F4*POWER(O2,A9-1)</f>
        <v>1034.619011847921</v>
      </c>
      <c r="T9" s="277">
        <f>SUM(C9:E9)*D4*H4*POWER(O2,A9-1)</f>
        <v>-449.13535754016925</v>
      </c>
      <c r="U9" s="295">
        <f t="shared" ref="U9:U16" si="0">S9+T9+U8</f>
        <v>636.27043104416862</v>
      </c>
      <c r="V9" s="93">
        <f>(U9+W9*F9)/B9</f>
        <v>664.20681794355801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0.98311870141729729</v>
      </c>
      <c r="C10" s="97">
        <f>1/(1-D4*B4/(1-D4*B4/(1-D4*B4)))</f>
        <v>1.3862960181792656</v>
      </c>
      <c r="D10" s="93">
        <f>C10*D4*C9</f>
        <v>0.54471614777381061</v>
      </c>
      <c r="E10" s="1">
        <f>D10*D4*C8</f>
        <v>0.19958395417216182</v>
      </c>
      <c r="F10" s="1">
        <f>E10*D4</f>
        <v>5.8045123160319373E-2</v>
      </c>
      <c r="G10" s="1">
        <f>F10*D4</f>
        <v>1.6881298582702344E-2</v>
      </c>
      <c r="H10" s="1"/>
      <c r="I10" s="1"/>
      <c r="J10" s="1"/>
      <c r="K10" s="1"/>
      <c r="L10" s="1"/>
      <c r="M10" s="257"/>
      <c r="N10" s="97">
        <f>B10+G10</f>
        <v>0.99999999999999967</v>
      </c>
      <c r="R10" s="298">
        <f>B10-G10</f>
        <v>0.96623740283459492</v>
      </c>
      <c r="S10" s="299">
        <f>SUM(C10:F10)*B4*F4*POWER(O2,A10-1)</f>
        <v>11378.626742473138</v>
      </c>
      <c r="T10" s="277">
        <f>SUM(C10:F10)*D4*H4*POWER(O2,A10-1)</f>
        <v>-4939.5415430931635</v>
      </c>
      <c r="U10" s="295">
        <f t="shared" si="0"/>
        <v>7075.3556304241429</v>
      </c>
      <c r="V10" s="93">
        <f>(U10+W10*G10)/B10</f>
        <v>7196.9164511043318</v>
      </c>
      <c r="W10" s="9">
        <f t="shared" si="1"/>
        <v>4</v>
      </c>
    </row>
    <row r="11" spans="1:23" x14ac:dyDescent="0.2">
      <c r="A11" s="99">
        <v>5</v>
      </c>
      <c r="B11" s="97">
        <f>C11*B4</f>
        <v>0.99312457242541641</v>
      </c>
      <c r="C11" s="97">
        <f>1/(1-D4*B4/(1-D4*B4/(1-D4*B4/(1-D4*B4))))</f>
        <v>1.4004053003208563</v>
      </c>
      <c r="D11" s="93">
        <f>C11*D4*C10</f>
        <v>0.56461165136260105</v>
      </c>
      <c r="E11" s="1">
        <f>D11*D4*C9</f>
        <v>0.22185238916171748</v>
      </c>
      <c r="F11" s="1">
        <f>E11*D4*C8</f>
        <v>8.1286698131488144E-2</v>
      </c>
      <c r="G11" s="1">
        <f>F11*D4</f>
        <v>2.3640660011515321E-2</v>
      </c>
      <c r="H11" s="1">
        <f>G11*D4</f>
        <v>6.8754275745832646E-3</v>
      </c>
      <c r="I11" s="1"/>
      <c r="J11" s="1"/>
      <c r="K11" s="1"/>
      <c r="L11" s="1"/>
      <c r="M11" s="257"/>
      <c r="N11" s="97">
        <f>B11+H11</f>
        <v>0.99999999999999967</v>
      </c>
      <c r="R11" s="298">
        <f>B11-H11</f>
        <v>0.98624914485083315</v>
      </c>
      <c r="S11" s="299">
        <f>SUM(C11:G11)*B4*F4*POWER(O2,A11-1)</f>
        <v>119149.26344105339</v>
      </c>
      <c r="T11" s="277">
        <f>SUM(C11:G11)*D4*H4*POWER(O2,A11-1)</f>
        <v>-51723.529553805827</v>
      </c>
      <c r="U11" s="295">
        <f t="shared" si="0"/>
        <v>74501.089517671702</v>
      </c>
      <c r="V11" s="93">
        <f>(U11+W11*H11)/B11</f>
        <v>75016.897137951542</v>
      </c>
      <c r="W11" s="9">
        <f t="shared" si="1"/>
        <v>5</v>
      </c>
    </row>
    <row r="12" spans="1:23" x14ac:dyDescent="0.2">
      <c r="A12" s="99">
        <v>6</v>
      </c>
      <c r="B12" s="97">
        <f>C12*B4</f>
        <v>0.99718831266904151</v>
      </c>
      <c r="C12" s="97">
        <f>1/(1-D4*B4/(1-D4*B4/(1-D4*B4/(1-D4*B4/(1-D4*B4)))))</f>
        <v>1.4061355818326726</v>
      </c>
      <c r="D12" s="93">
        <f>C12*D4*C11</f>
        <v>0.5726919232884885</v>
      </c>
      <c r="E12" s="1">
        <f>D12*D4*C10</f>
        <v>0.2308963929627037</v>
      </c>
      <c r="F12" s="1">
        <f>E12*D4*C9</f>
        <v>9.0725928705111453E-2</v>
      </c>
      <c r="G12" s="1">
        <f>F12*D4*C8</f>
        <v>3.3241973220200484E-2</v>
      </c>
      <c r="H12" s="1">
        <f>G12*D4</f>
        <v>9.6677833529350381E-3</v>
      </c>
      <c r="I12" s="1">
        <f>H12*D4</f>
        <v>2.8116873309581513E-3</v>
      </c>
      <c r="J12" s="1"/>
      <c r="K12" s="1"/>
      <c r="L12" s="1"/>
      <c r="M12" s="257"/>
      <c r="N12" s="97">
        <f>B12+I12</f>
        <v>0.99999999999999967</v>
      </c>
      <c r="R12" s="298">
        <f>B12-I12</f>
        <v>0.99437662533808335</v>
      </c>
      <c r="S12" s="299">
        <f>SUM(C12:H12)*B4*F4*POWER(O2,A12-1)</f>
        <v>1218299.897449017</v>
      </c>
      <c r="T12" s="277">
        <f>SUM(C12:H12)*D4*H4*POWER(O2,A12-1)</f>
        <v>-528872.51612997253</v>
      </c>
      <c r="U12" s="295">
        <f t="shared" si="0"/>
        <v>763928.47083671624</v>
      </c>
      <c r="V12" s="93">
        <f>(U12+W12*I12)/B12</f>
        <v>766082.47208807967</v>
      </c>
      <c r="W12" s="9">
        <f t="shared" si="1"/>
        <v>6</v>
      </c>
    </row>
    <row r="13" spans="1:23" x14ac:dyDescent="0.2">
      <c r="A13" s="99">
        <v>7</v>
      </c>
      <c r="B13" s="97">
        <f>C13*B4</f>
        <v>0.99884825410904732</v>
      </c>
      <c r="C13" s="97">
        <f>1/(1-D4*B4/(1-D4*B4/(1-D4*B4/(1-D4*B4/(1-D4*B4/(1-D4*B4))))))</f>
        <v>1.4084762658267553</v>
      </c>
      <c r="D13" s="93">
        <f>C13*D4*C12</f>
        <v>0.5759925225916398</v>
      </c>
      <c r="E13" s="1">
        <f>D13*D4*C11</f>
        <v>0.23459065386345354</v>
      </c>
      <c r="F13" s="1">
        <f>E13*D4*C10</f>
        <v>9.4581630362102834E-2</v>
      </c>
      <c r="G13" s="1">
        <f>F13*D4*C9</f>
        <v>3.7163881786717305E-2</v>
      </c>
      <c r="H13" s="1">
        <f>G13*D4*C8</f>
        <v>1.3616843395764012E-2</v>
      </c>
      <c r="I13" s="1">
        <f>H13*D4</f>
        <v>3.9601948725803337E-3</v>
      </c>
      <c r="J13" s="1">
        <f>I13*D4</f>
        <v>1.151745890952256E-3</v>
      </c>
      <c r="K13" s="1"/>
      <c r="L13" s="1"/>
      <c r="M13" s="257"/>
      <c r="N13" s="97">
        <f>B13+J13</f>
        <v>0.99999999999999956</v>
      </c>
      <c r="R13" s="298">
        <f>B13-J13</f>
        <v>0.99769650821809508</v>
      </c>
      <c r="S13" s="299">
        <f>SUM(C13:I13)*B4*F4*POWER(O2,A13-1)</f>
        <v>12313089.119193176</v>
      </c>
      <c r="T13" s="277">
        <f>SUM(C13:I13)*D4*H4*POWER(O2,A13-1)</f>
        <v>-5345198.2040183954</v>
      </c>
      <c r="U13" s="295">
        <f t="shared" si="0"/>
        <v>7731819.3860114962</v>
      </c>
      <c r="V13" s="93">
        <f>(U13+W13*J13)/B13</f>
        <v>7740734.7535190377</v>
      </c>
      <c r="W13" s="9">
        <f t="shared" si="1"/>
        <v>7</v>
      </c>
    </row>
    <row r="14" spans="1:23" x14ac:dyDescent="0.2">
      <c r="A14" s="99">
        <v>8</v>
      </c>
      <c r="B14" s="97">
        <f>C14*B4</f>
        <v>0.9995278916065643</v>
      </c>
      <c r="C14" s="97">
        <f>1/(1-D4*B4/(1-D4*B4/(1-D4*B4/(1-D4*B4/(1-D4*B4/(1-D4*B4/(1-D4*B4)))))))</f>
        <v>1.4094346228951895</v>
      </c>
      <c r="D14" s="93">
        <f>C14*D4*C13</f>
        <v>0.57734390222265364</v>
      </c>
      <c r="E14" s="1">
        <f>D14*D4*C12</f>
        <v>0.23610321218222852</v>
      </c>
      <c r="F14" s="1">
        <f>E14*D4*C11</f>
        <v>9.6160288116029474E-2</v>
      </c>
      <c r="G14" s="1">
        <f>F14*D4*C10</f>
        <v>3.8769646941678539E-2</v>
      </c>
      <c r="H14" s="1">
        <f>G14*D4*C9</f>
        <v>1.5233725305190154E-2</v>
      </c>
      <c r="I14" s="1">
        <f>H14*D4*C8</f>
        <v>5.5816357668267251E-3</v>
      </c>
      <c r="J14" s="1">
        <f>I14*D4</f>
        <v>1.6233105354853769E-3</v>
      </c>
      <c r="K14" s="1">
        <f>J14*D4</f>
        <v>4.7210839343534431E-4</v>
      </c>
      <c r="L14" s="1"/>
      <c r="M14" s="257"/>
      <c r="N14" s="97">
        <f>B14+K14</f>
        <v>0.99999999999999967</v>
      </c>
      <c r="R14" s="298">
        <f>B14-K14</f>
        <v>0.99905578321312893</v>
      </c>
      <c r="S14" s="299">
        <f>SUM(C14:J14)*B4*F4*POWER(O2,A14-1)</f>
        <v>123747920.31683619</v>
      </c>
      <c r="T14" s="277">
        <f>SUM(C14:J14)*D4*H4*POWER(O2,A14-1)</f>
        <v>-53719838.70379936</v>
      </c>
      <c r="U14" s="295">
        <f t="shared" si="0"/>
        <v>77759900.999048337</v>
      </c>
      <c r="V14" s="93">
        <f>(U14+W14*K14)/B14</f>
        <v>77796629.444566995</v>
      </c>
      <c r="W14" s="9">
        <f t="shared" si="1"/>
        <v>8</v>
      </c>
    </row>
    <row r="15" spans="1:23" x14ac:dyDescent="0.2">
      <c r="A15" s="99">
        <v>9</v>
      </c>
      <c r="B15" s="97">
        <f>C15*B4</f>
        <v>0.99980642566414835</v>
      </c>
      <c r="C15" s="97">
        <f>1/(1-D4*B4/(1-D4*B4/(1-D4*B4/(1-D4*B4/(1-D4*B4/(1-D4*B4/(1-D4*B4/(1-D4*B4))))))))</f>
        <v>1.4098273838653546</v>
      </c>
      <c r="D15" s="93">
        <f>C15*D4*C14</f>
        <v>0.57789773460144089</v>
      </c>
      <c r="E15" s="1">
        <f>D15*D4*C13</f>
        <v>0.23672310000095578</v>
      </c>
      <c r="F15" s="1">
        <f>E15*D4*C12</f>
        <v>9.6807265293339981E-2</v>
      </c>
      <c r="G15" s="1">
        <f>F15*D4*C11</f>
        <v>3.9427733474238447E-2</v>
      </c>
      <c r="H15" s="1">
        <f>G15*D4*C10</f>
        <v>1.5896367788149488E-2</v>
      </c>
      <c r="I15" s="1">
        <f>H15*D4*C9</f>
        <v>6.246146646608026E-3</v>
      </c>
      <c r="J15" s="1">
        <f>I15*D4*C8</f>
        <v>2.2885876454444174E-3</v>
      </c>
      <c r="K15" s="1">
        <f>J15*D4</f>
        <v>6.655913412178272E-4</v>
      </c>
      <c r="L15" s="1">
        <f>K15*D4</f>
        <v>1.9357433585119187E-4</v>
      </c>
      <c r="M15" s="257"/>
      <c r="N15" s="97">
        <f>B15+L15</f>
        <v>0.99999999999999956</v>
      </c>
      <c r="R15" s="298">
        <f>B15-L15</f>
        <v>0.99961285132829714</v>
      </c>
      <c r="S15" s="299">
        <f>SUM(C15:K15)*B4*F4*POWER(O2,A15-1)</f>
        <v>1240353994.8055408</v>
      </c>
      <c r="T15" s="277">
        <f>SUM(C15:K15)*D4*H4*POWER(O2,A15-1)</f>
        <v>-538446354.21724713</v>
      </c>
      <c r="U15" s="295">
        <f t="shared" si="0"/>
        <v>779667541.58734202</v>
      </c>
      <c r="V15" s="93">
        <f>(U15+W15*L15)/B15</f>
        <v>779818494.43622947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0.99992062139991345</v>
      </c>
      <c r="C16" s="145">
        <f>1/(1-D4*B4/(1-D4*B4/(1-D4*B4/(1-D4*B4/(1-D4*B4/(1-D4*B4/(1-D4*B4/(1-D4*B4/(1-D4*B4)))))))))</f>
        <v>1.4099884113115377</v>
      </c>
      <c r="D16" s="94">
        <f>C16*D4*C15</f>
        <v>0.57812479945855277</v>
      </c>
      <c r="E16" s="111">
        <f>D16*D4*C14</f>
        <v>0.23697724682294716</v>
      </c>
      <c r="F16" s="111">
        <f>E16*D4*C13</f>
        <v>9.7072518438420324E-2</v>
      </c>
      <c r="G16" s="111">
        <f>F16*D4*C12</f>
        <v>3.96975413262282E-2</v>
      </c>
      <c r="H16" s="111">
        <f>G16*D4*C11</f>
        <v>1.6168043527005519E-2</v>
      </c>
      <c r="I16" s="111">
        <f>H16*D4*C10</f>
        <v>6.5185884065087924E-3</v>
      </c>
      <c r="J16" s="111">
        <f>I16*D4*C9</f>
        <v>2.5613435508384549E-3</v>
      </c>
      <c r="K16" s="111">
        <f>J16*D4*C8</f>
        <v>9.3847607778643955E-4</v>
      </c>
      <c r="L16" s="111">
        <f>K16*D4</f>
        <v>2.72937570277508E-4</v>
      </c>
      <c r="M16" s="259">
        <f>L16*D4</f>
        <v>7.9378600086108691E-5</v>
      </c>
      <c r="N16" s="145">
        <f>B16+M16</f>
        <v>0.99999999999999956</v>
      </c>
      <c r="R16" s="300">
        <f>B16-M16</f>
        <v>0.99984124279982733</v>
      </c>
      <c r="S16" s="301">
        <f>SUM(C16:L16)*B4*F4*POWER(O2,A16-1)</f>
        <v>12416745248.194859</v>
      </c>
      <c r="T16" s="278">
        <f>SUM(C16:L16)*D4*H4*POWER(O2,A16-1)</f>
        <v>-5390196055.4277258</v>
      </c>
      <c r="U16" s="295">
        <f t="shared" si="0"/>
        <v>7806216734.354475</v>
      </c>
      <c r="V16" s="94">
        <f>(U16+W16*M16)/B16</f>
        <v>7806836430.1021948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6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10</v>
      </c>
      <c r="D21" s="57">
        <f>SUM($C$21:C21)</f>
        <v>10</v>
      </c>
      <c r="E21" s="57">
        <f t="shared" ref="E21:E30" si="3">D21/R7</f>
        <v>23.90407125373833</v>
      </c>
      <c r="F21" s="8">
        <f t="shared" ref="F21:F30" si="4">U7/E21</f>
        <v>0.12307723129384672</v>
      </c>
      <c r="G21" s="281">
        <f>E21*U7</f>
        <v>70.326898886273256</v>
      </c>
      <c r="O21" s="101">
        <v>1</v>
      </c>
      <c r="P21" s="109">
        <v>1</v>
      </c>
      <c r="Q21" s="110">
        <f>P21*10+45</f>
        <v>55</v>
      </c>
      <c r="R21" s="57">
        <f>SUM($Q$21)</f>
        <v>55</v>
      </c>
      <c r="S21" s="276">
        <f>R21/R7</f>
        <v>131.47239189556083</v>
      </c>
      <c r="T21" s="8">
        <f>U7/S21</f>
        <v>2.2377678417063035E-2</v>
      </c>
      <c r="U21" s="281">
        <f>S21*U7</f>
        <v>386.79794387450301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139.79270980119577</v>
      </c>
      <c r="F22" s="9">
        <f t="shared" si="4"/>
        <v>0.36330060994341279</v>
      </c>
      <c r="G22" s="282">
        <f t="shared" ref="G22:G30" si="5">E22*U8</f>
        <v>7099.6211420520513</v>
      </c>
      <c r="O22" s="99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77">
        <f t="shared" ref="S22:S30" si="7">R22/R8</f>
        <v>826.04783064342951</v>
      </c>
      <c r="T22" s="9">
        <f>U8/S22</f>
        <v>6.1481641682731403E-2</v>
      </c>
      <c r="U22" s="282">
        <f t="shared" ref="U22:U30" si="8">S22*U8</f>
        <v>41952.306748489391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1211.4482663130677</v>
      </c>
      <c r="F23" s="9">
        <f t="shared" si="4"/>
        <v>0.52521469445872382</v>
      </c>
      <c r="G23" s="282">
        <f t="shared" si="5"/>
        <v>770808.71059472638</v>
      </c>
      <c r="O23" s="99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77">
        <f t="shared" si="7"/>
        <v>7252.3186753606624</v>
      </c>
      <c r="T23" s="9">
        <f t="shared" ref="T23:T30" si="11">U9/S23</f>
        <v>8.7733380112743939E-2</v>
      </c>
      <c r="U23" s="282">
        <f t="shared" si="8"/>
        <v>4614435.9296414023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11498.209412518325</v>
      </c>
      <c r="F24" s="9">
        <f t="shared" si="4"/>
        <v>0.61534412677517125</v>
      </c>
      <c r="G24" s="282">
        <f t="shared" si="5"/>
        <v>81353920.70665741</v>
      </c>
      <c r="O24" s="99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77">
        <f t="shared" si="7"/>
        <v>68968.557628282739</v>
      </c>
      <c r="T24" s="9">
        <f t="shared" si="11"/>
        <v>0.10258813398067454</v>
      </c>
      <c r="U24" s="282">
        <f t="shared" si="8"/>
        <v>487977072.53750223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112659.15978746426</v>
      </c>
      <c r="F25" s="9">
        <f t="shared" si="4"/>
        <v>0.66129633540868582</v>
      </c>
      <c r="G25" s="282">
        <f t="shared" si="5"/>
        <v>8393230148.3115549</v>
      </c>
      <c r="O25" s="99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77">
        <f t="shared" si="7"/>
        <v>675929.61016034777</v>
      </c>
      <c r="T25" s="9">
        <f t="shared" si="11"/>
        <v>0.11022018919987563</v>
      </c>
      <c r="U25" s="282">
        <f t="shared" si="8"/>
        <v>50357492394.201004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1117393.5224213742</v>
      </c>
      <c r="F26" s="9">
        <f t="shared" si="4"/>
        <v>0.68367003701730367</v>
      </c>
      <c r="G26" s="282">
        <f t="shared" si="5"/>
        <v>853608724906.2124</v>
      </c>
      <c r="O26" s="99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77">
        <f t="shared" si="7"/>
        <v>6704330.9648729702</v>
      </c>
      <c r="T26" s="9">
        <f t="shared" si="11"/>
        <v>0.11394551892489853</v>
      </c>
      <c r="U26" s="282">
        <f t="shared" si="8"/>
        <v>5121629301978.6543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11136763.443068126</v>
      </c>
      <c r="F27" s="9">
        <f t="shared" si="4"/>
        <v>0.69426089774978794</v>
      </c>
      <c r="G27" s="282">
        <f t="shared" si="5"/>
        <v>86107443486538.281</v>
      </c>
      <c r="O27" s="99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77">
        <f t="shared" si="7"/>
        <v>66820545.577600405</v>
      </c>
      <c r="T27" s="9">
        <f t="shared" si="11"/>
        <v>0.11571021037283116</v>
      </c>
      <c r="U27" s="282">
        <f t="shared" si="8"/>
        <v>516644389680755.56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111216122.12948537</v>
      </c>
      <c r="F28" s="9">
        <f t="shared" si="4"/>
        <v>0.69917831614839954</v>
      </c>
      <c r="G28" s="282">
        <f t="shared" si="5"/>
        <v>8648154646286851</v>
      </c>
      <c r="O28" s="99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77">
        <f t="shared" si="7"/>
        <v>667296692.73910785</v>
      </c>
      <c r="T28" s="9">
        <f t="shared" si="11"/>
        <v>0.11652972634985025</v>
      </c>
      <c r="U28" s="282">
        <f t="shared" si="8"/>
        <v>5.18889247643854E+16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1111541441.7927327</v>
      </c>
      <c r="F29" s="9">
        <f t="shared" si="4"/>
        <v>0.70142912560225112</v>
      </c>
      <c r="G29" s="282">
        <f t="shared" si="5"/>
        <v>8.6663278329498957E+17</v>
      </c>
      <c r="O29" s="99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77">
        <f t="shared" si="7"/>
        <v>6669248605.7389679</v>
      </c>
      <c r="T29" s="9">
        <f t="shared" si="11"/>
        <v>0.11690485505614963</v>
      </c>
      <c r="U29" s="282">
        <f t="shared" si="8"/>
        <v>5.1997966646713098E+18</v>
      </c>
    </row>
    <row r="30" spans="1:21" ht="17" thickBot="1" x14ac:dyDescent="0.25">
      <c r="A30" s="145">
        <v>10</v>
      </c>
      <c r="B30" s="94">
        <f t="shared" si="9"/>
        <v>1000000000</v>
      </c>
      <c r="C30" s="111">
        <f t="shared" si="2"/>
        <v>10000000000</v>
      </c>
      <c r="D30" s="10">
        <f>SUM($C$21:C30)</f>
        <v>11111111110</v>
      </c>
      <c r="E30" s="10">
        <f t="shared" si="3"/>
        <v>11112875358.977859</v>
      </c>
      <c r="F30" s="10">
        <f t="shared" si="4"/>
        <v>0.70244796978200563</v>
      </c>
      <c r="G30" s="283">
        <f t="shared" si="5"/>
        <v>8.6749513594048463E+19</v>
      </c>
      <c r="O30" s="100">
        <v>10</v>
      </c>
      <c r="P30" s="94">
        <f t="shared" si="10"/>
        <v>5999999995</v>
      </c>
      <c r="Q30" s="111">
        <f t="shared" si="6"/>
        <v>59999999995</v>
      </c>
      <c r="R30" s="10">
        <f>SUM($Q$21:Q30)</f>
        <v>66666666610</v>
      </c>
      <c r="S30" s="278">
        <f t="shared" si="7"/>
        <v>66677252103.859215</v>
      </c>
      <c r="T30" s="10">
        <f t="shared" si="11"/>
        <v>0.11707466171814028</v>
      </c>
      <c r="U30" s="283">
        <f t="shared" si="8"/>
        <v>5.2049708117391796E+20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6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10</v>
      </c>
      <c r="D33" s="57">
        <f>SUM($C$33:C33)</f>
        <v>10</v>
      </c>
      <c r="E33" s="9">
        <f t="shared" ref="E33:E42" si="13">D33/R7</f>
        <v>23.90407125373833</v>
      </c>
      <c r="F33" s="8">
        <f t="shared" ref="F33:F42" si="14">U7/E33</f>
        <v>0.12307723129384672</v>
      </c>
      <c r="G33" s="284">
        <f>E33*U7</f>
        <v>70.326898886273256</v>
      </c>
      <c r="O33" s="101">
        <v>1</v>
      </c>
      <c r="P33" s="109">
        <v>1</v>
      </c>
      <c r="Q33" s="110">
        <f>P33*10+45</f>
        <v>55</v>
      </c>
      <c r="R33" s="57">
        <f>SUM($Q$21)</f>
        <v>55</v>
      </c>
      <c r="S33" s="276">
        <f>R33/R7</f>
        <v>131.47239189556083</v>
      </c>
      <c r="T33" s="8">
        <f>U7/S33</f>
        <v>2.2377678417063035E-2</v>
      </c>
      <c r="U33" s="284">
        <f>S33*U7</f>
        <v>386.79794387450301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152.50113796494082</v>
      </c>
      <c r="F34" s="9">
        <f t="shared" si="14"/>
        <v>0.33302555911479509</v>
      </c>
      <c r="G34" s="282">
        <f t="shared" ref="G34:G42" si="16">E34*U8</f>
        <v>7745.0412458749643</v>
      </c>
      <c r="O34" s="99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77">
        <f>R34/R8</f>
        <v>838.75625880717462</v>
      </c>
      <c r="T34" s="9">
        <f t="shared" ref="T34:T42" si="18">U8/S34</f>
        <v>6.0550101657235469E-2</v>
      </c>
      <c r="U34" s="282">
        <f t="shared" ref="U34:U42" si="19">S34*U8</f>
        <v>42597.726852312313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1451.5551299066487</v>
      </c>
      <c r="F35" s="9">
        <f t="shared" si="14"/>
        <v>0.43833707582645376</v>
      </c>
      <c r="G35" s="282">
        <f t="shared" si="16"/>
        <v>923581.60819007759</v>
      </c>
      <c r="O35" s="99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77">
        <f t="shared" ref="S35:S42" si="21">R35/R9</f>
        <v>7383.2860555026155</v>
      </c>
      <c r="T35" s="9">
        <f t="shared" si="18"/>
        <v>8.6177133902318334E-2</v>
      </c>
      <c r="U35" s="282">
        <f t="shared" si="19"/>
        <v>4697766.6010570489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15151.555877521898</v>
      </c>
      <c r="F36" s="9">
        <f t="shared" si="14"/>
        <v>0.46697221642569342</v>
      </c>
      <c r="G36" s="282">
        <f t="shared" si="16"/>
        <v>107202646.18771057</v>
      </c>
      <c r="O36" s="99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77">
        <f t="shared" si="21"/>
        <v>70241.536708156505</v>
      </c>
      <c r="T36" s="9">
        <f t="shared" si="18"/>
        <v>0.10072894133596805</v>
      </c>
      <c r="U36" s="282">
        <f t="shared" si="19"/>
        <v>496983852.23769927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163295.45210846115</v>
      </c>
      <c r="F37" s="9">
        <f t="shared" si="14"/>
        <v>0.45623493217795152</v>
      </c>
      <c r="G37" s="282">
        <f t="shared" si="16"/>
        <v>12165689095.361135</v>
      </c>
      <c r="O37" s="99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77">
        <f t="shared" si="21"/>
        <v>688441.6615668576</v>
      </c>
      <c r="T37" s="9">
        <f t="shared" si="18"/>
        <v>0.10821699742591272</v>
      </c>
      <c r="U37" s="282">
        <f t="shared" si="19"/>
        <v>51289653856.087105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1781578.4833012118</v>
      </c>
      <c r="F38" s="9">
        <f t="shared" si="14"/>
        <v>0.42879304953278258</v>
      </c>
      <c r="G38" s="282">
        <f t="shared" si="16"/>
        <v>1360998526423.8909</v>
      </c>
      <c r="O38" s="99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77">
        <f t="shared" si="21"/>
        <v>6828479.0963297281</v>
      </c>
      <c r="T38" s="9">
        <f t="shared" si="18"/>
        <v>0.1118738829042215</v>
      </c>
      <c r="U38" s="282">
        <f t="shared" si="19"/>
        <v>5216469594199.6514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19532162.175053068</v>
      </c>
      <c r="F39" s="9">
        <f t="shared" si="14"/>
        <v>0.39585066500659899</v>
      </c>
      <c r="G39" s="282">
        <f t="shared" si="16"/>
        <v>151019150155795.78</v>
      </c>
      <c r="O39" s="99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77">
        <f t="shared" si="21"/>
        <v>68057955.942206115</v>
      </c>
      <c r="T39" s="9">
        <f t="shared" si="18"/>
        <v>0.11360640029473192</v>
      </c>
      <c r="U39" s="282">
        <f t="shared" si="19"/>
        <v>526211823126265.56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214561472.54419202</v>
      </c>
      <c r="F40" s="9">
        <f t="shared" si="14"/>
        <v>0.36241315869526652</v>
      </c>
      <c r="G40" s="282">
        <f t="shared" si="16"/>
        <v>1.66842788632464E+16</v>
      </c>
      <c r="O40" s="99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77">
        <f t="shared" si="21"/>
        <v>679654030.74509406</v>
      </c>
      <c r="T40" s="9">
        <f t="shared" si="18"/>
        <v>0.11441100542551241</v>
      </c>
      <c r="U40" s="282">
        <f t="shared" si="19"/>
        <v>5.2849830144342672E+16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2358860919.87186</v>
      </c>
      <c r="F41" s="9">
        <f t="shared" si="14"/>
        <v>0.33052713494854785</v>
      </c>
      <c r="G41" s="282">
        <f t="shared" si="16"/>
        <v>1.8391272943429494E+18</v>
      </c>
      <c r="O41" s="99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77">
        <f t="shared" si="21"/>
        <v>6792753200.3787317</v>
      </c>
      <c r="T41" s="9">
        <f t="shared" si="18"/>
        <v>0.11477931239189898</v>
      </c>
      <c r="U41" s="282">
        <f t="shared" si="19"/>
        <v>5.2960891883488358E+18</v>
      </c>
    </row>
    <row r="42" spans="1:21" ht="17" thickBot="1" x14ac:dyDescent="0.25">
      <c r="A42" s="145">
        <v>10</v>
      </c>
      <c r="B42" s="94">
        <f t="shared" si="15"/>
        <v>2357947691</v>
      </c>
      <c r="C42" s="111">
        <f t="shared" si="12"/>
        <v>23579476910</v>
      </c>
      <c r="D42" s="10">
        <f>SUM($C$33:C42)</f>
        <v>25937424600</v>
      </c>
      <c r="E42" s="9">
        <f t="shared" si="13"/>
        <v>25941543006.735909</v>
      </c>
      <c r="F42" s="10">
        <f t="shared" si="14"/>
        <v>0.30091566767356648</v>
      </c>
      <c r="G42" s="283">
        <f t="shared" si="16"/>
        <v>2.0250530713415814E+20</v>
      </c>
      <c r="O42" s="100">
        <v>10</v>
      </c>
      <c r="P42" s="94">
        <f t="shared" si="20"/>
        <v>6111111106</v>
      </c>
      <c r="Q42" s="111">
        <f t="shared" si="17"/>
        <v>61111111105</v>
      </c>
      <c r="R42" s="10">
        <f>SUM($Q$33:Q42)</f>
        <v>67901234500</v>
      </c>
      <c r="S42" s="278">
        <f t="shared" si="21"/>
        <v>67912016021.52166</v>
      </c>
      <c r="T42" s="10">
        <f t="shared" si="18"/>
        <v>0.11494603152232509</v>
      </c>
      <c r="U42" s="283">
        <f t="shared" si="19"/>
        <v>5.3013591593095161E+20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6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10</v>
      </c>
      <c r="D45" s="57">
        <f>SUM(C45:C45)</f>
        <v>10</v>
      </c>
      <c r="E45" s="57">
        <f t="shared" ref="E45:E54" si="23">D45/R7</f>
        <v>23.90407125373833</v>
      </c>
      <c r="F45" s="8">
        <f t="shared" ref="F45:F54" si="24">U7/E45</f>
        <v>0.12307723129384672</v>
      </c>
      <c r="G45" s="281">
        <f>E45*U7</f>
        <v>70.326898886273256</v>
      </c>
      <c r="O45" s="101">
        <v>1</v>
      </c>
      <c r="P45" s="109">
        <v>1</v>
      </c>
      <c r="Q45" s="110">
        <f>P45*10+45</f>
        <v>55</v>
      </c>
      <c r="R45" s="57">
        <f>SUM($Q$21)</f>
        <v>55</v>
      </c>
      <c r="S45" s="276">
        <f>R45/R7</f>
        <v>131.47239189556083</v>
      </c>
      <c r="T45" s="8">
        <f>U7/S45</f>
        <v>2.2377678417063035E-2</v>
      </c>
      <c r="U45" s="284">
        <f>S45*U7</f>
        <v>386.79794387450301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266.87699143864648</v>
      </c>
      <c r="F46" s="9">
        <f t="shared" si="24"/>
        <v>0.19030031949416859</v>
      </c>
      <c r="G46" s="282">
        <f t="shared" ref="G46:G54" si="26">E46*U8</f>
        <v>13553.82218028119</v>
      </c>
      <c r="O46" s="99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77">
        <f t="shared" ref="S46:S54" si="28">R46/R8</f>
        <v>1525.0113796494084</v>
      </c>
      <c r="T46" s="9">
        <f t="shared" ref="T46:T54" si="29">U8/S46</f>
        <v>3.3302555911479507E-2</v>
      </c>
      <c r="U46" s="282">
        <f t="shared" ref="U46:U54" si="30">S46*U8</f>
        <v>77450.412458749648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4594.7722533135275</v>
      </c>
      <c r="F47" s="9">
        <f t="shared" si="24"/>
        <v>0.13847703345586304</v>
      </c>
      <c r="G47" s="282">
        <f t="shared" si="26"/>
        <v>2923517.7221655841</v>
      </c>
      <c r="O47" s="99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77">
        <f t="shared" si="28"/>
        <v>26351.728279395513</v>
      </c>
      <c r="T47" s="9">
        <f t="shared" si="29"/>
        <v>2.4145301753952516E-2</v>
      </c>
      <c r="U47" s="282">
        <f t="shared" si="30"/>
        <v>16766825.511089791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87152.494565991728</v>
      </c>
      <c r="F48" s="9">
        <f t="shared" si="24"/>
        <v>8.1183627223276961E-2</v>
      </c>
      <c r="G48" s="282">
        <f t="shared" si="26"/>
        <v>616634893.13299906</v>
      </c>
      <c r="O48" s="99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77">
        <f t="shared" si="28"/>
        <v>499970.29568798182</v>
      </c>
      <c r="T48" s="9">
        <f t="shared" si="29"/>
        <v>1.4151551985079698E-2</v>
      </c>
      <c r="U48" s="282">
        <f t="shared" si="30"/>
        <v>3537467646.6407857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1707692.2284730915</v>
      </c>
      <c r="F49" s="9">
        <f t="shared" si="24"/>
        <v>4.3626766155799503E-2</v>
      </c>
      <c r="G49" s="282">
        <f t="shared" si="26"/>
        <v>127224931582.10606</v>
      </c>
      <c r="O49" s="99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77">
        <f t="shared" si="28"/>
        <v>9796748.6719203703</v>
      </c>
      <c r="T49" s="9">
        <f t="shared" si="29"/>
        <v>7.6046749807115255E-3</v>
      </c>
      <c r="U49" s="282">
        <f t="shared" si="30"/>
        <v>729868449788.87085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33874700.130393282</v>
      </c>
      <c r="F50" s="9">
        <f t="shared" si="24"/>
        <v>2.2551593605143069E-2</v>
      </c>
      <c r="G50" s="282">
        <f t="shared" si="26"/>
        <v>25877847870663.652</v>
      </c>
      <c r="O50" s="99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77">
        <f t="shared" si="28"/>
        <v>194333791.7203142</v>
      </c>
      <c r="T50" s="9">
        <f t="shared" si="29"/>
        <v>3.9310120184150189E-3</v>
      </c>
      <c r="U50" s="282">
        <f t="shared" si="30"/>
        <v>148457116340800.53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675239618.9129827</v>
      </c>
      <c r="F51" s="9">
        <f t="shared" si="24"/>
        <v>1.1450482420534459E-2</v>
      </c>
      <c r="G51" s="282">
        <f t="shared" si="26"/>
        <v>5220830775714415</v>
      </c>
      <c r="O51" s="99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77">
        <f t="shared" si="28"/>
        <v>3873743060.3046231</v>
      </c>
      <c r="T51" s="9">
        <f t="shared" si="29"/>
        <v>1.9959556598478892E-3</v>
      </c>
      <c r="U51" s="282">
        <f t="shared" si="30"/>
        <v>2.9951081690090784E+16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13486418312.565489</v>
      </c>
      <c r="F52" s="9">
        <f t="shared" si="24"/>
        <v>5.765793348304963E-3</v>
      </c>
      <c r="G52" s="282">
        <f t="shared" si="26"/>
        <v>1.0487025528168449E+18</v>
      </c>
      <c r="O52" s="99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77">
        <f t="shared" si="28"/>
        <v>77369452405.752533</v>
      </c>
      <c r="T52" s="9">
        <f t="shared" si="29"/>
        <v>1.0050465471986045E-3</v>
      </c>
      <c r="U52" s="282">
        <f t="shared" si="30"/>
        <v>6.0162409594218988E+18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269578050994.3627</v>
      </c>
      <c r="F53" s="9">
        <f t="shared" si="24"/>
        <v>2.8921773813241425E-3</v>
      </c>
      <c r="G53" s="282">
        <f t="shared" si="26"/>
        <v>2.101812562846819E+20</v>
      </c>
      <c r="O53" s="99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77">
        <f t="shared" si="28"/>
        <v>1546526713577.9148</v>
      </c>
      <c r="T53" s="9">
        <f t="shared" si="29"/>
        <v>5.0414101143042556E-4</v>
      </c>
      <c r="U53" s="282">
        <f t="shared" si="30"/>
        <v>1.2057766807744443E+21</v>
      </c>
    </row>
    <row r="54" spans="1:21" ht="17" thickBot="1" x14ac:dyDescent="0.25">
      <c r="A54" s="145">
        <v>10</v>
      </c>
      <c r="B54" s="94">
        <f t="shared" si="25"/>
        <v>512000000000</v>
      </c>
      <c r="C54" s="111">
        <f t="shared" si="22"/>
        <v>5120000000000</v>
      </c>
      <c r="D54" s="10">
        <f>SUM($C$45:C54)</f>
        <v>5389473684210</v>
      </c>
      <c r="E54" s="10">
        <f t="shared" si="23"/>
        <v>5390329437819.5566</v>
      </c>
      <c r="F54" s="10">
        <f t="shared" si="24"/>
        <v>1.4481891736680512E-3</v>
      </c>
      <c r="G54" s="283">
        <f t="shared" si="26"/>
        <v>4.207807986119057E+22</v>
      </c>
      <c r="O54" s="100">
        <v>10</v>
      </c>
      <c r="P54" s="94">
        <f t="shared" si="31"/>
        <v>2937263157890</v>
      </c>
      <c r="Q54" s="111">
        <f t="shared" si="27"/>
        <v>29372631578945</v>
      </c>
      <c r="R54" s="10">
        <f>SUM($Q$45:Q54)</f>
        <v>30918559556760</v>
      </c>
      <c r="S54" s="278">
        <f t="shared" si="28"/>
        <v>30923468880099.031</v>
      </c>
      <c r="T54" s="10">
        <f t="shared" si="29"/>
        <v>2.5243664495150505E-4</v>
      </c>
      <c r="U54" s="283">
        <f t="shared" si="30"/>
        <v>2.4139530025611889E+23</v>
      </c>
    </row>
  </sheetData>
  <mergeCells count="2">
    <mergeCell ref="A18:F18"/>
    <mergeCell ref="O18:T18"/>
  </mergeCells>
  <conditionalFormatting sqref="F45:F54">
    <cfRule type="cellIs" dxfId="698" priority="69" operator="equal">
      <formula>MAX($F$45:$F$54)</formula>
    </cfRule>
  </conditionalFormatting>
  <conditionalFormatting sqref="F21:F30">
    <cfRule type="cellIs" dxfId="697" priority="67" operator="equal">
      <formula>MAX($F$21:$F$30)</formula>
    </cfRule>
  </conditionalFormatting>
  <conditionalFormatting sqref="E33:E42">
    <cfRule type="cellIs" dxfId="696" priority="63" stopIfTrue="1" operator="lessThan">
      <formula>0</formula>
    </cfRule>
    <cfRule type="cellIs" dxfId="695" priority="64" operator="equal">
      <formula>MIN($E$33:$E$42)</formula>
    </cfRule>
  </conditionalFormatting>
  <conditionalFormatting sqref="E21:E30">
    <cfRule type="cellIs" dxfId="694" priority="59" stopIfTrue="1" operator="lessThan">
      <formula>0</formula>
    </cfRule>
    <cfRule type="cellIs" dxfId="693" priority="60" operator="equal">
      <formula>MIN($E$21:$E$30)</formula>
    </cfRule>
  </conditionalFormatting>
  <conditionalFormatting sqref="E45:E54">
    <cfRule type="cellIs" dxfId="692" priority="55" stopIfTrue="1" operator="lessThan">
      <formula>0</formula>
    </cfRule>
    <cfRule type="cellIs" dxfId="691" priority="56" operator="equal">
      <formula>MIN($E$45:$E$54)</formula>
    </cfRule>
  </conditionalFormatting>
  <conditionalFormatting sqref="F33:F42">
    <cfRule type="cellIs" dxfId="690" priority="41" operator="lessThanOrEqual">
      <formula>0</formula>
    </cfRule>
    <cfRule type="cellIs" dxfId="689" priority="42" operator="equal">
      <formula>MAX($F$33:$F$42)</formula>
    </cfRule>
  </conditionalFormatting>
  <conditionalFormatting sqref="R7:R16">
    <cfRule type="cellIs" dxfId="688" priority="27" operator="lessThanOrEqual">
      <formula>0</formula>
    </cfRule>
    <cfRule type="cellIs" dxfId="687" priority="28" operator="greaterThan">
      <formula>0</formula>
    </cfRule>
  </conditionalFormatting>
  <conditionalFormatting sqref="T21:T30">
    <cfRule type="cellIs" dxfId="686" priority="19" operator="equal">
      <formula>MAX($T$21:$T$30)</formula>
    </cfRule>
  </conditionalFormatting>
  <conditionalFormatting sqref="S33:S42">
    <cfRule type="cellIs" dxfId="685" priority="17" stopIfTrue="1" operator="lessThan">
      <formula>0</formula>
    </cfRule>
    <cfRule type="cellIs" dxfId="684" priority="18" operator="equal">
      <formula>MIN($E$21:$E$30)</formula>
    </cfRule>
  </conditionalFormatting>
  <conditionalFormatting sqref="T33:T42">
    <cfRule type="cellIs" dxfId="683" priority="16" operator="equal">
      <formula>MAX($T$21:$T$30)</formula>
    </cfRule>
  </conditionalFormatting>
  <conditionalFormatting sqref="S45:S54">
    <cfRule type="cellIs" dxfId="682" priority="14" stopIfTrue="1" operator="lessThan">
      <formula>0</formula>
    </cfRule>
    <cfRule type="cellIs" dxfId="681" priority="15" operator="equal">
      <formula>MIN($E$21:$E$30)</formula>
    </cfRule>
  </conditionalFormatting>
  <conditionalFormatting sqref="T45:T54">
    <cfRule type="cellIs" dxfId="680" priority="13" operator="equal">
      <formula>MAX($T$21:$T$30)</formula>
    </cfRule>
  </conditionalFormatting>
  <conditionalFormatting sqref="S21:S30">
    <cfRule type="cellIs" dxfId="679" priority="11" stopIfTrue="1" operator="lessThan">
      <formula>0</formula>
    </cfRule>
    <cfRule type="cellIs" dxfId="678" priority="12" operator="equal">
      <formula>MIN($E$21:$E$30)</formula>
    </cfRule>
  </conditionalFormatting>
  <conditionalFormatting sqref="U7:U16">
    <cfRule type="cellIs" dxfId="677" priority="7" operator="lessThanOrEqual">
      <formula>0</formula>
    </cfRule>
    <cfRule type="cellIs" dxfId="676" priority="8" operator="greaterThan">
      <formula>0</formula>
    </cfRule>
  </conditionalFormatting>
  <conditionalFormatting sqref="S7:T16">
    <cfRule type="cellIs" dxfId="675" priority="1" operator="lessThanOrEqual">
      <formula>0</formula>
    </cfRule>
    <cfRule type="cellIs" dxfId="67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0.99999999999999978</v>
      </c>
    </row>
    <row r="2" spans="1:23" x14ac:dyDescent="0.2">
      <c r="A2" t="s">
        <v>40</v>
      </c>
      <c r="B2" s="149" t="s">
        <v>125</v>
      </c>
      <c r="C2" s="155">
        <f>Analysis!B26</f>
        <v>0.40017763744625984</v>
      </c>
      <c r="D2" s="149" t="s">
        <v>126</v>
      </c>
      <c r="E2" s="155">
        <f>Analysis!G26</f>
        <v>0.59982236255373989</v>
      </c>
      <c r="F2" s="149" t="s">
        <v>47</v>
      </c>
      <c r="G2" s="155">
        <f>Analysis!S26</f>
        <v>3.3306358776503369</v>
      </c>
      <c r="H2" t="s">
        <v>155</v>
      </c>
      <c r="I2" s="169">
        <f>Analysis!T26</f>
        <v>-3.5256063064129202</v>
      </c>
      <c r="J2" t="s">
        <v>48</v>
      </c>
      <c r="K2" s="169">
        <f>C2*G2+E2*I2</f>
        <v>-0.78189150743510027</v>
      </c>
      <c r="L2" t="s">
        <v>47</v>
      </c>
      <c r="M2" s="176">
        <v>2</v>
      </c>
      <c r="N2" t="s">
        <v>155</v>
      </c>
      <c r="O2" s="176">
        <v>3</v>
      </c>
    </row>
    <row r="4" spans="1:23" x14ac:dyDescent="0.2">
      <c r="A4" t="s">
        <v>123</v>
      </c>
      <c r="B4">
        <f>$C$2</f>
        <v>0.40017763744625984</v>
      </c>
      <c r="C4" t="s">
        <v>124</v>
      </c>
      <c r="D4">
        <f>$E$2</f>
        <v>0.59982236255373989</v>
      </c>
      <c r="E4" t="s">
        <v>47</v>
      </c>
      <c r="F4">
        <f>G2</f>
        <v>3.3306358776503369</v>
      </c>
      <c r="G4" t="s">
        <v>155</v>
      </c>
      <c r="H4">
        <f>I2</f>
        <v>-3.5256063064129202</v>
      </c>
      <c r="I4" t="s">
        <v>48</v>
      </c>
      <c r="J4">
        <f>K2</f>
        <v>-0.78189150743510027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263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0.40017763744625984</v>
      </c>
      <c r="C7" s="95">
        <v>1</v>
      </c>
      <c r="D7" s="22">
        <f>C7*D4</f>
        <v>0.59982236255373989</v>
      </c>
      <c r="E7" s="2"/>
      <c r="F7" s="2"/>
      <c r="G7" s="2"/>
      <c r="H7" s="2"/>
      <c r="I7" s="2"/>
      <c r="J7" s="2"/>
      <c r="K7" s="2"/>
      <c r="L7" s="2"/>
      <c r="M7" s="256"/>
      <c r="N7" s="96">
        <f>B7+D7</f>
        <v>0.99999999999999978</v>
      </c>
      <c r="R7" s="296">
        <f>B7-D7</f>
        <v>-0.19964472510748005</v>
      </c>
      <c r="S7" s="297">
        <f>SUM(C7)*B4*F4*POWER(O2,A7-1)</f>
        <v>1.332845996711862</v>
      </c>
      <c r="T7" s="276">
        <f>SUM(C7)*D4*H4*POWER(O2,A7-1)</f>
        <v>-2.1147375041469623</v>
      </c>
      <c r="U7" s="294">
        <f>S7+T7</f>
        <v>-0.78189150743510027</v>
      </c>
      <c r="V7" s="109">
        <f>(U7+W7*D7)/B7</f>
        <v>-0.45497081257023164</v>
      </c>
      <c r="W7" s="57">
        <f>COUNT(D7:M7)</f>
        <v>1</v>
      </c>
    </row>
    <row r="8" spans="1:23" x14ac:dyDescent="0.2">
      <c r="A8" s="99">
        <v>2</v>
      </c>
      <c r="B8" s="97">
        <f>C8*B4</f>
        <v>0.52657411669269982</v>
      </c>
      <c r="C8" s="97">
        <f>1/(1-B4*D4)</f>
        <v>1.3158509307342638</v>
      </c>
      <c r="D8" s="144">
        <f>C8*D4</f>
        <v>0.78927681404156369</v>
      </c>
      <c r="E8" s="1">
        <f>D8*D4</f>
        <v>0.47342588330729957</v>
      </c>
      <c r="F8" s="1"/>
      <c r="G8" s="1"/>
      <c r="H8" s="1"/>
      <c r="I8" s="1"/>
      <c r="J8" s="1"/>
      <c r="K8" s="1"/>
      <c r="L8" s="1"/>
      <c r="M8" s="257"/>
      <c r="N8" s="97">
        <f>B8+E8</f>
        <v>0.99999999999999933</v>
      </c>
      <c r="R8" s="298">
        <f>B8-E8</f>
        <v>5.3148233385400256E-2</v>
      </c>
      <c r="S8" s="299">
        <f>SUM(C8:D8)*B4*F4*POWER(O2,A8-1)</f>
        <v>8.4174332615745957</v>
      </c>
      <c r="T8" s="277">
        <f>SUM(C8:D8)*D4*H4*POWER(O2,A8-1)</f>
        <v>-13.355377778693274</v>
      </c>
      <c r="U8" s="295">
        <f>S8+T8+U7</f>
        <v>-5.7198360245537785</v>
      </c>
      <c r="V8" s="93">
        <f>(U8+W8*E8)/B8</f>
        <v>-9.0642211734926885</v>
      </c>
      <c r="W8" s="9">
        <f>COUNT(D8:M8)</f>
        <v>2</v>
      </c>
    </row>
    <row r="9" spans="1:23" x14ac:dyDescent="0.2">
      <c r="A9" s="99">
        <v>3</v>
      </c>
      <c r="B9" s="97">
        <f>C9*B4</f>
        <v>0.58492754784531242</v>
      </c>
      <c r="C9" s="97">
        <f>1/(1-D4*B4/(1-D4*B4))</f>
        <v>1.4616697514084924</v>
      </c>
      <c r="D9" s="144">
        <f>C9*D4*C8</f>
        <v>1.1536620445726193</v>
      </c>
      <c r="E9" s="1">
        <f>D9*(D4)</f>
        <v>0.69199229316412647</v>
      </c>
      <c r="F9" s="1">
        <f>E9*D4</f>
        <v>0.41507245215468652</v>
      </c>
      <c r="G9" s="1"/>
      <c r="H9" s="1"/>
      <c r="I9" s="1"/>
      <c r="J9" s="1"/>
      <c r="K9" s="1"/>
      <c r="L9" s="1"/>
      <c r="M9" s="257"/>
      <c r="N9" s="97">
        <f>B9+F9</f>
        <v>0.99999999999999889</v>
      </c>
      <c r="R9" s="298">
        <f>B9-F9</f>
        <v>0.1698550956906259</v>
      </c>
      <c r="S9" s="299">
        <f>SUM(C9:E9)*B4*F4*POWER(O2,A9-1)</f>
        <v>39.67338304841342</v>
      </c>
      <c r="T9" s="277">
        <f>SUM(C9:E9)*D4*H4*POWER(O2,A9-1)</f>
        <v>-62.947100607157147</v>
      </c>
      <c r="U9" s="295">
        <f t="shared" ref="U9:U16" si="0">S9+T9+U8</f>
        <v>-28.993553583297505</v>
      </c>
      <c r="V9" s="93">
        <f>(U9+W9*F9)/B9</f>
        <v>-47.438928682790738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0.61646654063291251</v>
      </c>
      <c r="C10" s="97">
        <f>1/(1-D4*B4/(1-D4*B4/(1-D4*B4)))</f>
        <v>1.5404822332574699</v>
      </c>
      <c r="D10" s="144">
        <f>C10*D4*C9</f>
        <v>1.3506057877360822</v>
      </c>
      <c r="E10" s="1">
        <f>D10*D4*C8</f>
        <v>1.0660018331704313</v>
      </c>
      <c r="F10" s="1">
        <f>E10*D4</f>
        <v>0.63941173805890583</v>
      </c>
      <c r="G10" s="1">
        <f>F10*D4</f>
        <v>0.38353345936708599</v>
      </c>
      <c r="H10" s="1"/>
      <c r="I10" s="1"/>
      <c r="J10" s="1"/>
      <c r="K10" s="1"/>
      <c r="L10" s="1"/>
      <c r="M10" s="257"/>
      <c r="N10" s="97">
        <f>B10+G10</f>
        <v>0.99999999999999845</v>
      </c>
      <c r="R10" s="298">
        <f>B10-G10</f>
        <v>0.23293308126582651</v>
      </c>
      <c r="S10" s="299">
        <f>SUM(C10:F10)*B4*F4*POWER(O2,A10-1)</f>
        <v>165.4135761439974</v>
      </c>
      <c r="T10" s="277">
        <f>SUM(C10:F10)*D4*H4*POWER(O2,A10-1)</f>
        <v>-262.45064623351425</v>
      </c>
      <c r="U10" s="295">
        <f t="shared" si="0"/>
        <v>-126.03062367281436</v>
      </c>
      <c r="V10" s="93">
        <f>(U10+W10*G10)/B10</f>
        <v>-201.95173886895503</v>
      </c>
      <c r="W10" s="9">
        <f t="shared" si="1"/>
        <v>4</v>
      </c>
    </row>
    <row r="11" spans="1:23" x14ac:dyDescent="0.2">
      <c r="A11" s="99">
        <v>5</v>
      </c>
      <c r="B11" s="97">
        <f>C11*B4</f>
        <v>0.6349712043638629</v>
      </c>
      <c r="C11" s="97">
        <f>1/(1-D4*B4/(1-D4*B4/(1-D4*B4/(1-D4*B4))))</f>
        <v>1.5867233571969239</v>
      </c>
      <c r="D11" s="144">
        <f>C11*D4*C10</f>
        <v>1.466157281903878</v>
      </c>
      <c r="E11" s="1">
        <f>D11*D4*C9</f>
        <v>1.2854419661066079</v>
      </c>
      <c r="F11" s="1">
        <f>E11*D4*C8</f>
        <v>1.0145695396439471</v>
      </c>
      <c r="G11" s="1">
        <f>F11*D4</f>
        <v>0.60856149824429262</v>
      </c>
      <c r="H11" s="1">
        <f>G11*D4</f>
        <v>0.36502879563613522</v>
      </c>
      <c r="I11" s="1"/>
      <c r="J11" s="1"/>
      <c r="K11" s="1"/>
      <c r="L11" s="1"/>
      <c r="M11" s="257"/>
      <c r="N11" s="97">
        <f>B11+H11</f>
        <v>0.99999999999999811</v>
      </c>
      <c r="R11" s="298">
        <f>B11-H11</f>
        <v>0.26994240872772768</v>
      </c>
      <c r="S11" s="299">
        <f>SUM(C11:G11)*B4*F4*POWER(O2,A11-1)</f>
        <v>643.60166944545381</v>
      </c>
      <c r="T11" s="277">
        <f>SUM(C11:G11)*D4*H4*POWER(O2,A11-1)</f>
        <v>-1021.1596774613207</v>
      </c>
      <c r="U11" s="295">
        <f t="shared" si="0"/>
        <v>-503.58863168868129</v>
      </c>
      <c r="V11" s="93">
        <f>(U11+W11*H11)/B11</f>
        <v>-790.21455502566516</v>
      </c>
      <c r="W11" s="9">
        <f t="shared" si="1"/>
        <v>5</v>
      </c>
    </row>
    <row r="12" spans="1:23" x14ac:dyDescent="0.2">
      <c r="A12" s="99">
        <v>6</v>
      </c>
      <c r="B12" s="97">
        <f>C12*B4</f>
        <v>0.64635470883290447</v>
      </c>
      <c r="C12" s="97">
        <f>1/(1-D4*B4/(1-D4*B4/(1-D4*B4/(1-D4*B4/(1-D4*B4)))))</f>
        <v>1.6151694856255028</v>
      </c>
      <c r="D12" s="144">
        <f>C12*D4*C11</f>
        <v>1.5372410351343393</v>
      </c>
      <c r="E12" s="1">
        <f>D12*D4*C10</f>
        <v>1.4204348398105475</v>
      </c>
      <c r="F12" s="1">
        <f>E12*D4*C9</f>
        <v>1.2453551714734115</v>
      </c>
      <c r="G12" s="1">
        <f>F12*D4*C8</f>
        <v>0.98292996209071937</v>
      </c>
      <c r="H12" s="1">
        <f>G12*D4</f>
        <v>0.58958337208611322</v>
      </c>
      <c r="I12" s="1">
        <f>H12*D4</f>
        <v>0.35364529116709315</v>
      </c>
      <c r="J12" s="1"/>
      <c r="K12" s="1"/>
      <c r="L12" s="1"/>
      <c r="M12" s="257"/>
      <c r="N12" s="97">
        <f>B12+I12</f>
        <v>0.99999999999999756</v>
      </c>
      <c r="R12" s="298">
        <f>B12-I12</f>
        <v>0.29270941766581132</v>
      </c>
      <c r="S12" s="299">
        <f>SUM(C12:H12)*B4*F4*POWER(O2,A12-1)</f>
        <v>2393.7160636327098</v>
      </c>
      <c r="T12" s="277">
        <f>SUM(C12:H12)*D4*H4*POWER(O2,A12-1)</f>
        <v>-3797.9490102617319</v>
      </c>
      <c r="U12" s="295">
        <f t="shared" si="0"/>
        <v>-1907.8215783177034</v>
      </c>
      <c r="V12" s="93">
        <f>(U12+W12*I12)/B12</f>
        <v>-2948.3806345462272</v>
      </c>
      <c r="W12" s="9">
        <f t="shared" si="1"/>
        <v>6</v>
      </c>
    </row>
    <row r="13" spans="1:23" x14ac:dyDescent="0.2">
      <c r="A13" s="99">
        <v>7</v>
      </c>
      <c r="B13" s="97">
        <f>C13*B4</f>
        <v>0.65356252797062186</v>
      </c>
      <c r="C13" s="97">
        <f>1/(1-D4*B4/(1-D4*B4/(1-D4*B4/(1-D4*B4/(1-D4*B4/(1-D4*B4))))))</f>
        <v>1.633181034655864</v>
      </c>
      <c r="D13" s="144">
        <f>C13*D4*C12</f>
        <v>1.582249919552025</v>
      </c>
      <c r="E13" s="1">
        <f>D13*D4*C11</f>
        <v>1.5059097672535766</v>
      </c>
      <c r="F13" s="1">
        <f>E13*D4*C10</f>
        <v>1.391484256618899</v>
      </c>
      <c r="G13" s="1">
        <f>F13*D4*C9</f>
        <v>1.2199729733715263</v>
      </c>
      <c r="H13" s="1">
        <f>G13*D4*C8</f>
        <v>0.96289638163949176</v>
      </c>
      <c r="I13" s="1">
        <f>H13*D4</f>
        <v>0.57756678252944749</v>
      </c>
      <c r="J13" s="1">
        <f>I13*D4</f>
        <v>0.3464374720293753</v>
      </c>
      <c r="K13" s="1"/>
      <c r="L13" s="1"/>
      <c r="M13" s="257"/>
      <c r="N13" s="97">
        <f>B13+J13</f>
        <v>0.99999999999999711</v>
      </c>
      <c r="R13" s="298">
        <f>B13-J13</f>
        <v>0.30712505594124656</v>
      </c>
      <c r="S13" s="299">
        <f>SUM(C13:I13)*B4*F4*POWER(O2,A13-1)</f>
        <v>8621.6574151302721</v>
      </c>
      <c r="T13" s="277">
        <f>SUM(C13:I13)*D4*H4*POWER(O2,A13-1)</f>
        <v>-13679.406569598079</v>
      </c>
      <c r="U13" s="295">
        <f t="shared" si="0"/>
        <v>-6965.5707327855107</v>
      </c>
      <c r="V13" s="93">
        <f>(U13+W13*J13)/B13</f>
        <v>-10654.13846797885</v>
      </c>
      <c r="W13" s="9">
        <f t="shared" si="1"/>
        <v>7</v>
      </c>
    </row>
    <row r="14" spans="1:23" x14ac:dyDescent="0.2">
      <c r="A14" s="99">
        <v>8</v>
      </c>
      <c r="B14" s="97">
        <f>C14*B4</f>
        <v>0.65821009218049198</v>
      </c>
      <c r="C14" s="97">
        <f>1/(1-D4*B4/(1-D4*B4/(1-D4*B4/(1-D4*B4/(1-D4*B4/(1-D4*B4/(1-D4*B4)))))))</f>
        <v>1.6447947875870088</v>
      </c>
      <c r="D14" s="144">
        <f>C14*D4*C13</f>
        <v>1.6112714136196549</v>
      </c>
      <c r="E14" s="1">
        <f>D14*D4*C12</f>
        <v>1.5610235549382196</v>
      </c>
      <c r="F14" s="1">
        <f>E14*D4*C11</f>
        <v>1.4857075290355681</v>
      </c>
      <c r="G14" s="1">
        <f>F14*D4*C10</f>
        <v>1.3728170714793195</v>
      </c>
      <c r="H14" s="1">
        <f>G14*D4*C9</f>
        <v>1.2036066643379295</v>
      </c>
      <c r="I14" s="1">
        <f>H14*D4*C8</f>
        <v>0.94997883338783473</v>
      </c>
      <c r="J14" s="1">
        <f>I14*D4</f>
        <v>0.56981854821873668</v>
      </c>
      <c r="K14" s="1">
        <f>J14*D4</f>
        <v>0.3417899078195048</v>
      </c>
      <c r="L14" s="1"/>
      <c r="M14" s="257"/>
      <c r="N14" s="97">
        <f>B14+K14</f>
        <v>0.99999999999999678</v>
      </c>
      <c r="R14" s="298">
        <f>B14-K14</f>
        <v>0.31642018436098718</v>
      </c>
      <c r="S14" s="299">
        <f>SUM(C14:J14)*B4*F4*POWER(O2,A14-1)</f>
        <v>30312.45433419761</v>
      </c>
      <c r="T14" s="277">
        <f>SUM(C14:J14)*D4*H4*POWER(O2,A14-1)</f>
        <v>-48094.741764173792</v>
      </c>
      <c r="U14" s="295">
        <f t="shared" si="0"/>
        <v>-24747.858162761695</v>
      </c>
      <c r="V14" s="93">
        <f>(U14+W14*K14)/B14</f>
        <v>-37594.567657758766</v>
      </c>
      <c r="W14" s="9">
        <f t="shared" si="1"/>
        <v>8</v>
      </c>
    </row>
    <row r="15" spans="1:23" x14ac:dyDescent="0.2">
      <c r="A15" s="99">
        <v>9</v>
      </c>
      <c r="B15" s="97">
        <f>C15*B4</f>
        <v>0.66124202952926336</v>
      </c>
      <c r="C15" s="97">
        <f>1/(1-D4*B4/(1-D4*B4/(1-D4*B4/(1-D4*B4/(1-D4*B4/(1-D4*B4/(1-D4*B4/(1-D4*B4))))))))</f>
        <v>1.6523712662931149</v>
      </c>
      <c r="D15" s="144">
        <f>C15*D4*C14</f>
        <v>1.6302042024542724</v>
      </c>
      <c r="E15" s="1">
        <f>D15*D4*C13</f>
        <v>1.5969782064002598</v>
      </c>
      <c r="F15" s="1">
        <f>E15*D4*C12</f>
        <v>1.547176084576311</v>
      </c>
      <c r="G15" s="1">
        <f>F15*D4*C11</f>
        <v>1.4725281693073293</v>
      </c>
      <c r="H15" s="1">
        <f>G15*D4*C10</f>
        <v>1.3606391362716828</v>
      </c>
      <c r="I15" s="1">
        <f>H15*D4*C9</f>
        <v>1.1929297545891366</v>
      </c>
      <c r="J15" s="1">
        <f>I15*D4*C8</f>
        <v>0.94155179607749817</v>
      </c>
      <c r="K15" s="1">
        <f>J15*D4</f>
        <v>0.5647638227899221</v>
      </c>
      <c r="L15" s="1">
        <f>K15*D4</f>
        <v>0.33875797047073275</v>
      </c>
      <c r="M15" s="257"/>
      <c r="N15" s="97">
        <f>B15+L15</f>
        <v>0.99999999999999611</v>
      </c>
      <c r="R15" s="298">
        <f>B15-L15</f>
        <v>0.32248405905853061</v>
      </c>
      <c r="S15" s="299">
        <f>SUM(C15:K15)*B4*F4*POWER(O2,A15-1)</f>
        <v>104580.33970598926</v>
      </c>
      <c r="T15" s="277">
        <f>SUM(C15:K15)*D4*H4*POWER(O2,A15-1)</f>
        <v>-165930.62298141568</v>
      </c>
      <c r="U15" s="295">
        <f t="shared" si="0"/>
        <v>-86098.141438188119</v>
      </c>
      <c r="V15" s="93">
        <f>(U15+W15*L15)/B15</f>
        <v>-130202.08754386767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0.66323507863088149</v>
      </c>
      <c r="C16" s="145">
        <f>1/(1-D4*B4/(1-D4*B4/(1-D4*B4/(1-D4*B4/(1-D4*B4/(1-D4*B4/(1-D4*B4/(1-D4*B4/(1-D4*B4)))))))))</f>
        <v>1.6573516772784382</v>
      </c>
      <c r="D16" s="153">
        <f>C16*D4*C15</f>
        <v>1.6426497029502669</v>
      </c>
      <c r="E16" s="111">
        <f>D16*D4*C14</f>
        <v>1.6206130568447936</v>
      </c>
      <c r="F16" s="111">
        <f>E16*D4*C13</f>
        <v>1.5875825426609014</v>
      </c>
      <c r="G16" s="111">
        <f>F16*D4*C12</f>
        <v>1.5380734267078462</v>
      </c>
      <c r="H16" s="111">
        <f>G16*D4*C11</f>
        <v>1.4638646950845153</v>
      </c>
      <c r="I16" s="111">
        <f>H16*D4*C10</f>
        <v>1.3526339501371543</v>
      </c>
      <c r="J16" s="111">
        <f>I16*D4*C9</f>
        <v>1.1859112700576167</v>
      </c>
      <c r="K16" s="111">
        <f>J16*D4*C8</f>
        <v>0.93601226896706002</v>
      </c>
      <c r="L16" s="111">
        <f>K16*D4</f>
        <v>0.56144109055110858</v>
      </c>
      <c r="M16" s="259">
        <f>L16*D4</f>
        <v>0.33676492136911418</v>
      </c>
      <c r="N16" s="145">
        <f>B16+M16</f>
        <v>0.99999999999999567</v>
      </c>
      <c r="R16" s="300">
        <f>B16-M16</f>
        <v>0.32647015726176731</v>
      </c>
      <c r="S16" s="301">
        <f>SUM(C16:L16)*B4*F4*POWER(O2,A16-1)</f>
        <v>355374.79447407642</v>
      </c>
      <c r="T16" s="278">
        <f>SUM(C16:L16)*D4*H4*POWER(O2,A16-1)</f>
        <v>-563849.39277070481</v>
      </c>
      <c r="U16" s="295">
        <f t="shared" si="0"/>
        <v>-294572.73973481648</v>
      </c>
      <c r="V16" s="94">
        <f>(U16+W16*M16)/B16</f>
        <v>-444140.21751334891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3</v>
      </c>
      <c r="D21" s="57">
        <f>SUM($C$21:C21)</f>
        <v>3</v>
      </c>
      <c r="E21" s="57">
        <f t="shared" ref="E21:E30" si="3">D21/R7</f>
        <v>-15.026693033762502</v>
      </c>
      <c r="F21" s="8">
        <f t="shared" ref="F21:F30" si="4">U7/E21</f>
        <v>5.2033505021917927E-2</v>
      </c>
      <c r="G21" s="281">
        <f>E21*U7</f>
        <v>11.749243667933083</v>
      </c>
      <c r="O21" s="101">
        <v>1</v>
      </c>
      <c r="P21" s="109">
        <v>1</v>
      </c>
      <c r="Q21" s="110">
        <f>P21*3+3</f>
        <v>6</v>
      </c>
      <c r="R21" s="57">
        <f>SUM($Q$21)</f>
        <v>6</v>
      </c>
      <c r="S21" s="276">
        <f>R21/R7</f>
        <v>-30.053386067525004</v>
      </c>
      <c r="T21" s="8">
        <f>U7/S21</f>
        <v>2.6016752510958963E-2</v>
      </c>
      <c r="U21" s="281">
        <f>S21*U7</f>
        <v>23.498487335866166</v>
      </c>
    </row>
    <row r="22" spans="1:21" x14ac:dyDescent="0.2">
      <c r="A22" s="97">
        <v>2</v>
      </c>
      <c r="B22" s="93">
        <f>C21</f>
        <v>3</v>
      </c>
      <c r="C22" s="1">
        <f t="shared" si="2"/>
        <v>9</v>
      </c>
      <c r="D22" s="9">
        <f>SUM($C$21:C22)</f>
        <v>12</v>
      </c>
      <c r="E22" s="9">
        <f t="shared" si="3"/>
        <v>225.78361002110717</v>
      </c>
      <c r="F22" s="9">
        <f t="shared" si="4"/>
        <v>-2.5333264996600352E-2</v>
      </c>
      <c r="G22" s="282">
        <f t="shared" ref="G22:G30" si="5">E22*U8</f>
        <v>-1291.4452263525302</v>
      </c>
      <c r="O22" s="99">
        <v>2</v>
      </c>
      <c r="P22" s="93">
        <f>Q21</f>
        <v>6</v>
      </c>
      <c r="Q22" s="1">
        <f>P22*3+3</f>
        <v>21</v>
      </c>
      <c r="R22" s="9">
        <f>SUM($Q$21:Q22)</f>
        <v>27</v>
      </c>
      <c r="S22" s="277">
        <f t="shared" ref="S22:S30" si="6">R22/R8</f>
        <v>508.01312254749115</v>
      </c>
      <c r="T22" s="9">
        <f>U8/S22</f>
        <v>-1.1259228887377933E-2</v>
      </c>
      <c r="U22" s="282">
        <f t="shared" ref="U22:U30" si="7">S22*U8</f>
        <v>-2905.7517592931931</v>
      </c>
    </row>
    <row r="23" spans="1:21" x14ac:dyDescent="0.2">
      <c r="A23" s="97">
        <v>3</v>
      </c>
      <c r="B23" s="93">
        <f t="shared" ref="B23:B30" si="8">C22</f>
        <v>9</v>
      </c>
      <c r="C23" s="1">
        <f t="shared" si="2"/>
        <v>27</v>
      </c>
      <c r="D23" s="9">
        <f>SUM($C$21:C23)</f>
        <v>39</v>
      </c>
      <c r="E23" s="9">
        <f t="shared" si="3"/>
        <v>229.60747713471375</v>
      </c>
      <c r="F23" s="9">
        <f t="shared" si="4"/>
        <v>-0.12627443123852017</v>
      </c>
      <c r="G23" s="282">
        <f t="shared" si="5"/>
        <v>-6657.1366914310793</v>
      </c>
      <c r="O23" s="99">
        <v>3</v>
      </c>
      <c r="P23" s="93">
        <f t="shared" ref="P23:P30" si="9">Q22</f>
        <v>21</v>
      </c>
      <c r="Q23" s="1">
        <f t="shared" ref="Q23:Q30" si="10">P23*3+3</f>
        <v>66</v>
      </c>
      <c r="R23" s="9">
        <f>SUM($Q$21:Q23)</f>
        <v>93</v>
      </c>
      <c r="S23" s="277">
        <f t="shared" si="6"/>
        <v>547.5255223981635</v>
      </c>
      <c r="T23" s="9">
        <f t="shared" ref="T23:T30" si="11">U9/S23</f>
        <v>-5.2953793745185884E-2</v>
      </c>
      <c r="U23" s="282">
        <f t="shared" si="7"/>
        <v>-15874.710571874111</v>
      </c>
    </row>
    <row r="24" spans="1:21" x14ac:dyDescent="0.2">
      <c r="A24" s="97">
        <v>4</v>
      </c>
      <c r="B24" s="93">
        <f t="shared" si="8"/>
        <v>27</v>
      </c>
      <c r="C24" s="1">
        <f t="shared" si="2"/>
        <v>81</v>
      </c>
      <c r="D24" s="9">
        <f>SUM($C$21:C24)</f>
        <v>120</v>
      </c>
      <c r="E24" s="9">
        <f t="shared" si="3"/>
        <v>515.16941839211881</v>
      </c>
      <c r="F24" s="9">
        <f t="shared" si="4"/>
        <v>-0.24463917921635389</v>
      </c>
      <c r="G24" s="282">
        <f t="shared" si="5"/>
        <v>-64927.123097119773</v>
      </c>
      <c r="O24" s="99">
        <v>4</v>
      </c>
      <c r="P24" s="93">
        <f t="shared" si="9"/>
        <v>66</v>
      </c>
      <c r="Q24" s="1">
        <f t="shared" si="10"/>
        <v>201</v>
      </c>
      <c r="R24" s="9">
        <f>SUM($Q$21:Q24)</f>
        <v>294</v>
      </c>
      <c r="S24" s="277">
        <f t="shared" si="6"/>
        <v>1262.1650750606912</v>
      </c>
      <c r="T24" s="9">
        <f t="shared" si="11"/>
        <v>-9.9852726210756693E-2</v>
      </c>
      <c r="U24" s="282">
        <f t="shared" si="7"/>
        <v>-159071.45158794345</v>
      </c>
    </row>
    <row r="25" spans="1:21" x14ac:dyDescent="0.2">
      <c r="A25" s="97">
        <v>5</v>
      </c>
      <c r="B25" s="93">
        <f t="shared" si="8"/>
        <v>81</v>
      </c>
      <c r="C25" s="1">
        <f t="shared" si="2"/>
        <v>243</v>
      </c>
      <c r="D25" s="9">
        <f>SUM($C$21:C25)</f>
        <v>363</v>
      </c>
      <c r="E25" s="9">
        <f t="shared" si="3"/>
        <v>1344.7312769818732</v>
      </c>
      <c r="F25" s="9">
        <f t="shared" si="4"/>
        <v>-0.37449016045714362</v>
      </c>
      <c r="G25" s="282">
        <f t="shared" si="5"/>
        <v>-677191.38376427465</v>
      </c>
      <c r="O25" s="99">
        <v>5</v>
      </c>
      <c r="P25" s="93">
        <f t="shared" si="9"/>
        <v>201</v>
      </c>
      <c r="Q25" s="1">
        <f t="shared" si="10"/>
        <v>606</v>
      </c>
      <c r="R25" s="9">
        <f>SUM($Q$21:Q25)</f>
        <v>900</v>
      </c>
      <c r="S25" s="277">
        <f t="shared" si="6"/>
        <v>3334.0444883848095</v>
      </c>
      <c r="T25" s="9">
        <f t="shared" si="11"/>
        <v>-0.1510443647177146</v>
      </c>
      <c r="U25" s="282">
        <f t="shared" si="7"/>
        <v>-1678986.9018948956</v>
      </c>
    </row>
    <row r="26" spans="1:21" x14ac:dyDescent="0.2">
      <c r="A26" s="97">
        <v>6</v>
      </c>
      <c r="B26" s="93">
        <f t="shared" si="8"/>
        <v>243</v>
      </c>
      <c r="C26" s="1">
        <f t="shared" si="2"/>
        <v>729</v>
      </c>
      <c r="D26" s="9">
        <f>SUM($C$21:C26)</f>
        <v>1092</v>
      </c>
      <c r="E26" s="9">
        <f t="shared" si="3"/>
        <v>3730.6623364156499</v>
      </c>
      <c r="F26" s="9">
        <f t="shared" si="4"/>
        <v>-0.51138950842458242</v>
      </c>
      <c r="G26" s="282">
        <f t="shared" si="5"/>
        <v>-7117438.1068309164</v>
      </c>
      <c r="O26" s="99">
        <v>6</v>
      </c>
      <c r="P26" s="93">
        <f t="shared" si="9"/>
        <v>606</v>
      </c>
      <c r="Q26" s="1">
        <f t="shared" si="10"/>
        <v>1821</v>
      </c>
      <c r="R26" s="9">
        <f>SUM($Q$21:Q26)</f>
        <v>2721</v>
      </c>
      <c r="S26" s="277">
        <f t="shared" si="6"/>
        <v>9295.9086239807548</v>
      </c>
      <c r="T26" s="9">
        <f t="shared" si="11"/>
        <v>-0.20523239367866372</v>
      </c>
      <c r="U26" s="282">
        <f t="shared" si="7"/>
        <v>-17734935.062900115</v>
      </c>
    </row>
    <row r="27" spans="1:21" x14ac:dyDescent="0.2">
      <c r="A27" s="97">
        <v>7</v>
      </c>
      <c r="B27" s="93">
        <f t="shared" si="8"/>
        <v>729</v>
      </c>
      <c r="C27" s="1">
        <f t="shared" si="2"/>
        <v>2187</v>
      </c>
      <c r="D27" s="9">
        <f>SUM($C$21:C27)</f>
        <v>3279</v>
      </c>
      <c r="E27" s="9">
        <f t="shared" si="3"/>
        <v>10676.432731777108</v>
      </c>
      <c r="F27" s="9">
        <f t="shared" si="4"/>
        <v>-0.65242491642862455</v>
      </c>
      <c r="G27" s="282">
        <f t="shared" si="5"/>
        <v>-74367447.367019877</v>
      </c>
      <c r="O27" s="99">
        <v>7</v>
      </c>
      <c r="P27" s="93">
        <f t="shared" si="9"/>
        <v>1821</v>
      </c>
      <c r="Q27" s="1">
        <f t="shared" si="10"/>
        <v>5466</v>
      </c>
      <c r="R27" s="9">
        <f>SUM($Q$21:Q27)</f>
        <v>8187</v>
      </c>
      <c r="S27" s="277">
        <f t="shared" si="6"/>
        <v>26656.89380148191</v>
      </c>
      <c r="T27" s="9">
        <f t="shared" si="11"/>
        <v>-0.26130466605221198</v>
      </c>
      <c r="U27" s="282">
        <f t="shared" si="7"/>
        <v>-185680479.29057389</v>
      </c>
    </row>
    <row r="28" spans="1:21" x14ac:dyDescent="0.2">
      <c r="A28" s="97">
        <v>8</v>
      </c>
      <c r="B28" s="93">
        <f t="shared" si="8"/>
        <v>2187</v>
      </c>
      <c r="C28" s="1">
        <f t="shared" si="2"/>
        <v>6561</v>
      </c>
      <c r="D28" s="9">
        <f>SUM($C$21:C28)</f>
        <v>9840</v>
      </c>
      <c r="E28" s="9">
        <f t="shared" si="3"/>
        <v>31097.889724930003</v>
      </c>
      <c r="F28" s="9">
        <f t="shared" si="4"/>
        <v>-0.79580506528461548</v>
      </c>
      <c r="G28" s="282">
        <f t="shared" si="5"/>
        <v>-769606164.07377195</v>
      </c>
      <c r="O28" s="99">
        <v>8</v>
      </c>
      <c r="P28" s="93">
        <f t="shared" si="9"/>
        <v>5466</v>
      </c>
      <c r="Q28" s="1">
        <f t="shared" si="10"/>
        <v>16401</v>
      </c>
      <c r="R28" s="9">
        <f>SUM($Q$21:Q28)</f>
        <v>24588</v>
      </c>
      <c r="S28" s="277">
        <f t="shared" si="6"/>
        <v>77706.80005656289</v>
      </c>
      <c r="T28" s="9">
        <f t="shared" si="11"/>
        <v>-0.31847738093381395</v>
      </c>
      <c r="U28" s="282">
        <f t="shared" si="7"/>
        <v>-1923076866.0819008</v>
      </c>
    </row>
    <row r="29" spans="1:21" x14ac:dyDescent="0.2">
      <c r="A29" s="97">
        <v>9</v>
      </c>
      <c r="B29" s="93">
        <f t="shared" si="8"/>
        <v>6561</v>
      </c>
      <c r="C29" s="1">
        <f t="shared" si="2"/>
        <v>19683</v>
      </c>
      <c r="D29" s="9">
        <f>SUM($C$21:C29)</f>
        <v>29523</v>
      </c>
      <c r="E29" s="9">
        <f t="shared" si="3"/>
        <v>91548.711233015085</v>
      </c>
      <c r="F29" s="9">
        <f t="shared" si="4"/>
        <v>-0.94046262671078062</v>
      </c>
      <c r="G29" s="282">
        <f t="shared" si="5"/>
        <v>-7882173888.2239742</v>
      </c>
      <c r="O29" s="99">
        <v>9</v>
      </c>
      <c r="P29" s="93">
        <f t="shared" si="9"/>
        <v>16401</v>
      </c>
      <c r="Q29" s="1">
        <f t="shared" si="10"/>
        <v>49206</v>
      </c>
      <c r="R29" s="9">
        <f>SUM($Q$21:Q29)</f>
        <v>73794</v>
      </c>
      <c r="S29" s="277">
        <f t="shared" si="6"/>
        <v>228829.91554818666</v>
      </c>
      <c r="T29" s="9">
        <f t="shared" si="11"/>
        <v>-0.37625387061796867</v>
      </c>
      <c r="U29" s="282">
        <f t="shared" si="7"/>
        <v>-19701830434.156418</v>
      </c>
    </row>
    <row r="30" spans="1:21" ht="17" thickBot="1" x14ac:dyDescent="0.25">
      <c r="A30" s="145">
        <v>10</v>
      </c>
      <c r="B30" s="94">
        <f t="shared" si="8"/>
        <v>19683</v>
      </c>
      <c r="C30" s="111">
        <f t="shared" si="2"/>
        <v>59049</v>
      </c>
      <c r="D30" s="10">
        <f>SUM($C$21:C30)</f>
        <v>88572</v>
      </c>
      <c r="E30" s="10">
        <f t="shared" si="3"/>
        <v>271301.97976711852</v>
      </c>
      <c r="F30" s="10">
        <f t="shared" si="4"/>
        <v>-1.0857743831713769</v>
      </c>
      <c r="G30" s="283">
        <f t="shared" si="5"/>
        <v>-79918167475.479858</v>
      </c>
      <c r="O30" s="100">
        <v>10</v>
      </c>
      <c r="P30" s="94">
        <f t="shared" si="9"/>
        <v>49206</v>
      </c>
      <c r="Q30" s="111">
        <f t="shared" si="10"/>
        <v>147621</v>
      </c>
      <c r="R30" s="10">
        <f>SUM($Q$21:Q30)</f>
        <v>221415</v>
      </c>
      <c r="S30" s="278">
        <f t="shared" si="6"/>
        <v>678209.0034111971</v>
      </c>
      <c r="T30" s="10">
        <f t="shared" si="11"/>
        <v>-0.43433917605516875</v>
      </c>
      <c r="U30" s="283">
        <f t="shared" si="7"/>
        <v>-199781884247.65582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3</v>
      </c>
      <c r="D33" s="57">
        <f>SUM($C$33:C33)</f>
        <v>3</v>
      </c>
      <c r="E33" s="9">
        <f t="shared" ref="E33:E42" si="13">D33/R7</f>
        <v>-15.026693033762502</v>
      </c>
      <c r="F33" s="8">
        <f t="shared" ref="F33:F42" si="14">U7/E33</f>
        <v>5.2033505021917927E-2</v>
      </c>
      <c r="G33" s="284">
        <f>E33*U7</f>
        <v>11.749243667933083</v>
      </c>
      <c r="O33" s="101">
        <v>1</v>
      </c>
      <c r="P33" s="109">
        <v>1</v>
      </c>
      <c r="Q33" s="110">
        <f>P33*3+3</f>
        <v>6</v>
      </c>
      <c r="R33" s="57">
        <f>SUM($Q$21)</f>
        <v>6</v>
      </c>
      <c r="S33" s="276">
        <f>R33/R7</f>
        <v>-30.053386067525004</v>
      </c>
      <c r="T33" s="8">
        <f>U7/S33</f>
        <v>2.6016752510958963E-2</v>
      </c>
      <c r="U33" s="284">
        <f>S33*U7</f>
        <v>23.498487335866166</v>
      </c>
    </row>
    <row r="34" spans="1:21" x14ac:dyDescent="0.2">
      <c r="A34" s="97">
        <v>2</v>
      </c>
      <c r="B34" s="93">
        <f t="shared" ref="B34:B42" si="15">B33*($O$2+1)</f>
        <v>4</v>
      </c>
      <c r="C34" s="1">
        <f t="shared" si="12"/>
        <v>12</v>
      </c>
      <c r="D34" s="9">
        <f>SUM($C$33:C34)</f>
        <v>15</v>
      </c>
      <c r="E34" s="9">
        <f t="shared" si="13"/>
        <v>282.22951252638399</v>
      </c>
      <c r="F34" s="9">
        <f t="shared" si="14"/>
        <v>-2.026661199728028E-2</v>
      </c>
      <c r="G34" s="282">
        <f t="shared" ref="G34:G42" si="16">E34*U8</f>
        <v>-1614.3065329406629</v>
      </c>
      <c r="O34" s="99">
        <v>2</v>
      </c>
      <c r="P34" s="93">
        <f>Q33+1</f>
        <v>7</v>
      </c>
      <c r="Q34" s="1">
        <f t="shared" ref="Q34:Q42" si="17">P34*3+3</f>
        <v>24</v>
      </c>
      <c r="R34" s="9">
        <f>SUM($Q$33:Q34)</f>
        <v>30</v>
      </c>
      <c r="S34" s="277">
        <f>R34/R8</f>
        <v>564.45902505276797</v>
      </c>
      <c r="T34" s="9">
        <f t="shared" ref="T34:T42" si="18">U8/S34</f>
        <v>-1.013330599864014E-2</v>
      </c>
      <c r="U34" s="282">
        <f t="shared" ref="U34:U42" si="19">S34*U8</f>
        <v>-3228.6130658813258</v>
      </c>
    </row>
    <row r="35" spans="1:21" x14ac:dyDescent="0.2">
      <c r="A35" s="97">
        <v>3</v>
      </c>
      <c r="B35" s="93">
        <f t="shared" si="15"/>
        <v>16</v>
      </c>
      <c r="C35" s="1">
        <f t="shared" si="12"/>
        <v>48</v>
      </c>
      <c r="D35" s="9">
        <f>SUM($C$33:C35)</f>
        <v>63</v>
      </c>
      <c r="E35" s="9">
        <f t="shared" si="13"/>
        <v>370.90438614069143</v>
      </c>
      <c r="F35" s="9">
        <f t="shared" si="14"/>
        <v>-7.8169886004798211E-2</v>
      </c>
      <c r="G35" s="282">
        <f t="shared" si="16"/>
        <v>-10753.836193850206</v>
      </c>
      <c r="O35" s="99">
        <v>3</v>
      </c>
      <c r="P35" s="93">
        <f t="shared" ref="P35:P42" si="20">Q34+1</f>
        <v>25</v>
      </c>
      <c r="Q35" s="1">
        <f t="shared" si="17"/>
        <v>78</v>
      </c>
      <c r="R35" s="9">
        <f>SUM($Q$33:Q35)</f>
        <v>108</v>
      </c>
      <c r="S35" s="277">
        <f t="shared" ref="S35:S42" si="21">R35/R9</f>
        <v>635.83609052689962</v>
      </c>
      <c r="T35" s="9">
        <f t="shared" si="18"/>
        <v>-4.5599100169465619E-2</v>
      </c>
      <c r="U35" s="282">
        <f t="shared" si="19"/>
        <v>-18435.147760886066</v>
      </c>
    </row>
    <row r="36" spans="1:21" x14ac:dyDescent="0.2">
      <c r="A36" s="97">
        <v>4</v>
      </c>
      <c r="B36" s="93">
        <f t="shared" si="15"/>
        <v>64</v>
      </c>
      <c r="C36" s="1">
        <f t="shared" si="12"/>
        <v>192</v>
      </c>
      <c r="D36" s="9">
        <f>SUM($C$33:C36)</f>
        <v>255</v>
      </c>
      <c r="E36" s="9">
        <f t="shared" si="13"/>
        <v>1094.7350140832525</v>
      </c>
      <c r="F36" s="9">
        <f t="shared" si="14"/>
        <v>-0.11512431963122537</v>
      </c>
      <c r="G36" s="282">
        <f t="shared" si="16"/>
        <v>-137970.13658137951</v>
      </c>
      <c r="O36" s="99">
        <v>4</v>
      </c>
      <c r="P36" s="93">
        <f t="shared" si="20"/>
        <v>79</v>
      </c>
      <c r="Q36" s="1">
        <f t="shared" si="17"/>
        <v>240</v>
      </c>
      <c r="R36" s="9">
        <f>SUM($Q$33:Q36)</f>
        <v>348</v>
      </c>
      <c r="S36" s="277">
        <f t="shared" si="21"/>
        <v>1493.9913133371447</v>
      </c>
      <c r="T36" s="9">
        <f t="shared" si="18"/>
        <v>-8.4358337660811689E-2</v>
      </c>
      <c r="U36" s="282">
        <f t="shared" si="19"/>
        <v>-188288.65698164736</v>
      </c>
    </row>
    <row r="37" spans="1:21" x14ac:dyDescent="0.2">
      <c r="A37" s="97">
        <v>5</v>
      </c>
      <c r="B37" s="93">
        <f t="shared" si="15"/>
        <v>256</v>
      </c>
      <c r="C37" s="1">
        <f t="shared" si="12"/>
        <v>768</v>
      </c>
      <c r="D37" s="9">
        <f>SUM($C$33:C37)</f>
        <v>1023</v>
      </c>
      <c r="E37" s="9">
        <f t="shared" si="13"/>
        <v>3789.6972351307336</v>
      </c>
      <c r="F37" s="9">
        <f t="shared" si="14"/>
        <v>-0.13288360532350257</v>
      </c>
      <c r="G37" s="282">
        <f t="shared" si="16"/>
        <v>-1908448.4451538648</v>
      </c>
      <c r="O37" s="99">
        <v>5</v>
      </c>
      <c r="P37" s="93">
        <f t="shared" si="20"/>
        <v>241</v>
      </c>
      <c r="Q37" s="1">
        <f t="shared" si="17"/>
        <v>726</v>
      </c>
      <c r="R37" s="9">
        <f>SUM($Q$33:Q37)</f>
        <v>1074</v>
      </c>
      <c r="S37" s="277">
        <f t="shared" si="21"/>
        <v>3978.6264228058731</v>
      </c>
      <c r="T37" s="9">
        <f t="shared" si="18"/>
        <v>-0.12657348998691165</v>
      </c>
      <c r="U37" s="282">
        <f t="shared" si="19"/>
        <v>-2003591.0362612423</v>
      </c>
    </row>
    <row r="38" spans="1:21" x14ac:dyDescent="0.2">
      <c r="A38" s="97">
        <v>6</v>
      </c>
      <c r="B38" s="93">
        <f t="shared" si="15"/>
        <v>1024</v>
      </c>
      <c r="C38" s="1">
        <f t="shared" si="12"/>
        <v>3072</v>
      </c>
      <c r="D38" s="9">
        <f>SUM($C$33:C38)</f>
        <v>4095</v>
      </c>
      <c r="E38" s="9">
        <f t="shared" si="13"/>
        <v>13989.983761558688</v>
      </c>
      <c r="F38" s="9">
        <f t="shared" si="14"/>
        <v>-0.13637053557988865</v>
      </c>
      <c r="G38" s="282">
        <f t="shared" si="16"/>
        <v>-26690392.900615934</v>
      </c>
      <c r="O38" s="99">
        <v>6</v>
      </c>
      <c r="P38" s="93">
        <f t="shared" si="20"/>
        <v>727</v>
      </c>
      <c r="Q38" s="1">
        <f t="shared" si="17"/>
        <v>2184</v>
      </c>
      <c r="R38" s="9">
        <f>SUM($Q$33:Q38)</f>
        <v>3258</v>
      </c>
      <c r="S38" s="277">
        <f t="shared" si="21"/>
        <v>11130.492575130209</v>
      </c>
      <c r="T38" s="9">
        <f t="shared" si="18"/>
        <v>-0.17140495494157273</v>
      </c>
      <c r="U38" s="282">
        <f t="shared" si="19"/>
        <v>-21234993.912138395</v>
      </c>
    </row>
    <row r="39" spans="1:21" x14ac:dyDescent="0.2">
      <c r="A39" s="97">
        <v>7</v>
      </c>
      <c r="B39" s="93">
        <f t="shared" si="15"/>
        <v>4096</v>
      </c>
      <c r="C39" s="1">
        <f t="shared" si="12"/>
        <v>12288</v>
      </c>
      <c r="D39" s="9">
        <f>SUM($C$33:C39)</f>
        <v>16383</v>
      </c>
      <c r="E39" s="9">
        <f t="shared" si="13"/>
        <v>53343.091626930269</v>
      </c>
      <c r="F39" s="9">
        <f t="shared" si="14"/>
        <v>-0.13058055917533173</v>
      </c>
      <c r="G39" s="282">
        <f t="shared" si="16"/>
        <v>-371565077.83284134</v>
      </c>
      <c r="O39" s="99">
        <v>7</v>
      </c>
      <c r="P39" s="93">
        <f t="shared" si="20"/>
        <v>2185</v>
      </c>
      <c r="Q39" s="1">
        <f t="shared" si="17"/>
        <v>6558</v>
      </c>
      <c r="R39" s="9">
        <f>SUM($Q$33:Q39)</f>
        <v>9816</v>
      </c>
      <c r="S39" s="277">
        <f t="shared" si="21"/>
        <v>31960.922139409602</v>
      </c>
      <c r="T39" s="9">
        <f t="shared" si="18"/>
        <v>-0.21794023033511203</v>
      </c>
      <c r="U39" s="282">
        <f t="shared" si="19"/>
        <v>-222626063.84710801</v>
      </c>
    </row>
    <row r="40" spans="1:21" x14ac:dyDescent="0.2">
      <c r="A40" s="97">
        <v>8</v>
      </c>
      <c r="B40" s="93">
        <f t="shared" si="15"/>
        <v>16384</v>
      </c>
      <c r="C40" s="1">
        <f t="shared" si="12"/>
        <v>49152</v>
      </c>
      <c r="D40" s="9">
        <f>SUM($C$33:C40)</f>
        <v>65535</v>
      </c>
      <c r="E40" s="9">
        <f t="shared" si="13"/>
        <v>207113.84178082191</v>
      </c>
      <c r="F40" s="9">
        <f t="shared" si="14"/>
        <v>-0.11948915606012997</v>
      </c>
      <c r="G40" s="282">
        <f t="shared" si="16"/>
        <v>-5125623979.9364481</v>
      </c>
      <c r="O40" s="99">
        <v>8</v>
      </c>
      <c r="P40" s="93">
        <f t="shared" si="20"/>
        <v>6559</v>
      </c>
      <c r="Q40" s="1">
        <f t="shared" si="17"/>
        <v>19680</v>
      </c>
      <c r="R40" s="9">
        <f>SUM($Q$33:Q40)</f>
        <v>29496</v>
      </c>
      <c r="S40" s="277">
        <f t="shared" si="21"/>
        <v>93217.820663265782</v>
      </c>
      <c r="T40" s="9">
        <f t="shared" si="18"/>
        <v>-0.26548419590455036</v>
      </c>
      <c r="U40" s="282">
        <f t="shared" si="19"/>
        <v>-2306941404.0162578</v>
      </c>
    </row>
    <row r="41" spans="1:21" x14ac:dyDescent="0.2">
      <c r="A41" s="97">
        <v>9</v>
      </c>
      <c r="B41" s="93">
        <f t="shared" si="15"/>
        <v>65536</v>
      </c>
      <c r="C41" s="1">
        <f t="shared" si="12"/>
        <v>196608</v>
      </c>
      <c r="D41" s="9">
        <f>SUM($C$33:C41)</f>
        <v>262143</v>
      </c>
      <c r="E41" s="9">
        <f t="shared" si="13"/>
        <v>812886.69202846161</v>
      </c>
      <c r="F41" s="9">
        <f t="shared" si="14"/>
        <v>-0.10591653459517278</v>
      </c>
      <c r="G41" s="282">
        <f t="shared" si="16"/>
        <v>-69988033383.48735</v>
      </c>
      <c r="O41" s="99">
        <v>9</v>
      </c>
      <c r="P41" s="93">
        <f t="shared" si="20"/>
        <v>19681</v>
      </c>
      <c r="Q41" s="1">
        <f t="shared" si="17"/>
        <v>59046</v>
      </c>
      <c r="R41" s="9">
        <f>SUM($Q$33:Q41)</f>
        <v>88542</v>
      </c>
      <c r="S41" s="277">
        <f t="shared" si="21"/>
        <v>274562.40863034315</v>
      </c>
      <c r="T41" s="9">
        <f t="shared" si="18"/>
        <v>-0.31358313713697883</v>
      </c>
      <c r="U41" s="282">
        <f t="shared" si="19"/>
        <v>-23639313091.864887</v>
      </c>
    </row>
    <row r="42" spans="1:21" ht="17" thickBot="1" x14ac:dyDescent="0.25">
      <c r="A42" s="145">
        <v>10</v>
      </c>
      <c r="B42" s="94">
        <f t="shared" si="15"/>
        <v>262144</v>
      </c>
      <c r="C42" s="111">
        <f t="shared" si="12"/>
        <v>786432</v>
      </c>
      <c r="D42" s="10">
        <f>SUM($C$33:C42)</f>
        <v>1048575</v>
      </c>
      <c r="E42" s="9">
        <f t="shared" si="13"/>
        <v>3211855.591318998</v>
      </c>
      <c r="F42" s="10">
        <f t="shared" si="14"/>
        <v>-9.1714191799590103E-2</v>
      </c>
      <c r="G42" s="283">
        <f t="shared" si="16"/>
        <v>-946125101167.42627</v>
      </c>
      <c r="O42" s="100">
        <v>10</v>
      </c>
      <c r="P42" s="94">
        <f t="shared" si="20"/>
        <v>59047</v>
      </c>
      <c r="Q42" s="111">
        <f t="shared" si="17"/>
        <v>177144</v>
      </c>
      <c r="R42" s="10">
        <f>SUM($Q$33:Q42)</f>
        <v>265686</v>
      </c>
      <c r="S42" s="278">
        <f t="shared" si="21"/>
        <v>813814.04728815716</v>
      </c>
      <c r="T42" s="10">
        <f t="shared" si="18"/>
        <v>-0.36196566121758461</v>
      </c>
      <c r="U42" s="283">
        <f t="shared" si="19"/>
        <v>-239727433544.35196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3</v>
      </c>
      <c r="D45" s="57">
        <f>SUM(C45:C45)</f>
        <v>3</v>
      </c>
      <c r="E45" s="57">
        <f t="shared" ref="E45:E54" si="23">D45/R7</f>
        <v>-15.026693033762502</v>
      </c>
      <c r="F45" s="8">
        <f t="shared" ref="F45:F54" si="24">U7/E45</f>
        <v>5.2033505021917927E-2</v>
      </c>
      <c r="G45" s="281">
        <f>E45*U7</f>
        <v>11.749243667933083</v>
      </c>
      <c r="O45" s="101">
        <v>1</v>
      </c>
      <c r="P45" s="109">
        <v>1</v>
      </c>
      <c r="Q45" s="110">
        <f>P45*3+3</f>
        <v>6</v>
      </c>
      <c r="R45" s="57">
        <f>SUM($Q$21)</f>
        <v>6</v>
      </c>
      <c r="S45" s="276">
        <f>R45/R7</f>
        <v>-30.053386067525004</v>
      </c>
      <c r="T45" s="8">
        <f>U7/S45</f>
        <v>2.6016752510958963E-2</v>
      </c>
      <c r="U45" s="284">
        <f>S45*U7</f>
        <v>23.498487335866166</v>
      </c>
    </row>
    <row r="46" spans="1:21" x14ac:dyDescent="0.2">
      <c r="A46" s="97">
        <v>2</v>
      </c>
      <c r="B46" s="93">
        <f t="shared" ref="B46:B54" si="25">B45*$O$2*2</f>
        <v>6</v>
      </c>
      <c r="C46" s="1">
        <f t="shared" si="22"/>
        <v>18</v>
      </c>
      <c r="D46" s="9">
        <f>SUM($C$45:C46)</f>
        <v>21</v>
      </c>
      <c r="E46" s="9">
        <f t="shared" si="23"/>
        <v>395.12131753693757</v>
      </c>
      <c r="F46" s="9">
        <f t="shared" si="24"/>
        <v>-1.4476151426628772E-2</v>
      </c>
      <c r="G46" s="282">
        <f t="shared" ref="G46:G54" si="26">E46*U8</f>
        <v>-2260.0291461169281</v>
      </c>
      <c r="O46" s="99">
        <v>2</v>
      </c>
      <c r="P46" s="93">
        <f>Q45*2</f>
        <v>12</v>
      </c>
      <c r="Q46" s="1">
        <f t="shared" ref="Q46:Q54" si="27">P46*3+3</f>
        <v>39</v>
      </c>
      <c r="R46" s="9">
        <f>SUM($Q$45:Q46)</f>
        <v>45</v>
      </c>
      <c r="S46" s="277">
        <f t="shared" ref="S46:S54" si="28">R46/R8</f>
        <v>846.6885375791519</v>
      </c>
      <c r="T46" s="9">
        <f t="shared" ref="T46:T54" si="29">U8/S46</f>
        <v>-6.7555373324267604E-3</v>
      </c>
      <c r="U46" s="282">
        <f t="shared" ref="U46:U54" si="30">S46*U8</f>
        <v>-4842.919598821989</v>
      </c>
    </row>
    <row r="47" spans="1:21" x14ac:dyDescent="0.2">
      <c r="A47" s="97">
        <v>3</v>
      </c>
      <c r="B47" s="93">
        <f t="shared" si="25"/>
        <v>36</v>
      </c>
      <c r="C47" s="1">
        <f t="shared" si="22"/>
        <v>108</v>
      </c>
      <c r="D47" s="9">
        <f>SUM($C$45:C47)</f>
        <v>129</v>
      </c>
      <c r="E47" s="9">
        <f t="shared" si="23"/>
        <v>759.47088590713008</v>
      </c>
      <c r="F47" s="9">
        <f t="shared" si="24"/>
        <v>-3.8175990839552615E-2</v>
      </c>
      <c r="G47" s="282">
        <f t="shared" si="26"/>
        <v>-22019.759825502802</v>
      </c>
      <c r="O47" s="99">
        <v>3</v>
      </c>
      <c r="P47" s="93">
        <f t="shared" ref="P47:P54" si="31">Q46*2</f>
        <v>78</v>
      </c>
      <c r="Q47" s="1">
        <f t="shared" si="27"/>
        <v>237</v>
      </c>
      <c r="R47" s="9">
        <f>SUM($Q$45:Q47)</f>
        <v>282</v>
      </c>
      <c r="S47" s="277">
        <f t="shared" si="28"/>
        <v>1660.2386808202377</v>
      </c>
      <c r="T47" s="9">
        <f t="shared" si="29"/>
        <v>-1.7463485171284706E-2</v>
      </c>
      <c r="U47" s="282">
        <f t="shared" si="30"/>
        <v>-48136.219153424725</v>
      </c>
    </row>
    <row r="48" spans="1:21" x14ac:dyDescent="0.2">
      <c r="A48" s="97">
        <v>4</v>
      </c>
      <c r="B48" s="93">
        <f t="shared" si="25"/>
        <v>216</v>
      </c>
      <c r="C48" s="1">
        <f t="shared" si="22"/>
        <v>648</v>
      </c>
      <c r="D48" s="9">
        <f>SUM($C$45:C48)</f>
        <v>777</v>
      </c>
      <c r="E48" s="9">
        <f t="shared" si="23"/>
        <v>3335.7219840889697</v>
      </c>
      <c r="F48" s="9">
        <f t="shared" si="24"/>
        <v>-3.7782112620286308E-2</v>
      </c>
      <c r="G48" s="282">
        <f t="shared" si="26"/>
        <v>-420403.12205385062</v>
      </c>
      <c r="O48" s="99">
        <v>4</v>
      </c>
      <c r="P48" s="93">
        <f t="shared" si="31"/>
        <v>474</v>
      </c>
      <c r="Q48" s="1">
        <f t="shared" si="27"/>
        <v>1425</v>
      </c>
      <c r="R48" s="9">
        <f>SUM($Q$45:Q48)</f>
        <v>1707</v>
      </c>
      <c r="S48" s="277">
        <f t="shared" si="28"/>
        <v>7328.2849766278905</v>
      </c>
      <c r="T48" s="9">
        <f t="shared" si="29"/>
        <v>-1.7197833336826285E-2</v>
      </c>
      <c r="U48" s="282">
        <f t="shared" si="30"/>
        <v>-923588.32605652884</v>
      </c>
    </row>
    <row r="49" spans="1:21" x14ac:dyDescent="0.2">
      <c r="A49" s="97">
        <v>5</v>
      </c>
      <c r="B49" s="93">
        <f t="shared" si="25"/>
        <v>1296</v>
      </c>
      <c r="C49" s="1">
        <f t="shared" si="22"/>
        <v>3888</v>
      </c>
      <c r="D49" s="9">
        <f>SUM($C$45:C49)</f>
        <v>4665</v>
      </c>
      <c r="E49" s="9">
        <f t="shared" si="23"/>
        <v>17281.463931461265</v>
      </c>
      <c r="F49" s="9">
        <f t="shared" si="24"/>
        <v>-2.9140391906954579E-2</v>
      </c>
      <c r="G49" s="282">
        <f t="shared" si="26"/>
        <v>-8702748.7748218775</v>
      </c>
      <c r="O49" s="99">
        <v>5</v>
      </c>
      <c r="P49" s="93">
        <f t="shared" si="31"/>
        <v>2850</v>
      </c>
      <c r="Q49" s="1">
        <f t="shared" si="27"/>
        <v>8553</v>
      </c>
      <c r="R49" s="9">
        <f>SUM($Q$45:Q49)</f>
        <v>10260</v>
      </c>
      <c r="S49" s="277">
        <f t="shared" si="28"/>
        <v>38008.10716758683</v>
      </c>
      <c r="T49" s="9">
        <f t="shared" si="29"/>
        <v>-1.3249505676992507E-2</v>
      </c>
      <c r="U49" s="282">
        <f t="shared" si="30"/>
        <v>-19140450.681601811</v>
      </c>
    </row>
    <row r="50" spans="1:21" x14ac:dyDescent="0.2">
      <c r="A50" s="97">
        <v>6</v>
      </c>
      <c r="B50" s="93">
        <f t="shared" si="25"/>
        <v>7776</v>
      </c>
      <c r="C50" s="1">
        <f t="shared" si="22"/>
        <v>23328</v>
      </c>
      <c r="D50" s="9">
        <f>SUM($C$45:C50)</f>
        <v>27993</v>
      </c>
      <c r="E50" s="9">
        <f t="shared" si="23"/>
        <v>95634.094123885792</v>
      </c>
      <c r="F50" s="9">
        <f t="shared" si="24"/>
        <v>-1.9949178123089488E-2</v>
      </c>
      <c r="G50" s="282">
        <f t="shared" si="26"/>
        <v>-182452788.39241558</v>
      </c>
      <c r="O50" s="99">
        <v>6</v>
      </c>
      <c r="P50" s="93">
        <f t="shared" si="31"/>
        <v>17106</v>
      </c>
      <c r="Q50" s="1">
        <f t="shared" si="27"/>
        <v>51321</v>
      </c>
      <c r="R50" s="9">
        <f>SUM($Q$45:Q50)</f>
        <v>61581</v>
      </c>
      <c r="S50" s="277">
        <f t="shared" si="28"/>
        <v>210382.70818572541</v>
      </c>
      <c r="T50" s="9">
        <f t="shared" si="29"/>
        <v>-9.0683383381179906E-3</v>
      </c>
      <c r="U50" s="282">
        <f t="shared" si="30"/>
        <v>-401372670.38164347</v>
      </c>
    </row>
    <row r="51" spans="1:21" x14ac:dyDescent="0.2">
      <c r="A51" s="97">
        <v>7</v>
      </c>
      <c r="B51" s="93">
        <f t="shared" si="25"/>
        <v>46656</v>
      </c>
      <c r="C51" s="1">
        <f t="shared" si="22"/>
        <v>139968</v>
      </c>
      <c r="D51" s="9">
        <f>SUM($C$45:C51)</f>
        <v>167961</v>
      </c>
      <c r="E51" s="9">
        <f t="shared" si="23"/>
        <v>546881.46326990391</v>
      </c>
      <c r="F51" s="9">
        <f t="shared" si="24"/>
        <v>-1.2736893094048378E-2</v>
      </c>
      <c r="G51" s="282">
        <f t="shared" si="26"/>
        <v>-3809341514.8557568</v>
      </c>
      <c r="O51" s="99">
        <v>7</v>
      </c>
      <c r="P51" s="93">
        <f t="shared" si="31"/>
        <v>102642</v>
      </c>
      <c r="Q51" s="1">
        <f t="shared" si="27"/>
        <v>307929</v>
      </c>
      <c r="R51" s="9">
        <f>SUM($Q$45:Q51)</f>
        <v>369510</v>
      </c>
      <c r="S51" s="277">
        <f t="shared" si="28"/>
        <v>1203125.5439826041</v>
      </c>
      <c r="T51" s="9">
        <f t="shared" si="29"/>
        <v>-5.7895626666922681E-3</v>
      </c>
      <c r="U51" s="282">
        <f t="shared" si="30"/>
        <v>-8380456077.0318737</v>
      </c>
    </row>
    <row r="52" spans="1:21" x14ac:dyDescent="0.2">
      <c r="A52" s="97">
        <v>8</v>
      </c>
      <c r="B52" s="93">
        <f t="shared" si="25"/>
        <v>279936</v>
      </c>
      <c r="C52" s="1">
        <f t="shared" si="22"/>
        <v>839808</v>
      </c>
      <c r="D52" s="9">
        <f>SUM($C$45:C52)</f>
        <v>1007769</v>
      </c>
      <c r="E52" s="9">
        <f t="shared" si="23"/>
        <v>3184907.4420937989</v>
      </c>
      <c r="F52" s="9">
        <f t="shared" si="24"/>
        <v>-7.7703539624662176E-3</v>
      </c>
      <c r="G52" s="282">
        <f t="shared" si="26"/>
        <v>-78819637638.461487</v>
      </c>
      <c r="O52" s="99">
        <v>8</v>
      </c>
      <c r="P52" s="93">
        <f t="shared" si="31"/>
        <v>615858</v>
      </c>
      <c r="Q52" s="1">
        <f t="shared" si="27"/>
        <v>1847577</v>
      </c>
      <c r="R52" s="9">
        <f>SUM($Q$45:Q52)</f>
        <v>2217087</v>
      </c>
      <c r="S52" s="277">
        <f t="shared" si="28"/>
        <v>7006781.202904053</v>
      </c>
      <c r="T52" s="9">
        <f t="shared" si="29"/>
        <v>-3.5319867205935614E-3</v>
      </c>
      <c r="U52" s="282">
        <f t="shared" si="30"/>
        <v>-173402827386.97427</v>
      </c>
    </row>
    <row r="53" spans="1:21" x14ac:dyDescent="0.2">
      <c r="A53" s="97">
        <v>9</v>
      </c>
      <c r="B53" s="93">
        <f t="shared" si="25"/>
        <v>1679616</v>
      </c>
      <c r="C53" s="1">
        <f t="shared" si="22"/>
        <v>5038848</v>
      </c>
      <c r="D53" s="9">
        <f>SUM($C$45:C53)</f>
        <v>6046617</v>
      </c>
      <c r="E53" s="9">
        <f t="shared" si="23"/>
        <v>18750126.805190526</v>
      </c>
      <c r="F53" s="9">
        <f t="shared" si="24"/>
        <v>-4.5918698221472237E-3</v>
      </c>
      <c r="G53" s="282">
        <f t="shared" si="26"/>
        <v>-1614351069657.2561</v>
      </c>
      <c r="O53" s="99">
        <v>9</v>
      </c>
      <c r="P53" s="93">
        <f t="shared" si="31"/>
        <v>3695154</v>
      </c>
      <c r="Q53" s="1">
        <f t="shared" si="27"/>
        <v>11085465</v>
      </c>
      <c r="R53" s="9">
        <f>SUM($Q$45:Q53)</f>
        <v>13302552</v>
      </c>
      <c r="S53" s="277">
        <f t="shared" si="28"/>
        <v>41250262.226405419</v>
      </c>
      <c r="T53" s="9">
        <f t="shared" si="29"/>
        <v>-2.0872144027989804E-3</v>
      </c>
      <c r="U53" s="282">
        <f t="shared" si="30"/>
        <v>-3551570911531.4023</v>
      </c>
    </row>
    <row r="54" spans="1:21" ht="17" thickBot="1" x14ac:dyDescent="0.25">
      <c r="A54" s="145">
        <v>10</v>
      </c>
      <c r="B54" s="94">
        <f t="shared" si="25"/>
        <v>10077696</v>
      </c>
      <c r="C54" s="111">
        <f t="shared" si="22"/>
        <v>30233088</v>
      </c>
      <c r="D54" s="10">
        <f>SUM($C$45:C54)</f>
        <v>36279705</v>
      </c>
      <c r="E54" s="10">
        <f t="shared" si="23"/>
        <v>111127171.02320179</v>
      </c>
      <c r="F54" s="10">
        <f t="shared" si="24"/>
        <v>-2.6507715171955005E-3</v>
      </c>
      <c r="G54" s="283">
        <f t="shared" si="26"/>
        <v>-32735035227284.062</v>
      </c>
      <c r="O54" s="100">
        <v>10</v>
      </c>
      <c r="P54" s="94">
        <f t="shared" si="31"/>
        <v>22170930</v>
      </c>
      <c r="Q54" s="111">
        <f t="shared" si="27"/>
        <v>66512793</v>
      </c>
      <c r="R54" s="10">
        <f>SUM($Q$45:Q54)</f>
        <v>79815345</v>
      </c>
      <c r="S54" s="278">
        <f t="shared" si="28"/>
        <v>244479757.8726413</v>
      </c>
      <c r="T54" s="10">
        <f t="shared" si="29"/>
        <v>-1.204896234756051E-3</v>
      </c>
      <c r="U54" s="283">
        <f t="shared" si="30"/>
        <v>-72017072086248.516</v>
      </c>
    </row>
  </sheetData>
  <mergeCells count="2">
    <mergeCell ref="A18:F18"/>
    <mergeCell ref="O18:T18"/>
  </mergeCells>
  <conditionalFormatting sqref="F45:F54">
    <cfRule type="cellIs" dxfId="673" priority="61" operator="equal">
      <formula>MAX($F$45:$F$54)</formula>
    </cfRule>
  </conditionalFormatting>
  <conditionalFormatting sqref="F21:F30">
    <cfRule type="cellIs" dxfId="672" priority="59" operator="equal">
      <formula>MAX($F$21:$F$30)</formula>
    </cfRule>
  </conditionalFormatting>
  <conditionalFormatting sqref="F33:F42">
    <cfRule type="cellIs" dxfId="671" priority="36" operator="lessThanOrEqual">
      <formula>0</formula>
    </cfRule>
    <cfRule type="cellIs" dxfId="670" priority="57" operator="equal">
      <formula>MAX($F$33:$F$42)</formula>
    </cfRule>
  </conditionalFormatting>
  <conditionalFormatting sqref="E33:E42">
    <cfRule type="cellIs" dxfId="669" priority="55" stopIfTrue="1" operator="lessThan">
      <formula>0</formula>
    </cfRule>
    <cfRule type="cellIs" dxfId="668" priority="56" operator="equal">
      <formula>MIN($E$33:$E$42)</formula>
    </cfRule>
  </conditionalFormatting>
  <conditionalFormatting sqref="E21:E30">
    <cfRule type="cellIs" dxfId="667" priority="51" stopIfTrue="1" operator="lessThan">
      <formula>0</formula>
    </cfRule>
    <cfRule type="cellIs" dxfId="666" priority="52" operator="equal">
      <formula>MIN($E$21:$E$30)</formula>
    </cfRule>
  </conditionalFormatting>
  <conditionalFormatting sqref="E45:E54">
    <cfRule type="cellIs" dxfId="665" priority="47" stopIfTrue="1" operator="lessThan">
      <formula>0</formula>
    </cfRule>
    <cfRule type="cellIs" dxfId="664" priority="48" operator="equal">
      <formula>MIN($E$45:$E$54)</formula>
    </cfRule>
  </conditionalFormatting>
  <conditionalFormatting sqref="R7:R16">
    <cfRule type="cellIs" dxfId="663" priority="29" operator="lessThanOrEqual">
      <formula>0</formula>
    </cfRule>
    <cfRule type="cellIs" dxfId="662" priority="30" operator="greaterThan">
      <formula>0</formula>
    </cfRule>
  </conditionalFormatting>
  <conditionalFormatting sqref="T21:T30">
    <cfRule type="cellIs" dxfId="661" priority="19" operator="equal">
      <formula>MAX($T$21:$T$30)</formula>
    </cfRule>
  </conditionalFormatting>
  <conditionalFormatting sqref="S33:S42">
    <cfRule type="cellIs" dxfId="660" priority="17" stopIfTrue="1" operator="lessThan">
      <formula>0</formula>
    </cfRule>
    <cfRule type="cellIs" dxfId="659" priority="18" operator="equal">
      <formula>MIN($E$21:$E$30)</formula>
    </cfRule>
  </conditionalFormatting>
  <conditionalFormatting sqref="T33:T42">
    <cfRule type="cellIs" dxfId="658" priority="16" operator="equal">
      <formula>MAX($T$21:$T$30)</formula>
    </cfRule>
  </conditionalFormatting>
  <conditionalFormatting sqref="S45:S54">
    <cfRule type="cellIs" dxfId="657" priority="14" stopIfTrue="1" operator="lessThan">
      <formula>0</formula>
    </cfRule>
    <cfRule type="cellIs" dxfId="656" priority="15" operator="equal">
      <formula>MIN($E$21:$E$30)</formula>
    </cfRule>
  </conditionalFormatting>
  <conditionalFormatting sqref="T45:T54">
    <cfRule type="cellIs" dxfId="655" priority="13" operator="equal">
      <formula>MAX($T$21:$T$30)</formula>
    </cfRule>
  </conditionalFormatting>
  <conditionalFormatting sqref="S21:S30">
    <cfRule type="cellIs" dxfId="654" priority="11" stopIfTrue="1" operator="lessThan">
      <formula>0</formula>
    </cfRule>
    <cfRule type="cellIs" dxfId="653" priority="12" operator="equal">
      <formula>MIN($E$21:$E$30)</formula>
    </cfRule>
  </conditionalFormatting>
  <conditionalFormatting sqref="U7:U16">
    <cfRule type="cellIs" dxfId="652" priority="7" operator="lessThanOrEqual">
      <formula>0</formula>
    </cfRule>
    <cfRule type="cellIs" dxfId="651" priority="8" operator="greaterThan">
      <formula>0</formula>
    </cfRule>
  </conditionalFormatting>
  <conditionalFormatting sqref="S7:T16">
    <cfRule type="cellIs" dxfId="650" priority="1" operator="lessThanOrEqual">
      <formula>0</formula>
    </cfRule>
    <cfRule type="cellIs" dxfId="649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IF(Rules!$B$10=Rules!$F$10,Dealer!B14-SUM(Dealer!B15:B19),Dealer!B3-SUM(Dealer!B4:B8))</f>
        <v>-0.57578184676460165</v>
      </c>
      <c r="C2">
        <f>IF(Rules!$B$10=Rules!$F$10,Dealer!C14-SUM(Dealer!C15:C19),Dealer!C3-SUM(Dealer!C4:C8))</f>
        <v>-0.29278372720927726</v>
      </c>
      <c r="D2">
        <f>IF(Rules!$B$10=Rules!$F$10,Dealer!D14-SUM(Dealer!D15:D19),Dealer!D3-SUM(Dealer!D4:D8))</f>
        <v>-0.2522502292357135</v>
      </c>
      <c r="E2">
        <f>IF(Rules!$B$10=Rules!$F$10,Dealer!E14-SUM(Dealer!E15:E19),Dealer!E3-SUM(Dealer!E4:E8))</f>
        <v>-0.21106310899491437</v>
      </c>
      <c r="F2">
        <f>IF(Rules!$B$10=Rules!$F$10,Dealer!F14-SUM(Dealer!F15:F19),Dealer!F3-SUM(Dealer!F4:F8))</f>
        <v>-0.16719266083547524</v>
      </c>
      <c r="G2">
        <f>IF(Rules!$B$10=Rules!$F$10,Dealer!G14-SUM(Dealer!G15:G19),Dealer!G3-SUM(Dealer!G4:G8))</f>
        <v>-0.1536990158300045</v>
      </c>
      <c r="H2">
        <f>IF(Rules!$B$10=Rules!$F$10,Dealer!H14-SUM(Dealer!H15:H19),Dealer!H3-SUM(Dealer!H4:H8))</f>
        <v>-0.47537518327693323</v>
      </c>
      <c r="I2">
        <f>IF(Rules!$B$10=Rules!$F$10,Dealer!I14-SUM(Dealer!I15:I19),Dealer!I3-SUM(Dealer!I4:I8))</f>
        <v>-0.51051751549761715</v>
      </c>
      <c r="J2">
        <f>IF(Rules!$B$10=Rules!$F$10,Dealer!J14-SUM(Dealer!J15:J19),Dealer!J3-SUM(Dealer!J4:J8))</f>
        <v>-0.5431496811311094</v>
      </c>
      <c r="K2">
        <f>IF(Rules!$B$10=Rules!$F$10,Dealer!K14-SUM(Dealer!K15:K19),Dealer!K3-SUM(Dealer!K4:K8))</f>
        <v>-0.57578184676460153</v>
      </c>
    </row>
    <row r="3" spans="1:11" x14ac:dyDescent="0.2">
      <c r="A3">
        <v>3</v>
      </c>
      <c r="B3">
        <f>B2</f>
        <v>-0.57578184676460165</v>
      </c>
      <c r="C3">
        <f t="shared" ref="C3:K16" si="0">C2</f>
        <v>-0.29278372720927726</v>
      </c>
      <c r="D3">
        <f t="shared" si="0"/>
        <v>-0.2522502292357135</v>
      </c>
      <c r="E3">
        <f t="shared" si="0"/>
        <v>-0.21106310899491437</v>
      </c>
      <c r="F3">
        <f t="shared" si="0"/>
        <v>-0.16719266083547524</v>
      </c>
      <c r="G3">
        <f t="shared" si="0"/>
        <v>-0.1536990158300045</v>
      </c>
      <c r="H3">
        <f t="shared" si="0"/>
        <v>-0.47537518327693323</v>
      </c>
      <c r="I3">
        <f t="shared" si="0"/>
        <v>-0.51051751549761715</v>
      </c>
      <c r="J3">
        <f t="shared" si="0"/>
        <v>-0.5431496811311094</v>
      </c>
      <c r="K3">
        <f t="shared" si="0"/>
        <v>-0.57578184676460153</v>
      </c>
    </row>
    <row r="4" spans="1:11" x14ac:dyDescent="0.2">
      <c r="A4">
        <v>4</v>
      </c>
      <c r="B4">
        <f t="shared" ref="B4:B16" si="1">B3</f>
        <v>-0.57578184676460165</v>
      </c>
      <c r="C4">
        <f t="shared" si="0"/>
        <v>-0.29278372720927726</v>
      </c>
      <c r="D4">
        <f t="shared" si="0"/>
        <v>-0.2522502292357135</v>
      </c>
      <c r="E4">
        <f t="shared" si="0"/>
        <v>-0.21106310899491437</v>
      </c>
      <c r="F4">
        <f t="shared" si="0"/>
        <v>-0.16719266083547524</v>
      </c>
      <c r="G4">
        <f t="shared" si="0"/>
        <v>-0.1536990158300045</v>
      </c>
      <c r="H4">
        <f t="shared" si="0"/>
        <v>-0.47537518327693323</v>
      </c>
      <c r="I4">
        <f t="shared" si="0"/>
        <v>-0.51051751549761715</v>
      </c>
      <c r="J4">
        <f t="shared" si="0"/>
        <v>-0.5431496811311094</v>
      </c>
      <c r="K4">
        <f t="shared" si="0"/>
        <v>-0.57578184676460153</v>
      </c>
    </row>
    <row r="5" spans="1:11" x14ac:dyDescent="0.2">
      <c r="A5">
        <v>5</v>
      </c>
      <c r="B5">
        <f t="shared" si="1"/>
        <v>-0.57578184676460165</v>
      </c>
      <c r="C5">
        <f t="shared" si="0"/>
        <v>-0.29278372720927726</v>
      </c>
      <c r="D5">
        <f t="shared" si="0"/>
        <v>-0.2522502292357135</v>
      </c>
      <c r="E5">
        <f t="shared" si="0"/>
        <v>-0.21106310899491437</v>
      </c>
      <c r="F5">
        <f t="shared" si="0"/>
        <v>-0.16719266083547524</v>
      </c>
      <c r="G5">
        <f t="shared" si="0"/>
        <v>-0.1536990158300045</v>
      </c>
      <c r="H5">
        <f t="shared" si="0"/>
        <v>-0.47537518327693323</v>
      </c>
      <c r="I5">
        <f t="shared" si="0"/>
        <v>-0.51051751549761715</v>
      </c>
      <c r="J5">
        <f t="shared" si="0"/>
        <v>-0.5431496811311094</v>
      </c>
      <c r="K5">
        <f t="shared" si="0"/>
        <v>-0.57578184676460153</v>
      </c>
    </row>
    <row r="6" spans="1:11" x14ac:dyDescent="0.2">
      <c r="A6">
        <v>6</v>
      </c>
      <c r="B6">
        <f t="shared" si="1"/>
        <v>-0.57578184676460165</v>
      </c>
      <c r="C6">
        <f t="shared" si="0"/>
        <v>-0.29278372720927726</v>
      </c>
      <c r="D6">
        <f t="shared" si="0"/>
        <v>-0.2522502292357135</v>
      </c>
      <c r="E6">
        <f t="shared" si="0"/>
        <v>-0.21106310899491437</v>
      </c>
      <c r="F6">
        <f t="shared" si="0"/>
        <v>-0.16719266083547524</v>
      </c>
      <c r="G6">
        <f t="shared" si="0"/>
        <v>-0.1536990158300045</v>
      </c>
      <c r="H6">
        <f t="shared" si="0"/>
        <v>-0.47537518327693323</v>
      </c>
      <c r="I6">
        <f t="shared" si="0"/>
        <v>-0.51051751549761715</v>
      </c>
      <c r="J6">
        <f t="shared" si="0"/>
        <v>-0.5431496811311094</v>
      </c>
      <c r="K6">
        <f t="shared" si="0"/>
        <v>-0.57578184676460153</v>
      </c>
    </row>
    <row r="7" spans="1:11" x14ac:dyDescent="0.2">
      <c r="A7">
        <v>7</v>
      </c>
      <c r="B7">
        <f t="shared" si="1"/>
        <v>-0.57578184676460165</v>
      </c>
      <c r="C7">
        <f t="shared" si="0"/>
        <v>-0.29278372720927726</v>
      </c>
      <c r="D7">
        <f t="shared" si="0"/>
        <v>-0.2522502292357135</v>
      </c>
      <c r="E7">
        <f t="shared" si="0"/>
        <v>-0.21106310899491437</v>
      </c>
      <c r="F7">
        <f t="shared" si="0"/>
        <v>-0.16719266083547524</v>
      </c>
      <c r="G7">
        <f t="shared" si="0"/>
        <v>-0.1536990158300045</v>
      </c>
      <c r="H7">
        <f t="shared" si="0"/>
        <v>-0.47537518327693323</v>
      </c>
      <c r="I7">
        <f t="shared" si="0"/>
        <v>-0.51051751549761715</v>
      </c>
      <c r="J7">
        <f t="shared" si="0"/>
        <v>-0.5431496811311094</v>
      </c>
      <c r="K7">
        <f t="shared" si="0"/>
        <v>-0.57578184676460153</v>
      </c>
    </row>
    <row r="8" spans="1:11" x14ac:dyDescent="0.2">
      <c r="A8">
        <v>8</v>
      </c>
      <c r="B8">
        <f t="shared" si="1"/>
        <v>-0.57578184676460165</v>
      </c>
      <c r="C8">
        <f t="shared" si="0"/>
        <v>-0.29278372720927726</v>
      </c>
      <c r="D8">
        <f t="shared" si="0"/>
        <v>-0.2522502292357135</v>
      </c>
      <c r="E8">
        <f t="shared" si="0"/>
        <v>-0.21106310899491437</v>
      </c>
      <c r="F8">
        <f t="shared" si="0"/>
        <v>-0.16719266083547524</v>
      </c>
      <c r="G8">
        <f t="shared" si="0"/>
        <v>-0.1536990158300045</v>
      </c>
      <c r="H8">
        <f t="shared" si="0"/>
        <v>-0.47537518327693323</v>
      </c>
      <c r="I8">
        <f t="shared" si="0"/>
        <v>-0.51051751549761715</v>
      </c>
      <c r="J8">
        <f t="shared" si="0"/>
        <v>-0.5431496811311094</v>
      </c>
      <c r="K8">
        <f t="shared" si="0"/>
        <v>-0.57578184676460153</v>
      </c>
    </row>
    <row r="9" spans="1:11" x14ac:dyDescent="0.2">
      <c r="A9">
        <v>9</v>
      </c>
      <c r="B9">
        <f t="shared" si="1"/>
        <v>-0.57578184676460165</v>
      </c>
      <c r="C9">
        <f t="shared" si="0"/>
        <v>-0.29278372720927726</v>
      </c>
      <c r="D9">
        <f t="shared" si="0"/>
        <v>-0.2522502292357135</v>
      </c>
      <c r="E9">
        <f t="shared" si="0"/>
        <v>-0.21106310899491437</v>
      </c>
      <c r="F9">
        <f t="shared" si="0"/>
        <v>-0.16719266083547524</v>
      </c>
      <c r="G9">
        <f t="shared" si="0"/>
        <v>-0.1536990158300045</v>
      </c>
      <c r="H9">
        <f t="shared" si="0"/>
        <v>-0.47537518327693323</v>
      </c>
      <c r="I9">
        <f t="shared" si="0"/>
        <v>-0.51051751549761715</v>
      </c>
      <c r="J9">
        <f t="shared" si="0"/>
        <v>-0.5431496811311094</v>
      </c>
      <c r="K9">
        <f t="shared" si="0"/>
        <v>-0.57578184676460153</v>
      </c>
    </row>
    <row r="10" spans="1:11" x14ac:dyDescent="0.2">
      <c r="A10">
        <v>10</v>
      </c>
      <c r="B10">
        <f t="shared" si="1"/>
        <v>-0.57578184676460165</v>
      </c>
      <c r="C10">
        <f t="shared" si="0"/>
        <v>-0.29278372720927726</v>
      </c>
      <c r="D10">
        <f t="shared" si="0"/>
        <v>-0.2522502292357135</v>
      </c>
      <c r="E10">
        <f t="shared" si="0"/>
        <v>-0.21106310899491437</v>
      </c>
      <c r="F10">
        <f t="shared" si="0"/>
        <v>-0.16719266083547524</v>
      </c>
      <c r="G10">
        <f t="shared" si="0"/>
        <v>-0.1536990158300045</v>
      </c>
      <c r="H10">
        <f t="shared" si="0"/>
        <v>-0.47537518327693323</v>
      </c>
      <c r="I10">
        <f t="shared" si="0"/>
        <v>-0.51051751549761715</v>
      </c>
      <c r="J10">
        <f t="shared" si="0"/>
        <v>-0.5431496811311094</v>
      </c>
      <c r="K10">
        <f t="shared" si="0"/>
        <v>-0.57578184676460153</v>
      </c>
    </row>
    <row r="11" spans="1:11" x14ac:dyDescent="0.2">
      <c r="A11">
        <v>11</v>
      </c>
      <c r="B11">
        <f t="shared" si="1"/>
        <v>-0.57578184676460165</v>
      </c>
      <c r="C11">
        <f t="shared" si="0"/>
        <v>-0.29278372720927726</v>
      </c>
      <c r="D11">
        <f t="shared" si="0"/>
        <v>-0.2522502292357135</v>
      </c>
      <c r="E11">
        <f t="shared" si="0"/>
        <v>-0.21106310899491437</v>
      </c>
      <c r="F11">
        <f t="shared" si="0"/>
        <v>-0.16719266083547524</v>
      </c>
      <c r="G11">
        <f t="shared" si="0"/>
        <v>-0.1536990158300045</v>
      </c>
      <c r="H11">
        <f t="shared" si="0"/>
        <v>-0.47537518327693323</v>
      </c>
      <c r="I11">
        <f t="shared" si="0"/>
        <v>-0.51051751549761715</v>
      </c>
      <c r="J11">
        <f t="shared" si="0"/>
        <v>-0.5431496811311094</v>
      </c>
      <c r="K11">
        <f t="shared" si="0"/>
        <v>-0.57578184676460153</v>
      </c>
    </row>
    <row r="12" spans="1:11" x14ac:dyDescent="0.2">
      <c r="A12">
        <v>12</v>
      </c>
      <c r="B12">
        <f t="shared" si="1"/>
        <v>-0.57578184676460165</v>
      </c>
      <c r="C12">
        <f t="shared" si="0"/>
        <v>-0.29278372720927726</v>
      </c>
      <c r="D12">
        <f t="shared" si="0"/>
        <v>-0.2522502292357135</v>
      </c>
      <c r="E12">
        <f t="shared" si="0"/>
        <v>-0.21106310899491437</v>
      </c>
      <c r="F12">
        <f t="shared" si="0"/>
        <v>-0.16719266083547524</v>
      </c>
      <c r="G12">
        <f t="shared" si="0"/>
        <v>-0.1536990158300045</v>
      </c>
      <c r="H12">
        <f t="shared" si="0"/>
        <v>-0.47537518327693323</v>
      </c>
      <c r="I12">
        <f t="shared" si="0"/>
        <v>-0.51051751549761715</v>
      </c>
      <c r="J12">
        <f t="shared" si="0"/>
        <v>-0.5431496811311094</v>
      </c>
      <c r="K12">
        <f t="shared" si="0"/>
        <v>-0.57578184676460153</v>
      </c>
    </row>
    <row r="13" spans="1:11" x14ac:dyDescent="0.2">
      <c r="A13">
        <v>13</v>
      </c>
      <c r="B13">
        <f t="shared" si="1"/>
        <v>-0.57578184676460165</v>
      </c>
      <c r="C13">
        <f t="shared" si="0"/>
        <v>-0.29278372720927726</v>
      </c>
      <c r="D13">
        <f t="shared" si="0"/>
        <v>-0.2522502292357135</v>
      </c>
      <c r="E13">
        <f t="shared" si="0"/>
        <v>-0.21106310899491437</v>
      </c>
      <c r="F13">
        <f t="shared" si="0"/>
        <v>-0.16719266083547524</v>
      </c>
      <c r="G13">
        <f t="shared" si="0"/>
        <v>-0.1536990158300045</v>
      </c>
      <c r="H13">
        <f t="shared" si="0"/>
        <v>-0.47537518327693323</v>
      </c>
      <c r="I13">
        <f t="shared" si="0"/>
        <v>-0.51051751549761715</v>
      </c>
      <c r="J13">
        <f t="shared" si="0"/>
        <v>-0.5431496811311094</v>
      </c>
      <c r="K13">
        <f t="shared" si="0"/>
        <v>-0.57578184676460153</v>
      </c>
    </row>
    <row r="14" spans="1:11" x14ac:dyDescent="0.2">
      <c r="A14">
        <v>14</v>
      </c>
      <c r="B14">
        <f t="shared" si="1"/>
        <v>-0.57578184676460165</v>
      </c>
      <c r="C14">
        <f t="shared" si="0"/>
        <v>-0.29278372720927726</v>
      </c>
      <c r="D14">
        <f t="shared" si="0"/>
        <v>-0.2522502292357135</v>
      </c>
      <c r="E14">
        <f t="shared" si="0"/>
        <v>-0.21106310899491437</v>
      </c>
      <c r="F14">
        <f t="shared" si="0"/>
        <v>-0.16719266083547524</v>
      </c>
      <c r="G14">
        <f t="shared" si="0"/>
        <v>-0.1536990158300045</v>
      </c>
      <c r="H14">
        <f t="shared" si="0"/>
        <v>-0.47537518327693323</v>
      </c>
      <c r="I14">
        <f t="shared" si="0"/>
        <v>-0.51051751549761715</v>
      </c>
      <c r="J14">
        <f t="shared" si="0"/>
        <v>-0.5431496811311094</v>
      </c>
      <c r="K14">
        <f t="shared" si="0"/>
        <v>-0.57578184676460153</v>
      </c>
    </row>
    <row r="15" spans="1:11" x14ac:dyDescent="0.2">
      <c r="A15">
        <v>15</v>
      </c>
      <c r="B15">
        <f t="shared" si="1"/>
        <v>-0.57578184676460165</v>
      </c>
      <c r="C15">
        <f t="shared" si="0"/>
        <v>-0.29278372720927726</v>
      </c>
      <c r="D15">
        <f t="shared" si="0"/>
        <v>-0.2522502292357135</v>
      </c>
      <c r="E15">
        <f t="shared" si="0"/>
        <v>-0.21106310899491437</v>
      </c>
      <c r="F15">
        <f t="shared" si="0"/>
        <v>-0.16719266083547524</v>
      </c>
      <c r="G15">
        <f t="shared" si="0"/>
        <v>-0.1536990158300045</v>
      </c>
      <c r="H15">
        <f t="shared" si="0"/>
        <v>-0.47537518327693323</v>
      </c>
      <c r="I15">
        <f t="shared" si="0"/>
        <v>-0.51051751549761715</v>
      </c>
      <c r="J15">
        <f t="shared" si="0"/>
        <v>-0.5431496811311094</v>
      </c>
      <c r="K15">
        <f t="shared" si="0"/>
        <v>-0.57578184676460153</v>
      </c>
    </row>
    <row r="16" spans="1:11" x14ac:dyDescent="0.2">
      <c r="A16">
        <v>16</v>
      </c>
      <c r="B16">
        <f t="shared" si="1"/>
        <v>-0.57578184676460165</v>
      </c>
      <c r="C16">
        <f t="shared" si="0"/>
        <v>-0.29278372720927726</v>
      </c>
      <c r="D16">
        <f t="shared" si="0"/>
        <v>-0.2522502292357135</v>
      </c>
      <c r="E16">
        <f t="shared" si="0"/>
        <v>-0.21106310899491437</v>
      </c>
      <c r="F16">
        <f t="shared" si="0"/>
        <v>-0.16719266083547524</v>
      </c>
      <c r="G16">
        <f t="shared" si="0"/>
        <v>-0.1536990158300045</v>
      </c>
      <c r="H16">
        <f t="shared" si="0"/>
        <v>-0.47537518327693323</v>
      </c>
      <c r="I16">
        <f t="shared" si="0"/>
        <v>-0.51051751549761715</v>
      </c>
      <c r="J16">
        <f t="shared" si="0"/>
        <v>-0.5431496811311094</v>
      </c>
      <c r="K16">
        <f t="shared" si="0"/>
        <v>-0.57578184676460153</v>
      </c>
    </row>
    <row r="17" spans="1:11" x14ac:dyDescent="0.2">
      <c r="A17">
        <v>17</v>
      </c>
      <c r="B17">
        <f>IF(Rules!$B$10=Rules!$F$10,Dealer!B14-SUM(Dealer!B16:B19),Dealer!B3-SUM(Dealer!B5:B8))</f>
        <v>-0.46435750824198752</v>
      </c>
      <c r="C17">
        <f>IF(Rules!$B$10=Rules!$F$10,Dealer!C14-SUM(Dealer!C16:C19),Dealer!C3-SUM(Dealer!C5:C8))</f>
        <v>-0.15297458768154204</v>
      </c>
      <c r="D17">
        <f>IF(Rules!$B$10=Rules!$F$10,Dealer!D14-SUM(Dealer!D16:D19),Dealer!D3-SUM(Dealer!D5:D8))</f>
        <v>-0.11721624142457365</v>
      </c>
      <c r="E17">
        <f>IF(Rules!$B$10=Rules!$F$10,Dealer!E14-SUM(Dealer!E16:E19),Dealer!E3-SUM(Dealer!E5:E8))</f>
        <v>-8.0573373145316152E-2</v>
      </c>
      <c r="F17">
        <f>IF(Rules!$B$10=Rules!$F$10,Dealer!F14-SUM(Dealer!F16:F19),Dealer!F3-SUM(Dealer!F5:F8))</f>
        <v>-4.4941375564924446E-2</v>
      </c>
      <c r="G17">
        <f>IF(Rules!$B$10=Rules!$F$10,Dealer!G14-SUM(Dealer!G16:G19),Dealer!G3-SUM(Dealer!G5:G8))</f>
        <v>1.1739160673341853E-2</v>
      </c>
      <c r="H17">
        <f>IF(Rules!$B$10=Rules!$F$10,Dealer!H14-SUM(Dealer!H16:H19),Dealer!H3-SUM(Dealer!H5:H8))</f>
        <v>-0.10680898948269468</v>
      </c>
      <c r="I17">
        <f>IF(Rules!$B$10=Rules!$F$10,Dealer!I14-SUM(Dealer!I16:I19),Dealer!I3-SUM(Dealer!I5:I8))</f>
        <v>-0.38195097104844711</v>
      </c>
      <c r="J17">
        <f>IF(Rules!$B$10=Rules!$F$10,Dealer!J14-SUM(Dealer!J16:J19),Dealer!J3-SUM(Dealer!J5:J8))</f>
        <v>-0.42315423964521737</v>
      </c>
      <c r="K17">
        <f>IF(Rules!$B$10=Rules!$F$10,Dealer!K14-SUM(Dealer!K16:K19),Dealer!K3-SUM(Dealer!K5:K8))</f>
        <v>-0.46435750824198763</v>
      </c>
    </row>
    <row r="18" spans="1:11" x14ac:dyDescent="0.2">
      <c r="A18">
        <v>18</v>
      </c>
      <c r="B18">
        <f>IF(Rules!$B$10=Rules!$F$10,Dealer!B14+Dealer!B15-SUM(Dealer!B17:B19),SUM(Dealer!B3:B4)-SUM(Dealer!B6:B8))</f>
        <v>-0.24150883119675959</v>
      </c>
      <c r="C18">
        <f>IF(Rules!$B$10=Rules!$F$10,Dealer!C14+Dealer!C15-SUM(Dealer!C17:C19),SUM(Dealer!C3:C4)-SUM(Dealer!C6:C8))</f>
        <v>0.12174190222088771</v>
      </c>
      <c r="D18">
        <f>IF(Rules!$B$10=Rules!$F$10,Dealer!D14+Dealer!D15-SUM(Dealer!D17:D19),SUM(Dealer!D3:D4)-SUM(Dealer!D6:D8))</f>
        <v>0.14830007284131119</v>
      </c>
      <c r="E18">
        <f>IF(Rules!$B$10=Rules!$F$10,Dealer!E14+Dealer!E15-SUM(Dealer!E17:E19),SUM(Dealer!E3:E4)-SUM(Dealer!E6:E8))</f>
        <v>0.17585443719748528</v>
      </c>
      <c r="F18">
        <f>IF(Rules!$B$10=Rules!$F$10,Dealer!F14+Dealer!F15-SUM(Dealer!F17:F19),SUM(Dealer!F3:F4)-SUM(Dealer!F6:F8))</f>
        <v>0.19956119497617719</v>
      </c>
      <c r="G18">
        <f>IF(Rules!$B$10=Rules!$F$10,Dealer!G14+Dealer!G15-SUM(Dealer!G17:G19),SUM(Dealer!G3:G4)-SUM(Dealer!G6:G8))</f>
        <v>0.28344391604689856</v>
      </c>
      <c r="H18">
        <f>IF(Rules!$B$10=Rules!$F$10,Dealer!H14+Dealer!H15-SUM(Dealer!H17:H19),SUM(Dealer!H3:H4)-SUM(Dealer!H6:H8))</f>
        <v>0.3995541673365518</v>
      </c>
      <c r="I18">
        <f>IF(Rules!$B$10=Rules!$F$10,Dealer!I14+Dealer!I15-SUM(Dealer!I17:I19),SUM(Dealer!I3:I4)-SUM(Dealer!I6:I8))</f>
        <v>0.10595134861912359</v>
      </c>
      <c r="J18">
        <f>IF(Rules!$B$10=Rules!$F$10,Dealer!J14+Dealer!J15-SUM(Dealer!J17:J19),SUM(Dealer!J3:J4)-SUM(Dealer!J6:J8))</f>
        <v>-0.18316335667343331</v>
      </c>
      <c r="K18">
        <f>IF(Rules!$B$10=Rules!$F$10,Dealer!K14+Dealer!K15-SUM(Dealer!K17:K19),SUM(Dealer!K3:K4)-SUM(Dealer!K6:K8))</f>
        <v>-0.24150883119675959</v>
      </c>
    </row>
    <row r="19" spans="1:11" x14ac:dyDescent="0.2">
      <c r="A19">
        <v>19</v>
      </c>
      <c r="B19">
        <f>IF(Rules!$B$10=Rules!$F$10,SUM(Dealer!B14:B16)-Dealer!B18-Dealer!B19,SUM(Dealer!B3:B5)-SUM(Dealer!B7:B8))</f>
        <v>-1.8660154151531549E-2</v>
      </c>
      <c r="C19">
        <f>IF(Rules!$B$10=Rules!$F$10,SUM(Dealer!C14:C16)-Dealer!C18-Dealer!C19,SUM(Dealer!C3:C5)-SUM(Dealer!C7:C8))</f>
        <v>0.38630468602058987</v>
      </c>
      <c r="D19">
        <f>IF(Rules!$B$10=Rules!$F$10,SUM(Dealer!D14:D16)-Dealer!D18-Dealer!D19,SUM(Dealer!D3:D5)-SUM(Dealer!D7:D8))</f>
        <v>0.40436293659776001</v>
      </c>
      <c r="E19">
        <f>IF(Rules!$B$10=Rules!$F$10,SUM(Dealer!E14:E16)-Dealer!E18-Dealer!E19,SUM(Dealer!E3:E5)-SUM(Dealer!E7:E8))</f>
        <v>0.42317892482749647</v>
      </c>
      <c r="F19">
        <f>IF(Rules!$B$10=Rules!$F$10,SUM(Dealer!F14:F16)-Dealer!F18-Dealer!F19,SUM(Dealer!F3:F5)-SUM(Dealer!F7:F8))</f>
        <v>0.43951210416088371</v>
      </c>
      <c r="G19">
        <f>IF(Rules!$B$10=Rules!$F$10,SUM(Dealer!G14:G16)-Dealer!G18-Dealer!G19,SUM(Dealer!G3:G5)-SUM(Dealer!G7:G8))</f>
        <v>0.49597707378731909</v>
      </c>
      <c r="H19">
        <f>IF(Rules!$B$10=Rules!$F$10,SUM(Dealer!H14:H16)-Dealer!H18-Dealer!H19,SUM(Dealer!H3:H5)-SUM(Dealer!H7:H8))</f>
        <v>0.6159764957534315</v>
      </c>
      <c r="I19">
        <f>IF(Rules!$B$10=Rules!$F$10,SUM(Dealer!I14:I16)-Dealer!I18-Dealer!I19,SUM(Dealer!I3:I5)-SUM(Dealer!I7:I8))</f>
        <v>0.5938536682866945</v>
      </c>
      <c r="J19">
        <f>IF(Rules!$B$10=Rules!$F$10,SUM(Dealer!J14:J16)-Dealer!J18-Dealer!J19,SUM(Dealer!J3:J5)-SUM(Dealer!J7:J8))</f>
        <v>0.28759675706758142</v>
      </c>
      <c r="K19">
        <f>IF(Rules!$B$10=Rules!$F$10,SUM(Dealer!K14:K16)-Dealer!K18-Dealer!K19,SUM(Dealer!K3:K5)-SUM(Dealer!K7:K8))</f>
        <v>-1.8660154151531536E-2</v>
      </c>
    </row>
    <row r="20" spans="1:11" x14ac:dyDescent="0.2">
      <c r="A20">
        <v>20</v>
      </c>
      <c r="B20">
        <f>IF(Rules!$B$10=Rules!$F$10,SUM(Dealer!B14:B17)-Dealer!B19,SUM(Dealer!B3:B6)-Dealer!B8)</f>
        <v>0.20418852289369649</v>
      </c>
      <c r="C20">
        <f>IF(Rules!$B$10=Rules!$F$10,SUM(Dealer!C14:C17)-Dealer!C19,SUM(Dealer!C3:C6)-Dealer!C8)</f>
        <v>0.63998657521683877</v>
      </c>
      <c r="D20">
        <f>IF(Rules!$B$10=Rules!$F$10,SUM(Dealer!D14:D17)-Dealer!D19,SUM(Dealer!D3:D6)-Dealer!D8)</f>
        <v>0.65027209425148136</v>
      </c>
      <c r="E20">
        <f>IF(Rules!$B$10=Rules!$F$10,SUM(Dealer!E14:E17)-Dealer!E19,SUM(Dealer!E3:E6)-Dealer!E8)</f>
        <v>0.66104996194807186</v>
      </c>
      <c r="F20">
        <f>IF(Rules!$B$10=Rules!$F$10,SUM(Dealer!F14:F17)-Dealer!F19,SUM(Dealer!F3:F6)-Dealer!F8)</f>
        <v>0.67035969063279999</v>
      </c>
      <c r="G20">
        <f>IF(Rules!$B$10=Rules!$F$10,SUM(Dealer!G14:G17)-Dealer!G19,SUM(Dealer!G3:G6)-Dealer!G8)</f>
        <v>0.70395857017134467</v>
      </c>
      <c r="H20">
        <f>IF(Rules!$B$10=Rules!$F$10,SUM(Dealer!H14:H17)-Dealer!H19,SUM(Dealer!H3:H6)-Dealer!H8)</f>
        <v>0.77322722653717491</v>
      </c>
      <c r="I20">
        <f>IF(Rules!$B$10=Rules!$F$10,SUM(Dealer!I14:I17)-Dealer!I19,SUM(Dealer!I3:I6)-Dealer!I8)</f>
        <v>0.79181515955189841</v>
      </c>
      <c r="J20">
        <f>IF(Rules!$B$10=Rules!$F$10,SUM(Dealer!J14:J17)-Dealer!J19,SUM(Dealer!J3:J6)-Dealer!J8)</f>
        <v>0.75835687080859626</v>
      </c>
      <c r="K20">
        <f>IF(Rules!$B$10=Rules!$F$10,SUM(Dealer!K14:K17)-Dealer!K19,SUM(Dealer!K3:K6)-Dealer!K8)</f>
        <v>0.43495775366292722</v>
      </c>
    </row>
    <row r="21" spans="1:11" x14ac:dyDescent="0.2">
      <c r="A21">
        <v>21</v>
      </c>
      <c r="B21">
        <f>IF(Rules!$B$13=Rules!$E$13,1,IF(Rules!$B$10=Rules!$F$10,SUM(Dealer!B14:B18),SUM(Dealer!B3:B7)))</f>
        <v>0.65780643070815525</v>
      </c>
      <c r="C21">
        <f>IF(Rules!$B$13=Rules!$E$13,1,IF(Rules!$B$10=Rules!$F$10,SUM(Dealer!C14:C18),SUM(Dealer!C3:C7)))</f>
        <v>0.88200651549403997</v>
      </c>
      <c r="D21">
        <f>IF(Rules!$B$13=Rules!$E$13,1,IF(Rules!$B$10=Rules!$F$10,SUM(Dealer!D14:D18),SUM(Dealer!D3:D7)))</f>
        <v>0.88530035730174927</v>
      </c>
      <c r="E21">
        <f>IF(Rules!$B$13=Rules!$E$13,1,IF(Rules!$B$10=Rules!$F$10,SUM(Dealer!E14:E18),SUM(Dealer!E3:E7)))</f>
        <v>0.88876729296591961</v>
      </c>
      <c r="F21">
        <f>IF(Rules!$B$13=Rules!$E$13,1,IF(Rules!$B$10=Rules!$F$10,SUM(Dealer!F14:F18),SUM(Dealer!F3:F7)))</f>
        <v>0.89175382659528035</v>
      </c>
      <c r="G21">
        <f>IF(Rules!$B$13=Rules!$E$13,1,IF(Rules!$B$10=Rules!$F$10,SUM(Dealer!G14:G18),SUM(Dealer!G3:G7)))</f>
        <v>0.90283674384257995</v>
      </c>
      <c r="H21">
        <f>IF(Rules!$B$13=Rules!$E$13,1,IF(Rules!$B$10=Rules!$F$10,SUM(Dealer!H14:H18),SUM(Dealer!H3:H7)))</f>
        <v>0.92592629596452325</v>
      </c>
      <c r="I21">
        <f>IF(Rules!$B$13=Rules!$E$13,1,IF(Rules!$B$10=Rules!$F$10,SUM(Dealer!I14:I18),SUM(Dealer!I3:I7)))</f>
        <v>0.93060505318396614</v>
      </c>
      <c r="J21">
        <f>IF(Rules!$B$13=Rules!$E$13,1,IF(Rules!$B$10=Rules!$F$10,SUM(Dealer!J14:J18),SUM(Dealer!J3:J7)))</f>
        <v>0.93917615614724415</v>
      </c>
      <c r="K21">
        <f>IF(Rules!$B$13=Rules!$E$13,1,IF(Rules!$B$10=Rules!$F$10,SUM(Dealer!K14:K18),SUM(Dealer!K3:K7)))</f>
        <v>0.88857566147738598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B11</f>
        <v>-0.57578184676460165</v>
      </c>
      <c r="C34">
        <f t="shared" ref="C34:K34" si="2">C11</f>
        <v>-0.29278372720927726</v>
      </c>
      <c r="D34">
        <f t="shared" si="2"/>
        <v>-0.2522502292357135</v>
      </c>
      <c r="E34">
        <f t="shared" si="2"/>
        <v>-0.21106310899491437</v>
      </c>
      <c r="F34">
        <f t="shared" si="2"/>
        <v>-0.16719266083547524</v>
      </c>
      <c r="G34">
        <f t="shared" si="2"/>
        <v>-0.1536990158300045</v>
      </c>
      <c r="H34">
        <f t="shared" si="2"/>
        <v>-0.47537518327693323</v>
      </c>
      <c r="I34">
        <f t="shared" si="2"/>
        <v>-0.51051751549761715</v>
      </c>
      <c r="J34">
        <f t="shared" si="2"/>
        <v>-0.5431496811311094</v>
      </c>
      <c r="K34">
        <f t="shared" si="2"/>
        <v>-0.57578184676460153</v>
      </c>
    </row>
    <row r="35" spans="1:11" x14ac:dyDescent="0.2">
      <c r="A35">
        <v>12</v>
      </c>
      <c r="B35">
        <f t="shared" ref="B35:K35" si="3">B12</f>
        <v>-0.57578184676460165</v>
      </c>
      <c r="C35">
        <f t="shared" si="3"/>
        <v>-0.29278372720927726</v>
      </c>
      <c r="D35">
        <f t="shared" si="3"/>
        <v>-0.2522502292357135</v>
      </c>
      <c r="E35">
        <f t="shared" si="3"/>
        <v>-0.21106310899491437</v>
      </c>
      <c r="F35">
        <f t="shared" si="3"/>
        <v>-0.16719266083547524</v>
      </c>
      <c r="G35">
        <f t="shared" si="3"/>
        <v>-0.1536990158300045</v>
      </c>
      <c r="H35">
        <f t="shared" si="3"/>
        <v>-0.47537518327693323</v>
      </c>
      <c r="I35">
        <f t="shared" si="3"/>
        <v>-0.51051751549761715</v>
      </c>
      <c r="J35">
        <f t="shared" si="3"/>
        <v>-0.5431496811311094</v>
      </c>
      <c r="K35">
        <f t="shared" si="3"/>
        <v>-0.57578184676460153</v>
      </c>
    </row>
    <row r="36" spans="1:11" x14ac:dyDescent="0.2">
      <c r="A36">
        <v>13</v>
      </c>
      <c r="B36">
        <f t="shared" ref="B36:K36" si="4">B13</f>
        <v>-0.57578184676460165</v>
      </c>
      <c r="C36">
        <f t="shared" si="4"/>
        <v>-0.29278372720927726</v>
      </c>
      <c r="D36">
        <f t="shared" si="4"/>
        <v>-0.2522502292357135</v>
      </c>
      <c r="E36">
        <f t="shared" si="4"/>
        <v>-0.21106310899491437</v>
      </c>
      <c r="F36">
        <f t="shared" si="4"/>
        <v>-0.16719266083547524</v>
      </c>
      <c r="G36">
        <f t="shared" si="4"/>
        <v>-0.1536990158300045</v>
      </c>
      <c r="H36">
        <f t="shared" si="4"/>
        <v>-0.47537518327693323</v>
      </c>
      <c r="I36">
        <f t="shared" si="4"/>
        <v>-0.51051751549761715</v>
      </c>
      <c r="J36">
        <f t="shared" si="4"/>
        <v>-0.5431496811311094</v>
      </c>
      <c r="K36">
        <f t="shared" si="4"/>
        <v>-0.57578184676460153</v>
      </c>
    </row>
    <row r="37" spans="1:11" x14ac:dyDescent="0.2">
      <c r="A37">
        <v>14</v>
      </c>
      <c r="B37">
        <f t="shared" ref="B37:K37" si="5">B14</f>
        <v>-0.57578184676460165</v>
      </c>
      <c r="C37">
        <f t="shared" si="5"/>
        <v>-0.29278372720927726</v>
      </c>
      <c r="D37">
        <f t="shared" si="5"/>
        <v>-0.2522502292357135</v>
      </c>
      <c r="E37">
        <f t="shared" si="5"/>
        <v>-0.21106310899491437</v>
      </c>
      <c r="F37">
        <f t="shared" si="5"/>
        <v>-0.16719266083547524</v>
      </c>
      <c r="G37">
        <f t="shared" si="5"/>
        <v>-0.1536990158300045</v>
      </c>
      <c r="H37">
        <f t="shared" si="5"/>
        <v>-0.47537518327693323</v>
      </c>
      <c r="I37">
        <f t="shared" si="5"/>
        <v>-0.51051751549761715</v>
      </c>
      <c r="J37">
        <f t="shared" si="5"/>
        <v>-0.5431496811311094</v>
      </c>
      <c r="K37">
        <f t="shared" si="5"/>
        <v>-0.57578184676460153</v>
      </c>
    </row>
    <row r="38" spans="1:11" x14ac:dyDescent="0.2">
      <c r="A38">
        <v>15</v>
      </c>
      <c r="B38">
        <f t="shared" ref="B38:K38" si="6">B15</f>
        <v>-0.57578184676460165</v>
      </c>
      <c r="C38">
        <f t="shared" si="6"/>
        <v>-0.29278372720927726</v>
      </c>
      <c r="D38">
        <f t="shared" si="6"/>
        <v>-0.2522502292357135</v>
      </c>
      <c r="E38">
        <f t="shared" si="6"/>
        <v>-0.21106310899491437</v>
      </c>
      <c r="F38">
        <f t="shared" si="6"/>
        <v>-0.16719266083547524</v>
      </c>
      <c r="G38">
        <f t="shared" si="6"/>
        <v>-0.1536990158300045</v>
      </c>
      <c r="H38">
        <f t="shared" si="6"/>
        <v>-0.47537518327693323</v>
      </c>
      <c r="I38">
        <f t="shared" si="6"/>
        <v>-0.51051751549761715</v>
      </c>
      <c r="J38">
        <f t="shared" si="6"/>
        <v>-0.5431496811311094</v>
      </c>
      <c r="K38">
        <f t="shared" si="6"/>
        <v>-0.57578184676460153</v>
      </c>
    </row>
    <row r="39" spans="1:11" x14ac:dyDescent="0.2">
      <c r="A39">
        <v>16</v>
      </c>
      <c r="B39">
        <f t="shared" ref="B39:K39" si="7">B16</f>
        <v>-0.57578184676460165</v>
      </c>
      <c r="C39">
        <f t="shared" si="7"/>
        <v>-0.29278372720927726</v>
      </c>
      <c r="D39">
        <f t="shared" si="7"/>
        <v>-0.2522502292357135</v>
      </c>
      <c r="E39">
        <f t="shared" si="7"/>
        <v>-0.21106310899491437</v>
      </c>
      <c r="F39">
        <f t="shared" si="7"/>
        <v>-0.16719266083547524</v>
      </c>
      <c r="G39">
        <f t="shared" si="7"/>
        <v>-0.1536990158300045</v>
      </c>
      <c r="H39">
        <f t="shared" si="7"/>
        <v>-0.47537518327693323</v>
      </c>
      <c r="I39">
        <f t="shared" si="7"/>
        <v>-0.51051751549761715</v>
      </c>
      <c r="J39">
        <f t="shared" si="7"/>
        <v>-0.5431496811311094</v>
      </c>
      <c r="K39">
        <f t="shared" si="7"/>
        <v>-0.57578184676460153</v>
      </c>
    </row>
    <row r="40" spans="1:11" x14ac:dyDescent="0.2">
      <c r="A40">
        <v>17</v>
      </c>
      <c r="B40">
        <f t="shared" ref="B40:K40" si="8">B17</f>
        <v>-0.46435750824198752</v>
      </c>
      <c r="C40">
        <f t="shared" si="8"/>
        <v>-0.15297458768154204</v>
      </c>
      <c r="D40">
        <f t="shared" si="8"/>
        <v>-0.11721624142457365</v>
      </c>
      <c r="E40">
        <f t="shared" si="8"/>
        <v>-8.0573373145316152E-2</v>
      </c>
      <c r="F40">
        <f t="shared" si="8"/>
        <v>-4.4941375564924446E-2</v>
      </c>
      <c r="G40">
        <f t="shared" si="8"/>
        <v>1.1739160673341853E-2</v>
      </c>
      <c r="H40">
        <f t="shared" si="8"/>
        <v>-0.10680898948269468</v>
      </c>
      <c r="I40">
        <f t="shared" si="8"/>
        <v>-0.38195097104844711</v>
      </c>
      <c r="J40">
        <f t="shared" si="8"/>
        <v>-0.42315423964521737</v>
      </c>
      <c r="K40">
        <f t="shared" si="8"/>
        <v>-0.46435750824198763</v>
      </c>
    </row>
    <row r="41" spans="1:11" x14ac:dyDescent="0.2">
      <c r="A41">
        <v>18</v>
      </c>
      <c r="B41">
        <f t="shared" ref="B41:K41" si="9">B18</f>
        <v>-0.24150883119675959</v>
      </c>
      <c r="C41">
        <f t="shared" si="9"/>
        <v>0.12174190222088771</v>
      </c>
      <c r="D41">
        <f t="shared" si="9"/>
        <v>0.14830007284131119</v>
      </c>
      <c r="E41">
        <f t="shared" si="9"/>
        <v>0.17585443719748528</v>
      </c>
      <c r="F41">
        <f t="shared" si="9"/>
        <v>0.19956119497617719</v>
      </c>
      <c r="G41">
        <f t="shared" si="9"/>
        <v>0.28344391604689856</v>
      </c>
      <c r="H41">
        <f t="shared" si="9"/>
        <v>0.3995541673365518</v>
      </c>
      <c r="I41">
        <f t="shared" si="9"/>
        <v>0.10595134861912359</v>
      </c>
      <c r="J41">
        <f t="shared" si="9"/>
        <v>-0.18316335667343331</v>
      </c>
      <c r="K41">
        <f t="shared" si="9"/>
        <v>-0.24150883119675959</v>
      </c>
    </row>
    <row r="42" spans="1:11" x14ac:dyDescent="0.2">
      <c r="A42">
        <v>19</v>
      </c>
      <c r="B42">
        <f t="shared" ref="B42:K42" si="10">B19</f>
        <v>-1.8660154151531549E-2</v>
      </c>
      <c r="C42">
        <f t="shared" si="10"/>
        <v>0.38630468602058987</v>
      </c>
      <c r="D42">
        <f t="shared" si="10"/>
        <v>0.40436293659776001</v>
      </c>
      <c r="E42">
        <f t="shared" si="10"/>
        <v>0.42317892482749647</v>
      </c>
      <c r="F42">
        <f t="shared" si="10"/>
        <v>0.43951210416088371</v>
      </c>
      <c r="G42">
        <f t="shared" si="10"/>
        <v>0.49597707378731909</v>
      </c>
      <c r="H42">
        <f t="shared" si="10"/>
        <v>0.6159764957534315</v>
      </c>
      <c r="I42">
        <f t="shared" si="10"/>
        <v>0.5938536682866945</v>
      </c>
      <c r="J42">
        <f t="shared" si="10"/>
        <v>0.28759675706758142</v>
      </c>
      <c r="K42">
        <f t="shared" si="10"/>
        <v>-1.8660154151531536E-2</v>
      </c>
    </row>
    <row r="43" spans="1:11" x14ac:dyDescent="0.2">
      <c r="A43">
        <v>20</v>
      </c>
      <c r="B43">
        <f t="shared" ref="B43:K43" si="11">B20</f>
        <v>0.20418852289369649</v>
      </c>
      <c r="C43">
        <f t="shared" si="11"/>
        <v>0.63998657521683877</v>
      </c>
      <c r="D43">
        <f t="shared" si="11"/>
        <v>0.65027209425148136</v>
      </c>
      <c r="E43">
        <f t="shared" si="11"/>
        <v>0.66104996194807186</v>
      </c>
      <c r="F43">
        <f t="shared" si="11"/>
        <v>0.67035969063279999</v>
      </c>
      <c r="G43">
        <f t="shared" si="11"/>
        <v>0.70395857017134467</v>
      </c>
      <c r="H43">
        <f t="shared" si="11"/>
        <v>0.77322722653717491</v>
      </c>
      <c r="I43">
        <f t="shared" si="11"/>
        <v>0.79181515955189841</v>
      </c>
      <c r="J43">
        <f t="shared" si="11"/>
        <v>0.75835687080859626</v>
      </c>
      <c r="K43">
        <f t="shared" si="11"/>
        <v>0.43495775366292722</v>
      </c>
    </row>
    <row r="44" spans="1:11" x14ac:dyDescent="0.2">
      <c r="A44">
        <v>21</v>
      </c>
      <c r="B44">
        <f t="shared" ref="B44:K44" si="12">B21</f>
        <v>0.65780643070815525</v>
      </c>
      <c r="C44">
        <f t="shared" si="12"/>
        <v>0.88200651549403997</v>
      </c>
      <c r="D44">
        <f t="shared" si="12"/>
        <v>0.88530035730174927</v>
      </c>
      <c r="E44">
        <f t="shared" si="12"/>
        <v>0.88876729296591961</v>
      </c>
      <c r="F44">
        <f t="shared" si="12"/>
        <v>0.89175382659528035</v>
      </c>
      <c r="G44">
        <f t="shared" si="12"/>
        <v>0.90283674384257995</v>
      </c>
      <c r="H44">
        <f t="shared" si="12"/>
        <v>0.92592629596452325</v>
      </c>
      <c r="I44">
        <f t="shared" si="12"/>
        <v>0.93060505318396614</v>
      </c>
      <c r="J44">
        <f t="shared" si="12"/>
        <v>0.93917615614724415</v>
      </c>
      <c r="K44">
        <f t="shared" si="12"/>
        <v>0.88857566147738598</v>
      </c>
    </row>
    <row r="45" spans="1:11" x14ac:dyDescent="0.2">
      <c r="A45">
        <v>22</v>
      </c>
      <c r="B45">
        <f>B12</f>
        <v>-0.57578184676460165</v>
      </c>
      <c r="C45">
        <f t="shared" ref="C45:K45" si="13">C12</f>
        <v>-0.29278372720927726</v>
      </c>
      <c r="D45">
        <f t="shared" si="13"/>
        <v>-0.2522502292357135</v>
      </c>
      <c r="E45">
        <f t="shared" si="13"/>
        <v>-0.21106310899491437</v>
      </c>
      <c r="F45">
        <f t="shared" si="13"/>
        <v>-0.16719266083547524</v>
      </c>
      <c r="G45">
        <f t="shared" si="13"/>
        <v>-0.1536990158300045</v>
      </c>
      <c r="H45">
        <f t="shared" si="13"/>
        <v>-0.47537518327693323</v>
      </c>
      <c r="I45">
        <f t="shared" si="13"/>
        <v>-0.51051751549761715</v>
      </c>
      <c r="J45">
        <f t="shared" si="13"/>
        <v>-0.5431496811311094</v>
      </c>
      <c r="K45">
        <f t="shared" si="13"/>
        <v>-0.57578184676460153</v>
      </c>
    </row>
    <row r="46" spans="1:11" x14ac:dyDescent="0.2">
      <c r="A46">
        <v>23</v>
      </c>
      <c r="B46">
        <f t="shared" ref="B46:K46" si="14">B13</f>
        <v>-0.57578184676460165</v>
      </c>
      <c r="C46">
        <f t="shared" si="14"/>
        <v>-0.29278372720927726</v>
      </c>
      <c r="D46">
        <f t="shared" si="14"/>
        <v>-0.2522502292357135</v>
      </c>
      <c r="E46">
        <f t="shared" si="14"/>
        <v>-0.21106310899491437</v>
      </c>
      <c r="F46">
        <f t="shared" si="14"/>
        <v>-0.16719266083547524</v>
      </c>
      <c r="G46">
        <f t="shared" si="14"/>
        <v>-0.1536990158300045</v>
      </c>
      <c r="H46">
        <f t="shared" si="14"/>
        <v>-0.47537518327693323</v>
      </c>
      <c r="I46">
        <f t="shared" si="14"/>
        <v>-0.51051751549761715</v>
      </c>
      <c r="J46">
        <f t="shared" si="14"/>
        <v>-0.5431496811311094</v>
      </c>
      <c r="K46">
        <f t="shared" si="14"/>
        <v>-0.57578184676460153</v>
      </c>
    </row>
    <row r="47" spans="1:11" x14ac:dyDescent="0.2">
      <c r="A47">
        <v>24</v>
      </c>
      <c r="B47">
        <f t="shared" ref="B47:K47" si="15">B14</f>
        <v>-0.57578184676460165</v>
      </c>
      <c r="C47">
        <f t="shared" si="15"/>
        <v>-0.29278372720927726</v>
      </c>
      <c r="D47">
        <f t="shared" si="15"/>
        <v>-0.2522502292357135</v>
      </c>
      <c r="E47">
        <f t="shared" si="15"/>
        <v>-0.21106310899491437</v>
      </c>
      <c r="F47">
        <f t="shared" si="15"/>
        <v>-0.16719266083547524</v>
      </c>
      <c r="G47">
        <f t="shared" si="15"/>
        <v>-0.1536990158300045</v>
      </c>
      <c r="H47">
        <f t="shared" si="15"/>
        <v>-0.47537518327693323</v>
      </c>
      <c r="I47">
        <f t="shared" si="15"/>
        <v>-0.51051751549761715</v>
      </c>
      <c r="J47">
        <f t="shared" si="15"/>
        <v>-0.5431496811311094</v>
      </c>
      <c r="K47">
        <f t="shared" si="15"/>
        <v>-0.57578184676460153</v>
      </c>
    </row>
    <row r="48" spans="1:11" x14ac:dyDescent="0.2">
      <c r="A48">
        <v>25</v>
      </c>
      <c r="B48">
        <f t="shared" ref="B48:K48" si="16">B15</f>
        <v>-0.57578184676460165</v>
      </c>
      <c r="C48">
        <f t="shared" si="16"/>
        <v>-0.29278372720927726</v>
      </c>
      <c r="D48">
        <f t="shared" si="16"/>
        <v>-0.2522502292357135</v>
      </c>
      <c r="E48">
        <f t="shared" si="16"/>
        <v>-0.21106310899491437</v>
      </c>
      <c r="F48">
        <f t="shared" si="16"/>
        <v>-0.16719266083547524</v>
      </c>
      <c r="G48">
        <f t="shared" si="16"/>
        <v>-0.1536990158300045</v>
      </c>
      <c r="H48">
        <f t="shared" si="16"/>
        <v>-0.47537518327693323</v>
      </c>
      <c r="I48">
        <f t="shared" si="16"/>
        <v>-0.51051751549761715</v>
      </c>
      <c r="J48">
        <f t="shared" si="16"/>
        <v>-0.5431496811311094</v>
      </c>
      <c r="K48">
        <f t="shared" si="16"/>
        <v>-0.57578184676460153</v>
      </c>
    </row>
    <row r="49" spans="1:11" x14ac:dyDescent="0.2">
      <c r="A49">
        <v>26</v>
      </c>
      <c r="B49">
        <f t="shared" ref="B49:K49" si="17">B16</f>
        <v>-0.57578184676460165</v>
      </c>
      <c r="C49">
        <f t="shared" si="17"/>
        <v>-0.29278372720927726</v>
      </c>
      <c r="D49">
        <f t="shared" si="17"/>
        <v>-0.2522502292357135</v>
      </c>
      <c r="E49">
        <f t="shared" si="17"/>
        <v>-0.21106310899491437</v>
      </c>
      <c r="F49">
        <f t="shared" si="17"/>
        <v>-0.16719266083547524</v>
      </c>
      <c r="G49">
        <f t="shared" si="17"/>
        <v>-0.1536990158300045</v>
      </c>
      <c r="H49">
        <f t="shared" si="17"/>
        <v>-0.47537518327693323</v>
      </c>
      <c r="I49">
        <f t="shared" si="17"/>
        <v>-0.51051751549761715</v>
      </c>
      <c r="J49">
        <f t="shared" si="17"/>
        <v>-0.5431496811311094</v>
      </c>
      <c r="K49">
        <f t="shared" si="17"/>
        <v>-0.57578184676460153</v>
      </c>
    </row>
    <row r="50" spans="1:11" x14ac:dyDescent="0.2">
      <c r="A50">
        <v>27</v>
      </c>
      <c r="B50">
        <f t="shared" ref="B50:K50" si="18">B17</f>
        <v>-0.46435750824198752</v>
      </c>
      <c r="C50">
        <f t="shared" si="18"/>
        <v>-0.15297458768154204</v>
      </c>
      <c r="D50">
        <f t="shared" si="18"/>
        <v>-0.11721624142457365</v>
      </c>
      <c r="E50">
        <f t="shared" si="18"/>
        <v>-8.0573373145316152E-2</v>
      </c>
      <c r="F50">
        <f t="shared" si="18"/>
        <v>-4.4941375564924446E-2</v>
      </c>
      <c r="G50">
        <f t="shared" si="18"/>
        <v>1.1739160673341853E-2</v>
      </c>
      <c r="H50">
        <f t="shared" si="18"/>
        <v>-0.10680898948269468</v>
      </c>
      <c r="I50">
        <f t="shared" si="18"/>
        <v>-0.38195097104844711</v>
      </c>
      <c r="J50">
        <f t="shared" si="18"/>
        <v>-0.42315423964521737</v>
      </c>
      <c r="K50">
        <f t="shared" si="18"/>
        <v>-0.46435750824198763</v>
      </c>
    </row>
    <row r="51" spans="1:11" x14ac:dyDescent="0.2">
      <c r="A51">
        <v>28</v>
      </c>
      <c r="B51">
        <f t="shared" ref="B51:K51" si="19">B18</f>
        <v>-0.24150883119675959</v>
      </c>
      <c r="C51">
        <f t="shared" si="19"/>
        <v>0.12174190222088771</v>
      </c>
      <c r="D51">
        <f t="shared" si="19"/>
        <v>0.14830007284131119</v>
      </c>
      <c r="E51">
        <f t="shared" si="19"/>
        <v>0.17585443719748528</v>
      </c>
      <c r="F51">
        <f t="shared" si="19"/>
        <v>0.19956119497617719</v>
      </c>
      <c r="G51">
        <f t="shared" si="19"/>
        <v>0.28344391604689856</v>
      </c>
      <c r="H51">
        <f t="shared" si="19"/>
        <v>0.3995541673365518</v>
      </c>
      <c r="I51">
        <f t="shared" si="19"/>
        <v>0.10595134861912359</v>
      </c>
      <c r="J51">
        <f t="shared" si="19"/>
        <v>-0.18316335667343331</v>
      </c>
      <c r="K51">
        <f t="shared" si="19"/>
        <v>-0.24150883119675959</v>
      </c>
    </row>
    <row r="52" spans="1:11" x14ac:dyDescent="0.2">
      <c r="A52">
        <v>29</v>
      </c>
      <c r="B52">
        <f t="shared" ref="B52:K52" si="20">B19</f>
        <v>-1.8660154151531549E-2</v>
      </c>
      <c r="C52">
        <f t="shared" si="20"/>
        <v>0.38630468602058987</v>
      </c>
      <c r="D52">
        <f t="shared" si="20"/>
        <v>0.40436293659776001</v>
      </c>
      <c r="E52">
        <f t="shared" si="20"/>
        <v>0.42317892482749647</v>
      </c>
      <c r="F52">
        <f t="shared" si="20"/>
        <v>0.43951210416088371</v>
      </c>
      <c r="G52">
        <f t="shared" si="20"/>
        <v>0.49597707378731909</v>
      </c>
      <c r="H52">
        <f t="shared" si="20"/>
        <v>0.6159764957534315</v>
      </c>
      <c r="I52">
        <f t="shared" si="20"/>
        <v>0.5938536682866945</v>
      </c>
      <c r="J52">
        <f t="shared" si="20"/>
        <v>0.28759675706758142</v>
      </c>
      <c r="K52">
        <f t="shared" si="20"/>
        <v>-1.8660154151531536E-2</v>
      </c>
    </row>
    <row r="53" spans="1:11" x14ac:dyDescent="0.2">
      <c r="A53">
        <v>30</v>
      </c>
      <c r="B53">
        <f t="shared" ref="B53:K53" si="21">B20</f>
        <v>0.20418852289369649</v>
      </c>
      <c r="C53">
        <f t="shared" si="21"/>
        <v>0.63998657521683877</v>
      </c>
      <c r="D53">
        <f t="shared" si="21"/>
        <v>0.65027209425148136</v>
      </c>
      <c r="E53">
        <f t="shared" si="21"/>
        <v>0.66104996194807186</v>
      </c>
      <c r="F53">
        <f t="shared" si="21"/>
        <v>0.67035969063279999</v>
      </c>
      <c r="G53">
        <f t="shared" si="21"/>
        <v>0.70395857017134467</v>
      </c>
      <c r="H53">
        <f t="shared" si="21"/>
        <v>0.77322722653717491</v>
      </c>
      <c r="I53">
        <f t="shared" si="21"/>
        <v>0.79181515955189841</v>
      </c>
      <c r="J53">
        <f t="shared" si="21"/>
        <v>0.75835687080859626</v>
      </c>
      <c r="K53">
        <f t="shared" si="21"/>
        <v>0.43495775366292722</v>
      </c>
    </row>
    <row r="54" spans="1:11" x14ac:dyDescent="0.2">
      <c r="A54">
        <v>31</v>
      </c>
      <c r="B54">
        <f t="shared" ref="B54:K54" si="22">B21</f>
        <v>0.65780643070815525</v>
      </c>
      <c r="C54">
        <f t="shared" si="22"/>
        <v>0.88200651549403997</v>
      </c>
      <c r="D54">
        <f t="shared" si="22"/>
        <v>0.88530035730174927</v>
      </c>
      <c r="E54">
        <f t="shared" si="22"/>
        <v>0.88876729296591961</v>
      </c>
      <c r="F54">
        <f t="shared" si="22"/>
        <v>0.89175382659528035</v>
      </c>
      <c r="G54">
        <f t="shared" si="22"/>
        <v>0.90283674384257995</v>
      </c>
      <c r="H54">
        <f t="shared" si="22"/>
        <v>0.92592629596452325</v>
      </c>
      <c r="I54">
        <f t="shared" si="22"/>
        <v>0.93060505318396614</v>
      </c>
      <c r="J54">
        <f t="shared" si="22"/>
        <v>0.93917615614724415</v>
      </c>
      <c r="K54">
        <f t="shared" si="22"/>
        <v>0.88857566147738598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0.99999999999999989</v>
      </c>
    </row>
    <row r="2" spans="1:23" x14ac:dyDescent="0.2">
      <c r="A2" t="s">
        <v>40</v>
      </c>
      <c r="B2" s="149" t="s">
        <v>125</v>
      </c>
      <c r="C2" s="155">
        <f>Analysis!B27</f>
        <v>0.43733323792593504</v>
      </c>
      <c r="D2" s="149" t="s">
        <v>126</v>
      </c>
      <c r="E2" s="155">
        <f>Analysis!H27</f>
        <v>0.56266676207406485</v>
      </c>
      <c r="F2" s="149" t="s">
        <v>47</v>
      </c>
      <c r="G2" s="155">
        <f>Analysis!S27</f>
        <v>4.5870310166292301</v>
      </c>
      <c r="H2" t="s">
        <v>155</v>
      </c>
      <c r="I2" s="169">
        <f>Analysis!T27</f>
        <v>-4.8555489324004357</v>
      </c>
      <c r="J2" t="s">
        <v>48</v>
      </c>
      <c r="K2" s="169">
        <f>C2*G2+E2*I2</f>
        <v>-0.72599486891678078</v>
      </c>
      <c r="L2" t="s">
        <v>47</v>
      </c>
      <c r="M2" s="176">
        <v>2</v>
      </c>
      <c r="N2" t="s">
        <v>155</v>
      </c>
      <c r="O2" s="176">
        <v>4</v>
      </c>
    </row>
    <row r="4" spans="1:23" x14ac:dyDescent="0.2">
      <c r="A4" t="s">
        <v>123</v>
      </c>
      <c r="B4">
        <f>$C$2</f>
        <v>0.43733323792593504</v>
      </c>
      <c r="C4" t="s">
        <v>124</v>
      </c>
      <c r="D4">
        <f>$E$2</f>
        <v>0.56266676207406485</v>
      </c>
      <c r="E4" t="s">
        <v>47</v>
      </c>
      <c r="F4">
        <f>G2</f>
        <v>4.5870310166292301</v>
      </c>
      <c r="G4" t="s">
        <v>155</v>
      </c>
      <c r="H4">
        <f>I2</f>
        <v>-4.8555489324004357</v>
      </c>
      <c r="I4" t="s">
        <v>48</v>
      </c>
      <c r="J4">
        <f>K2</f>
        <v>-0.72599486891678078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263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0.43733323792593504</v>
      </c>
      <c r="C7" s="95">
        <v>1</v>
      </c>
      <c r="D7" s="22">
        <f>C7*D4</f>
        <v>0.56266676207406485</v>
      </c>
      <c r="E7" s="2"/>
      <c r="F7" s="2"/>
      <c r="G7" s="2"/>
      <c r="H7" s="2"/>
      <c r="I7" s="2"/>
      <c r="J7" s="2"/>
      <c r="K7" s="2"/>
      <c r="L7" s="2"/>
      <c r="M7" s="256"/>
      <c r="N7" s="96">
        <f>B7+D7</f>
        <v>0.99999999999999989</v>
      </c>
      <c r="R7" s="296">
        <f>B7-D7</f>
        <v>-0.12533352414812982</v>
      </c>
      <c r="S7" s="297">
        <f>SUM(C7)*B4*F4*POWER(O2,A7-1)</f>
        <v>2.0060611269691546</v>
      </c>
      <c r="T7" s="276">
        <f>SUM(C7)*D4*H4*POWER(O2,A7-1)</f>
        <v>-2.7320559958859354</v>
      </c>
      <c r="U7" s="294">
        <f>S7+T7</f>
        <v>-0.72599486891678078</v>
      </c>
      <c r="V7" s="109">
        <f>(U7+W7*D7)/B7</f>
        <v>-0.37346374041292629</v>
      </c>
      <c r="W7" s="57">
        <f>COUNT(D7:M7)</f>
        <v>1</v>
      </c>
    </row>
    <row r="8" spans="1:23" x14ac:dyDescent="0.2">
      <c r="A8" s="99">
        <v>2</v>
      </c>
      <c r="B8" s="97">
        <f>C8*B4</f>
        <v>0.580073623224719</v>
      </c>
      <c r="C8" s="97">
        <f>1/(1-B4*D4)</f>
        <v>1.3263881473444237</v>
      </c>
      <c r="D8" s="144">
        <f>C8*D4</f>
        <v>0.74631452411970456</v>
      </c>
      <c r="E8" s="1">
        <f>D8*D4</f>
        <v>0.41992637677528072</v>
      </c>
      <c r="F8" s="1"/>
      <c r="G8" s="1"/>
      <c r="H8" s="1"/>
      <c r="I8" s="1"/>
      <c r="J8" s="1"/>
      <c r="K8" s="1"/>
      <c r="L8" s="1"/>
      <c r="M8" s="257"/>
      <c r="N8" s="97">
        <f>B8+E8</f>
        <v>0.99999999999999978</v>
      </c>
      <c r="R8" s="298">
        <f>B8-E8</f>
        <v>0.16014724644943829</v>
      </c>
      <c r="S8" s="299">
        <f>SUM(C8:D8)*B4*F4*POWER(O2,A8-1)</f>
        <v>16.631873027957226</v>
      </c>
      <c r="T8" s="277">
        <f>SUM(C8:D8)*D4*H4*POWER(O2,A8-1)</f>
        <v>-22.650959045049472</v>
      </c>
      <c r="U8" s="295">
        <f>S8+T8+U7</f>
        <v>-6.7450808860090259</v>
      </c>
      <c r="V8" s="93">
        <f>(U8+W8*E8)/B8</f>
        <v>-10.180135582842723</v>
      </c>
      <c r="W8" s="9">
        <f>COUNT(D8:M8)</f>
        <v>2</v>
      </c>
    </row>
    <row r="9" spans="1:23" x14ac:dyDescent="0.2">
      <c r="A9" s="99">
        <v>3</v>
      </c>
      <c r="B9" s="97">
        <f>C9*B4</f>
        <v>0.64923625705491761</v>
      </c>
      <c r="C9" s="97">
        <f>1/(1-D4*B4/(1-D4*B4))</f>
        <v>1.484534448225199</v>
      </c>
      <c r="D9" s="144">
        <f>C9*D4*C8</f>
        <v>1.1079296202664974</v>
      </c>
      <c r="E9" s="1">
        <f>D9*(D4)</f>
        <v>0.62339517204129835</v>
      </c>
      <c r="F9" s="1">
        <f>E9*D4</f>
        <v>0.35076374294508195</v>
      </c>
      <c r="G9" s="1"/>
      <c r="H9" s="1"/>
      <c r="I9" s="1"/>
      <c r="J9" s="1"/>
      <c r="K9" s="1"/>
      <c r="L9" s="1"/>
      <c r="M9" s="257"/>
      <c r="N9" s="97">
        <f>B9+F9</f>
        <v>0.99999999999999956</v>
      </c>
      <c r="R9" s="298">
        <f>B9-F9</f>
        <v>0.29847251410983566</v>
      </c>
      <c r="S9" s="299">
        <f>SUM(C9:E9)*B4*F4*POWER(O2,A9-1)</f>
        <v>103.21936339580465</v>
      </c>
      <c r="T9" s="277">
        <f>SUM(C9:E9)*D4*H4*POWER(O2,A9-1)</f>
        <v>-140.57452032037375</v>
      </c>
      <c r="U9" s="295">
        <f t="shared" ref="U9:U16" si="0">S9+T9+U8</f>
        <v>-44.100237810578129</v>
      </c>
      <c r="V9" s="93">
        <f>(U9+W9*F9)/B9</f>
        <v>-66.305518390205279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0.68904326705651042</v>
      </c>
      <c r="C10" s="97">
        <f>1/(1-D4*B4/(1-D4*B4/(1-D4*B4)))</f>
        <v>1.5755565946103642</v>
      </c>
      <c r="D10" s="144">
        <f>C10*D4*C9</f>
        <v>1.3160595735644454</v>
      </c>
      <c r="E10" s="1">
        <f>D10*D4*C8</f>
        <v>0.98219437435793022</v>
      </c>
      <c r="F10" s="1">
        <f>E10*D4</f>
        <v>0.55264812834733856</v>
      </c>
      <c r="G10" s="1">
        <f>F10*D4</f>
        <v>0.31095673294348919</v>
      </c>
      <c r="H10" s="1"/>
      <c r="I10" s="1"/>
      <c r="J10" s="1"/>
      <c r="K10" s="1"/>
      <c r="L10" s="1"/>
      <c r="M10" s="257"/>
      <c r="N10" s="97">
        <f>B10+G10</f>
        <v>0.99999999999999956</v>
      </c>
      <c r="R10" s="298">
        <f>B10-G10</f>
        <v>0.37808653411302123</v>
      </c>
      <c r="S10" s="299">
        <f>SUM(C10:F10)*B4*F4*POWER(O2,A10-1)</f>
        <v>568.30378686643701</v>
      </c>
      <c r="T10" s="277">
        <f>SUM(C10:F10)*D4*H4*POWER(O2,A10-1)</f>
        <v>-773.97330894842946</v>
      </c>
      <c r="U10" s="295">
        <f t="shared" si="0"/>
        <v>-249.76975989257059</v>
      </c>
      <c r="V10" s="93">
        <f>(U10+W10*G10)/B10</f>
        <v>-360.68262305567862</v>
      </c>
      <c r="W10" s="9">
        <f t="shared" si="1"/>
        <v>4</v>
      </c>
    </row>
    <row r="11" spans="1:23" x14ac:dyDescent="0.2">
      <c r="A11" s="99">
        <v>5</v>
      </c>
      <c r="B11" s="97">
        <f>C11*B4</f>
        <v>0.71424870746083258</v>
      </c>
      <c r="C11" s="97">
        <f>1/(1-D4*B4/(1-D4*B4/(1-D4*B4/(1-D4*B4))))</f>
        <v>1.6331909983521418</v>
      </c>
      <c r="D11" s="144">
        <f>C11*D4*C10</f>
        <v>1.4478455864801576</v>
      </c>
      <c r="E11" s="1">
        <f>D11*D4*C9</f>
        <v>1.2093827994807504</v>
      </c>
      <c r="F11" s="1">
        <f>E11*D4*C8</f>
        <v>0.90257994847303236</v>
      </c>
      <c r="G11" s="1">
        <f>F11*D4</f>
        <v>0.50785173712029741</v>
      </c>
      <c r="H11" s="1">
        <f>G11*D4</f>
        <v>0.28575129253916692</v>
      </c>
      <c r="I11" s="1"/>
      <c r="J11" s="1"/>
      <c r="K11" s="1"/>
      <c r="L11" s="1"/>
      <c r="M11" s="257"/>
      <c r="N11" s="97">
        <f>B11+H11</f>
        <v>0.99999999999999956</v>
      </c>
      <c r="R11" s="298">
        <f>B11-H11</f>
        <v>0.42849741492166565</v>
      </c>
      <c r="S11" s="299">
        <f>SUM(C11:G11)*B4*F4*POWER(O2,A11-1)</f>
        <v>2927.6814648268041</v>
      </c>
      <c r="T11" s="277">
        <f>SUM(C11:G11)*D4*H4*POWER(O2,A11-1)</f>
        <v>-3987.2113528807613</v>
      </c>
      <c r="U11" s="295">
        <f t="shared" si="0"/>
        <v>-1309.2996479465278</v>
      </c>
      <c r="V11" s="93">
        <f>(U11+W11*H11)/B11</f>
        <v>-1831.1141172846321</v>
      </c>
      <c r="W11" s="9">
        <f t="shared" si="1"/>
        <v>5</v>
      </c>
    </row>
    <row r="12" spans="1:23" x14ac:dyDescent="0.2">
      <c r="A12" s="99">
        <v>6</v>
      </c>
      <c r="B12" s="97">
        <f>C12*B4</f>
        <v>0.73118465889718465</v>
      </c>
      <c r="C12" s="97">
        <f>1/(1-D4*B4/(1-D4*B4/(1-D4*B4/(1-D4*B4/(1-D4*B4)))))</f>
        <v>1.6719165055115592</v>
      </c>
      <c r="D12" s="144">
        <f>C12*D4*C11</f>
        <v>1.5363947837537841</v>
      </c>
      <c r="E12" s="1">
        <f>D12*D4*C10</f>
        <v>1.3620344521819505</v>
      </c>
      <c r="F12" s="1">
        <f>E12*D4*C9</f>
        <v>1.1377049142191882</v>
      </c>
      <c r="G12" s="1">
        <f>F12*D4*C8</f>
        <v>0.84908570164414265</v>
      </c>
      <c r="H12" s="1">
        <f>G12*D4</f>
        <v>0.47775230246749523</v>
      </c>
      <c r="I12" s="1">
        <f>H12*D4</f>
        <v>0.2688153411028148</v>
      </c>
      <c r="J12" s="1"/>
      <c r="K12" s="1"/>
      <c r="L12" s="1"/>
      <c r="M12" s="257"/>
      <c r="N12" s="97">
        <f>B12+I12</f>
        <v>0.99999999999999944</v>
      </c>
      <c r="R12" s="298">
        <f>B12-I12</f>
        <v>0.46236931779436985</v>
      </c>
      <c r="S12" s="299">
        <f>SUM(C12:H12)*B4*F4*POWER(O2,A12-1)</f>
        <v>14451.114673087512</v>
      </c>
      <c r="T12" s="277">
        <f>SUM(C12:H12)*D4*H4*POWER(O2,A12-1)</f>
        <v>-19680.982777176872</v>
      </c>
      <c r="U12" s="295">
        <f t="shared" si="0"/>
        <v>-6539.167752035888</v>
      </c>
      <c r="V12" s="93">
        <f>(U12+W12*I12)/B12</f>
        <v>-8941.0448926124791</v>
      </c>
      <c r="W12" s="9">
        <f t="shared" si="1"/>
        <v>6</v>
      </c>
    </row>
    <row r="13" spans="1:23" x14ac:dyDescent="0.2">
      <c r="A13" s="99">
        <v>7</v>
      </c>
      <c r="B13" s="97">
        <f>C13*B4</f>
        <v>0.74302263586565731</v>
      </c>
      <c r="C13" s="97">
        <f>1/(1-D4*B4/(1-D4*B4/(1-D4*B4/(1-D4*B4/(1-D4*B4/(1-D4*B4))))))</f>
        <v>1.6989850563141797</v>
      </c>
      <c r="D13" s="144">
        <f>C13*D4*C12</f>
        <v>1.5982893493966652</v>
      </c>
      <c r="E13" s="1">
        <f>D13*D4*C11</f>
        <v>1.4687356762417514</v>
      </c>
      <c r="F13" s="1">
        <f>E13*D4*C10</f>
        <v>1.3020537516421344</v>
      </c>
      <c r="G13" s="1">
        <f>F13*D4*C9</f>
        <v>1.0876031435531535</v>
      </c>
      <c r="H13" s="1">
        <f>G13*D4*C8</f>
        <v>0.81169402251196632</v>
      </c>
      <c r="I13" s="1">
        <f>H13*D4</f>
        <v>0.45671324744168118</v>
      </c>
      <c r="J13" s="1">
        <f>I13*D4</f>
        <v>0.25697736413434191</v>
      </c>
      <c r="K13" s="1"/>
      <c r="L13" s="1"/>
      <c r="M13" s="257"/>
      <c r="N13" s="97">
        <f>B13+J13</f>
        <v>0.99999999999999922</v>
      </c>
      <c r="R13" s="298">
        <f>B13-J13</f>
        <v>0.4860452717313154</v>
      </c>
      <c r="S13" s="299">
        <f>SUM(C13:I13)*B4*F4*POWER(O2,A13-1)</f>
        <v>69219.155467519318</v>
      </c>
      <c r="T13" s="277">
        <f>SUM(C13:I13)*D4*H4*POWER(O2,A13-1)</f>
        <v>-94269.614311760044</v>
      </c>
      <c r="U13" s="295">
        <f t="shared" si="0"/>
        <v>-31589.626596276612</v>
      </c>
      <c r="V13" s="93">
        <f>(U13+W13*J13)/B13</f>
        <v>-42512.604905941153</v>
      </c>
      <c r="W13" s="9">
        <f t="shared" si="1"/>
        <v>7</v>
      </c>
    </row>
    <row r="14" spans="1:23" x14ac:dyDescent="0.2">
      <c r="A14" s="99">
        <v>8</v>
      </c>
      <c r="B14" s="97">
        <f>C14*B4</f>
        <v>0.75152741696280456</v>
      </c>
      <c r="C14" s="97">
        <f>1/(1-D4*B4/(1-D4*B4/(1-D4*B4/(1-D4*B4/(1-D4*B4/(1-D4*B4/(1-D4*B4)))))))</f>
        <v>1.7184319685531886</v>
      </c>
      <c r="D14" s="144">
        <f>C14*D4*C13</f>
        <v>1.6427563840342252</v>
      </c>
      <c r="E14" s="1">
        <f>D14*D4*C12</f>
        <v>1.5453932466900691</v>
      </c>
      <c r="F14" s="1">
        <f>E14*D4*C11</f>
        <v>1.4201272104413298</v>
      </c>
      <c r="G14" s="1">
        <f>F14*D4*C10</f>
        <v>1.2589616988781152</v>
      </c>
      <c r="H14" s="1">
        <f>G14*D4*C9</f>
        <v>1.0516084298255537</v>
      </c>
      <c r="I14" s="1">
        <f>H14*D4*C8</f>
        <v>0.78483064486552767</v>
      </c>
      <c r="J14" s="1">
        <f>I14*D4</f>
        <v>0.44159811772298674</v>
      </c>
      <c r="K14" s="1">
        <f>J14*D4</f>
        <v>0.24847258303719466</v>
      </c>
      <c r="L14" s="1"/>
      <c r="M14" s="257"/>
      <c r="N14" s="97">
        <f>B14+K14</f>
        <v>0.99999999999999922</v>
      </c>
      <c r="R14" s="298">
        <f>B14-K14</f>
        <v>0.5030548339256099</v>
      </c>
      <c r="S14" s="299">
        <f>SUM(C14:J14)*B4*F4*POWER(O2,A14-1)</f>
        <v>324193.49441387644</v>
      </c>
      <c r="T14" s="277">
        <f>SUM(C14:J14)*D4*H4*POWER(O2,A14-1)</f>
        <v>-441519.33773763984</v>
      </c>
      <c r="U14" s="295">
        <f t="shared" si="0"/>
        <v>-148915.46992004002</v>
      </c>
      <c r="V14" s="93">
        <f>(U14+W14*K14)/B14</f>
        <v>-198147.77049810003</v>
      </c>
      <c r="W14" s="9">
        <f t="shared" si="1"/>
        <v>8</v>
      </c>
    </row>
    <row r="15" spans="1:23" x14ac:dyDescent="0.2">
      <c r="A15" s="99">
        <v>9</v>
      </c>
      <c r="B15" s="97">
        <f>C15*B4</f>
        <v>0.75775870285849145</v>
      </c>
      <c r="C15" s="97">
        <f>1/(1-D4*B4/(1-D4*B4/(1-D4*B4/(1-D4*B4/(1-D4*B4/(1-D4*B4/(1-D4*B4/(1-D4*B4))))))))</f>
        <v>1.7326803388011005</v>
      </c>
      <c r="D15" s="144">
        <f>C15*D4*C14</f>
        <v>1.6753365060379526</v>
      </c>
      <c r="E15" s="1">
        <f>D15*D4*C13</f>
        <v>1.6015587413778114</v>
      </c>
      <c r="F15" s="1">
        <f>E15*D4*C12</f>
        <v>1.5066373122377419</v>
      </c>
      <c r="G15" s="1">
        <f>F15*D4*C11</f>
        <v>1.384512743250075</v>
      </c>
      <c r="H15" s="1">
        <f>G15*D4*C10</f>
        <v>1.2273889990593383</v>
      </c>
      <c r="I15" s="1">
        <f>H15*D4*C9</f>
        <v>1.0252358107765671</v>
      </c>
      <c r="J15" s="1">
        <f>I15*D4*C8</f>
        <v>0.76514837623019316</v>
      </c>
      <c r="K15" s="1">
        <f>J15*D4</f>
        <v>0.43052355935967118</v>
      </c>
      <c r="L15" s="1">
        <f>K15*D4</f>
        <v>0.24224129714150763</v>
      </c>
      <c r="M15" s="257"/>
      <c r="N15" s="97">
        <f>B15+L15</f>
        <v>0.99999999999999911</v>
      </c>
      <c r="R15" s="298">
        <f>B15-L15</f>
        <v>0.51551740571698379</v>
      </c>
      <c r="S15" s="299">
        <f>SUM(C15:K15)*B4*F4*POWER(O2,A15-1)</f>
        <v>1492047.1438901299</v>
      </c>
      <c r="T15" s="277">
        <f>SUM(C15:K15)*D4*H4*POWER(O2,A15-1)</f>
        <v>-2032020.007171094</v>
      </c>
      <c r="U15" s="295">
        <f t="shared" si="0"/>
        <v>-688888.33320100408</v>
      </c>
      <c r="V15" s="93">
        <f>(U15+W15*L15)/B15</f>
        <v>-909110.18300502014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0.76239023530887817</v>
      </c>
      <c r="C16" s="145">
        <f>1/(1-D4*B4/(1-D4*B4/(1-D4*B4/(1-D4*B4/(1-D4*B4/(1-D4*B4/(1-D4*B4/(1-D4*B4/(1-D4*B4)))))))))</f>
        <v>1.743270735434002</v>
      </c>
      <c r="D16" s="153">
        <f>C16*D4*C15</f>
        <v>1.699552357280192</v>
      </c>
      <c r="E16" s="111">
        <f>D16*D4*C14</f>
        <v>1.643304909920384</v>
      </c>
      <c r="F16" s="111">
        <f>E16*D4*C13</f>
        <v>1.5709377392224311</v>
      </c>
      <c r="G16" s="111">
        <f>F16*D4*C12</f>
        <v>1.4778311603349281</v>
      </c>
      <c r="H16" s="111">
        <f>G16*D4*C11</f>
        <v>1.3580415520287403</v>
      </c>
      <c r="I16" s="111">
        <f>H16*D4*C10</f>
        <v>1.2039219352453985</v>
      </c>
      <c r="J16" s="111">
        <f>I16*D4*C9</f>
        <v>1.0056338148207058</v>
      </c>
      <c r="K16" s="111">
        <f>J16*D4*C8</f>
        <v>0.75051912194659809</v>
      </c>
      <c r="L16" s="111">
        <f>K16*D4</f>
        <v>0.42229216422036259</v>
      </c>
      <c r="M16" s="259">
        <f>L16*D4</f>
        <v>0.23760976469112069</v>
      </c>
      <c r="N16" s="145">
        <f>B16+M16</f>
        <v>0.99999999999999889</v>
      </c>
      <c r="R16" s="300">
        <f>B16-M16</f>
        <v>0.52478047061775746</v>
      </c>
      <c r="S16" s="301">
        <f>SUM(C16:L16)*B4*F4*POWER(O2,A16-1)</f>
        <v>6770825.5842472501</v>
      </c>
      <c r="T16" s="278">
        <f>SUM(C16:L16)*D4*H4*POWER(O2,A16-1)</f>
        <v>-9221191.9097842239</v>
      </c>
      <c r="U16" s="295">
        <f t="shared" si="0"/>
        <v>-3139254.658737978</v>
      </c>
      <c r="V16" s="94">
        <f>(U16+W16*M16)/B16</f>
        <v>-4117644.9241489568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4</v>
      </c>
      <c r="D21" s="57">
        <f>SUM($C$21:C21)</f>
        <v>4</v>
      </c>
      <c r="E21" s="57">
        <f t="shared" ref="E21:E30" si="3">D21/R7</f>
        <v>-31.914845027994744</v>
      </c>
      <c r="F21" s="8">
        <f t="shared" ref="F21:F30" si="4">U7/E21</f>
        <v>2.2747873858699922E-2</v>
      </c>
      <c r="G21" s="281">
        <f>E21*U7</f>
        <v>23.170013732598417</v>
      </c>
      <c r="O21" s="101">
        <v>1</v>
      </c>
      <c r="P21" s="109">
        <v>1</v>
      </c>
      <c r="Q21" s="110">
        <f>P21*4+6</f>
        <v>10</v>
      </c>
      <c r="R21" s="57">
        <f>SUM($Q$21)</f>
        <v>10</v>
      </c>
      <c r="S21" s="276">
        <f>R21/R7</f>
        <v>-79.78711256998686</v>
      </c>
      <c r="T21" s="8">
        <f>U7/S21</f>
        <v>9.0991495434799684E-3</v>
      </c>
      <c r="U21" s="281">
        <f>S21*U7</f>
        <v>57.925034331496043</v>
      </c>
    </row>
    <row r="22" spans="1:21" x14ac:dyDescent="0.2">
      <c r="A22" s="97">
        <v>2</v>
      </c>
      <c r="B22" s="93">
        <f>C21</f>
        <v>4</v>
      </c>
      <c r="C22" s="1">
        <f t="shared" si="2"/>
        <v>16</v>
      </c>
      <c r="D22" s="9">
        <f>SUM($C$21:C22)</f>
        <v>20</v>
      </c>
      <c r="E22" s="9">
        <f t="shared" si="3"/>
        <v>124.88506948081935</v>
      </c>
      <c r="F22" s="9">
        <f t="shared" si="4"/>
        <v>-5.4010306548654151E-2</v>
      </c>
      <c r="G22" s="282">
        <f t="shared" ref="G22:G30" si="5">E22*U8</f>
        <v>-842.35989510298373</v>
      </c>
      <c r="O22" s="99">
        <v>2</v>
      </c>
      <c r="P22" s="93">
        <f>Q21</f>
        <v>10</v>
      </c>
      <c r="Q22" s="1">
        <f t="shared" ref="Q22:Q30" si="6">P22*4+6</f>
        <v>46</v>
      </c>
      <c r="R22" s="9">
        <f>SUM($Q$21:Q22)</f>
        <v>56</v>
      </c>
      <c r="S22" s="277">
        <f t="shared" ref="S22:S30" si="7">R22/R8</f>
        <v>349.67819454629415</v>
      </c>
      <c r="T22" s="9">
        <f>U8/S22</f>
        <v>-1.9289395195947912E-2</v>
      </c>
      <c r="U22" s="282">
        <f t="shared" ref="U22:U30" si="8">S22*U8</f>
        <v>-2358.6077062883542</v>
      </c>
    </row>
    <row r="23" spans="1:21" x14ac:dyDescent="0.2">
      <c r="A23" s="97">
        <v>3</v>
      </c>
      <c r="B23" s="93">
        <f t="shared" ref="B23:B30" si="9">C22</f>
        <v>16</v>
      </c>
      <c r="C23" s="1">
        <f t="shared" si="2"/>
        <v>64</v>
      </c>
      <c r="D23" s="9">
        <f>SUM($C$21:C23)</f>
        <v>84</v>
      </c>
      <c r="E23" s="9">
        <f t="shared" si="3"/>
        <v>281.43294953145545</v>
      </c>
      <c r="F23" s="9">
        <f t="shared" si="4"/>
        <v>-0.15669891490672486</v>
      </c>
      <c r="G23" s="282">
        <f t="shared" si="5"/>
        <v>-12411.260002069617</v>
      </c>
      <c r="O23" s="99">
        <v>3</v>
      </c>
      <c r="P23" s="93">
        <f t="shared" ref="P23:P30" si="10">Q22</f>
        <v>46</v>
      </c>
      <c r="Q23" s="1">
        <f t="shared" si="6"/>
        <v>190</v>
      </c>
      <c r="R23" s="9">
        <f>SUM($Q$21:Q23)</f>
        <v>246</v>
      </c>
      <c r="S23" s="277">
        <f t="shared" si="7"/>
        <v>824.19649505640518</v>
      </c>
      <c r="T23" s="9">
        <f t="shared" ref="T23:T30" si="11">U9/S23</f>
        <v>-5.3506946553515809E-2</v>
      </c>
      <c r="U23" s="282">
        <f t="shared" si="8"/>
        <v>-36347.261434632448</v>
      </c>
    </row>
    <row r="24" spans="1:21" x14ac:dyDescent="0.2">
      <c r="A24" s="97">
        <v>4</v>
      </c>
      <c r="B24" s="93">
        <f t="shared" si="9"/>
        <v>64</v>
      </c>
      <c r="C24" s="1">
        <f t="shared" si="2"/>
        <v>256</v>
      </c>
      <c r="D24" s="9">
        <f>SUM($C$21:C24)</f>
        <v>340</v>
      </c>
      <c r="E24" s="9">
        <f t="shared" si="3"/>
        <v>899.265034121432</v>
      </c>
      <c r="F24" s="9">
        <f t="shared" si="4"/>
        <v>-0.27774877307065737</v>
      </c>
      <c r="G24" s="282">
        <f t="shared" si="5"/>
        <v>-224609.21165229435</v>
      </c>
      <c r="O24" s="99">
        <v>4</v>
      </c>
      <c r="P24" s="93">
        <f t="shared" si="10"/>
        <v>190</v>
      </c>
      <c r="Q24" s="1">
        <f t="shared" si="6"/>
        <v>766</v>
      </c>
      <c r="R24" s="9">
        <f>SUM($Q$21:Q24)</f>
        <v>1012</v>
      </c>
      <c r="S24" s="277">
        <f t="shared" si="7"/>
        <v>2676.6359250908504</v>
      </c>
      <c r="T24" s="9">
        <f t="shared" si="11"/>
        <v>-9.3314805181841418E-2</v>
      </c>
      <c r="U24" s="282">
        <f t="shared" si="8"/>
        <v>-668542.71232977021</v>
      </c>
    </row>
    <row r="25" spans="1:21" x14ac:dyDescent="0.2">
      <c r="A25" s="97">
        <v>5</v>
      </c>
      <c r="B25" s="93">
        <f t="shared" si="9"/>
        <v>256</v>
      </c>
      <c r="C25" s="1">
        <f t="shared" si="2"/>
        <v>1024</v>
      </c>
      <c r="D25" s="9">
        <f>SUM($C$21:C25)</f>
        <v>1364</v>
      </c>
      <c r="E25" s="9">
        <f t="shared" si="3"/>
        <v>3183.2164034160046</v>
      </c>
      <c r="F25" s="9">
        <f t="shared" si="4"/>
        <v>-0.41131342705493701</v>
      </c>
      <c r="G25" s="282">
        <f t="shared" si="5"/>
        <v>-4167784.1163301873</v>
      </c>
      <c r="O25" s="99">
        <v>5</v>
      </c>
      <c r="P25" s="93">
        <f t="shared" si="10"/>
        <v>766</v>
      </c>
      <c r="Q25" s="1">
        <f t="shared" si="6"/>
        <v>3070</v>
      </c>
      <c r="R25" s="9">
        <f>SUM($Q$21:Q25)</f>
        <v>4082</v>
      </c>
      <c r="S25" s="277">
        <f t="shared" si="7"/>
        <v>9526.3118465866064</v>
      </c>
      <c r="T25" s="9">
        <f t="shared" si="11"/>
        <v>-0.13744035142159092</v>
      </c>
      <c r="U25" s="282">
        <f t="shared" si="8"/>
        <v>-12472796.74696468</v>
      </c>
    </row>
    <row r="26" spans="1:21" x14ac:dyDescent="0.2">
      <c r="A26" s="97">
        <v>6</v>
      </c>
      <c r="B26" s="93">
        <f t="shared" si="9"/>
        <v>1024</v>
      </c>
      <c r="C26" s="1">
        <f t="shared" si="2"/>
        <v>4096</v>
      </c>
      <c r="D26" s="9">
        <f>SUM($C$21:C26)</f>
        <v>5460</v>
      </c>
      <c r="E26" s="9">
        <f t="shared" si="3"/>
        <v>11808.742037740993</v>
      </c>
      <c r="F26" s="9">
        <f t="shared" si="4"/>
        <v>-0.5537565077750507</v>
      </c>
      <c r="G26" s="282">
        <f t="shared" si="5"/>
        <v>-77219345.125306457</v>
      </c>
      <c r="O26" s="99">
        <v>6</v>
      </c>
      <c r="P26" s="93">
        <f t="shared" si="10"/>
        <v>3070</v>
      </c>
      <c r="Q26" s="1">
        <f t="shared" si="6"/>
        <v>12286</v>
      </c>
      <c r="R26" s="9">
        <f>SUM($Q$21:Q26)</f>
        <v>16368</v>
      </c>
      <c r="S26" s="277">
        <f t="shared" si="7"/>
        <v>35400.272834019153</v>
      </c>
      <c r="T26" s="9">
        <f t="shared" si="11"/>
        <v>-0.18472082920648683</v>
      </c>
      <c r="U26" s="282">
        <f t="shared" si="8"/>
        <v>-231488322.52949014</v>
      </c>
    </row>
    <row r="27" spans="1:21" x14ac:dyDescent="0.2">
      <c r="A27" s="97">
        <v>7</v>
      </c>
      <c r="B27" s="93">
        <f t="shared" si="9"/>
        <v>4096</v>
      </c>
      <c r="C27" s="1">
        <f t="shared" si="2"/>
        <v>16384</v>
      </c>
      <c r="D27" s="9">
        <f>SUM($C$21:C27)</f>
        <v>21844</v>
      </c>
      <c r="E27" s="9">
        <f t="shared" si="3"/>
        <v>44942.315604039672</v>
      </c>
      <c r="F27" s="9">
        <f t="shared" si="4"/>
        <v>-0.7028927230762706</v>
      </c>
      <c r="G27" s="282">
        <f t="shared" si="5"/>
        <v>-1419710968.3036289</v>
      </c>
      <c r="O27" s="99">
        <v>7</v>
      </c>
      <c r="P27" s="93">
        <f t="shared" si="10"/>
        <v>12286</v>
      </c>
      <c r="Q27" s="1">
        <f t="shared" si="6"/>
        <v>49150</v>
      </c>
      <c r="R27" s="9">
        <f>SUM($Q$21:Q27)</f>
        <v>65518</v>
      </c>
      <c r="S27" s="277">
        <f t="shared" si="7"/>
        <v>134798.14291088955</v>
      </c>
      <c r="T27" s="9">
        <f t="shared" si="11"/>
        <v>-0.23434763947126064</v>
      </c>
      <c r="U27" s="282">
        <f t="shared" si="8"/>
        <v>-4258223000.4265323</v>
      </c>
    </row>
    <row r="28" spans="1:21" x14ac:dyDescent="0.2">
      <c r="A28" s="97">
        <v>8</v>
      </c>
      <c r="B28" s="93">
        <f t="shared" si="9"/>
        <v>16384</v>
      </c>
      <c r="C28" s="1">
        <f t="shared" si="2"/>
        <v>65536</v>
      </c>
      <c r="D28" s="9">
        <f>SUM($C$21:C28)</f>
        <v>87380</v>
      </c>
      <c r="E28" s="9">
        <f t="shared" si="3"/>
        <v>173698.7582807354</v>
      </c>
      <c r="F28" s="9">
        <f t="shared" si="4"/>
        <v>-0.85732029056511649</v>
      </c>
      <c r="G28" s="282">
        <f t="shared" si="5"/>
        <v>-25866432213.903156</v>
      </c>
      <c r="O28" s="99">
        <v>8</v>
      </c>
      <c r="P28" s="93">
        <f t="shared" si="10"/>
        <v>49150</v>
      </c>
      <c r="Q28" s="1">
        <f t="shared" si="6"/>
        <v>196606</v>
      </c>
      <c r="R28" s="9">
        <f>SUM($Q$21:Q28)</f>
        <v>262124</v>
      </c>
      <c r="S28" s="277">
        <f t="shared" si="7"/>
        <v>521064.46916433377</v>
      </c>
      <c r="T28" s="9">
        <f t="shared" si="11"/>
        <v>-0.28579087374517359</v>
      </c>
      <c r="U28" s="282">
        <f t="shared" si="8"/>
        <v>-77594560284.242966</v>
      </c>
    </row>
    <row r="29" spans="1:21" x14ac:dyDescent="0.2">
      <c r="A29" s="97">
        <v>9</v>
      </c>
      <c r="B29" s="93">
        <f t="shared" si="9"/>
        <v>65536</v>
      </c>
      <c r="C29" s="1">
        <f t="shared" si="2"/>
        <v>262144</v>
      </c>
      <c r="D29" s="9">
        <f>SUM($C$21:C29)</f>
        <v>349524</v>
      </c>
      <c r="E29" s="9">
        <f t="shared" si="3"/>
        <v>678006.20526843425</v>
      </c>
      <c r="F29" s="9">
        <f t="shared" si="4"/>
        <v>-1.0160501892873701</v>
      </c>
      <c r="G29" s="282">
        <f t="shared" si="5"/>
        <v>-467070564647.30951</v>
      </c>
      <c r="O29" s="99">
        <v>9</v>
      </c>
      <c r="P29" s="93">
        <f t="shared" si="10"/>
        <v>196606</v>
      </c>
      <c r="Q29" s="1">
        <f t="shared" si="6"/>
        <v>786430</v>
      </c>
      <c r="R29" s="9">
        <f>SUM($Q$21:Q29)</f>
        <v>1048554</v>
      </c>
      <c r="S29" s="277">
        <f t="shared" si="7"/>
        <v>2033983.6994284736</v>
      </c>
      <c r="T29" s="9">
        <f t="shared" si="11"/>
        <v>-0.33868921043692429</v>
      </c>
      <c r="U29" s="282">
        <f t="shared" si="8"/>
        <v>-1401187640457.2932</v>
      </c>
    </row>
    <row r="30" spans="1:21" ht="17" thickBot="1" x14ac:dyDescent="0.25">
      <c r="A30" s="145">
        <v>10</v>
      </c>
      <c r="B30" s="94">
        <f t="shared" si="9"/>
        <v>262144</v>
      </c>
      <c r="C30" s="111">
        <f t="shared" si="2"/>
        <v>1048576</v>
      </c>
      <c r="D30" s="10">
        <f>SUM($C$21:C30)</f>
        <v>1398100</v>
      </c>
      <c r="E30" s="10">
        <f t="shared" si="3"/>
        <v>2664161.6414463636</v>
      </c>
      <c r="F30" s="10">
        <f t="shared" si="4"/>
        <v>-1.1783273994717858</v>
      </c>
      <c r="G30" s="283">
        <f t="shared" si="5"/>
        <v>-8363481844541.5156</v>
      </c>
      <c r="O30" s="100">
        <v>10</v>
      </c>
      <c r="P30" s="94">
        <f t="shared" si="10"/>
        <v>786430</v>
      </c>
      <c r="Q30" s="111">
        <f t="shared" si="6"/>
        <v>3145726</v>
      </c>
      <c r="R30" s="10">
        <f>SUM($Q$21:Q30)</f>
        <v>4194280</v>
      </c>
      <c r="S30" s="278">
        <f t="shared" si="7"/>
        <v>7992446.8131647632</v>
      </c>
      <c r="T30" s="10">
        <f t="shared" si="11"/>
        <v>-0.39277767273560743</v>
      </c>
      <c r="U30" s="283">
        <f t="shared" si="8"/>
        <v>-25090325892942.988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4</v>
      </c>
      <c r="D33" s="57">
        <f>SUM($C$33:C33)</f>
        <v>4</v>
      </c>
      <c r="E33" s="9">
        <f t="shared" ref="E33:E42" si="13">D33/R7</f>
        <v>-31.914845027994744</v>
      </c>
      <c r="F33" s="8">
        <f t="shared" ref="F33:F42" si="14">U7/E33</f>
        <v>2.2747873858699922E-2</v>
      </c>
      <c r="G33" s="284">
        <f>E33*U7</f>
        <v>23.170013732598417</v>
      </c>
      <c r="O33" s="101">
        <v>1</v>
      </c>
      <c r="P33" s="109">
        <v>1</v>
      </c>
      <c r="Q33" s="110">
        <f>P33*4+6</f>
        <v>10</v>
      </c>
      <c r="R33" s="57">
        <f>SUM($Q$21)</f>
        <v>10</v>
      </c>
      <c r="S33" s="276">
        <f>R33/R7</f>
        <v>-79.78711256998686</v>
      </c>
      <c r="T33" s="8">
        <f>U7/S33</f>
        <v>9.0991495434799684E-3</v>
      </c>
      <c r="U33" s="284">
        <f>S33*U7</f>
        <v>57.925034331496043</v>
      </c>
    </row>
    <row r="34" spans="1:21" x14ac:dyDescent="0.2">
      <c r="A34" s="97">
        <v>2</v>
      </c>
      <c r="B34" s="93">
        <f t="shared" ref="B34:B42" si="15">B33*($O$2+1)</f>
        <v>5</v>
      </c>
      <c r="C34" s="1">
        <f t="shared" si="12"/>
        <v>20</v>
      </c>
      <c r="D34" s="9">
        <f>SUM($C$33:C34)</f>
        <v>24</v>
      </c>
      <c r="E34" s="9">
        <f t="shared" si="13"/>
        <v>149.86208337698321</v>
      </c>
      <c r="F34" s="9">
        <f t="shared" si="14"/>
        <v>-4.5008588790545132E-2</v>
      </c>
      <c r="G34" s="282">
        <f t="shared" ref="G34:G42" si="16">E34*U8</f>
        <v>-1010.8318741235804</v>
      </c>
      <c r="O34" s="99">
        <v>2</v>
      </c>
      <c r="P34" s="93">
        <f>Q33+1</f>
        <v>11</v>
      </c>
      <c r="Q34" s="1">
        <f t="shared" ref="Q34:Q42" si="17">P34*4+6</f>
        <v>50</v>
      </c>
      <c r="R34" s="9">
        <f>SUM($Q$33:Q34)</f>
        <v>60</v>
      </c>
      <c r="S34" s="277">
        <f>R34/R8</f>
        <v>374.65520844245805</v>
      </c>
      <c r="T34" s="9">
        <f t="shared" ref="T34:T42" si="18">U8/S34</f>
        <v>-1.8003435516218049E-2</v>
      </c>
      <c r="U34" s="282">
        <f t="shared" ref="U34:U42" si="19">S34*U8</f>
        <v>-2527.0796853089514</v>
      </c>
    </row>
    <row r="35" spans="1:21" x14ac:dyDescent="0.2">
      <c r="A35" s="97">
        <v>3</v>
      </c>
      <c r="B35" s="93">
        <f t="shared" si="15"/>
        <v>25</v>
      </c>
      <c r="C35" s="1">
        <f t="shared" si="12"/>
        <v>100</v>
      </c>
      <c r="D35" s="9">
        <f>SUM($C$33:C35)</f>
        <v>124</v>
      </c>
      <c r="E35" s="9">
        <f t="shared" si="13"/>
        <v>415.44863978452946</v>
      </c>
      <c r="F35" s="9">
        <f t="shared" si="14"/>
        <v>-0.10615087784003942</v>
      </c>
      <c r="G35" s="282">
        <f t="shared" si="16"/>
        <v>-18321.383812578959</v>
      </c>
      <c r="O35" s="99">
        <v>3</v>
      </c>
      <c r="P35" s="93">
        <f t="shared" ref="P35:P42" si="20">Q34+1</f>
        <v>51</v>
      </c>
      <c r="Q35" s="1">
        <f t="shared" si="17"/>
        <v>210</v>
      </c>
      <c r="R35" s="9">
        <f>SUM($Q$33:Q35)</f>
        <v>270</v>
      </c>
      <c r="S35" s="277">
        <f t="shared" ref="S35:S42" si="21">R35/R9</f>
        <v>904.60590920824961</v>
      </c>
      <c r="T35" s="9">
        <f t="shared" si="18"/>
        <v>-4.8750773526536624E-2</v>
      </c>
      <c r="U35" s="282">
        <f t="shared" si="19"/>
        <v>-39893.335720938056</v>
      </c>
    </row>
    <row r="36" spans="1:21" x14ac:dyDescent="0.2">
      <c r="A36" s="97">
        <v>4</v>
      </c>
      <c r="B36" s="93">
        <f t="shared" si="15"/>
        <v>125</v>
      </c>
      <c r="C36" s="1">
        <f t="shared" si="12"/>
        <v>500</v>
      </c>
      <c r="D36" s="9">
        <f>SUM($C$33:C36)</f>
        <v>624</v>
      </c>
      <c r="E36" s="9">
        <f t="shared" si="13"/>
        <v>1650.4158273287458</v>
      </c>
      <c r="F36" s="9">
        <f t="shared" si="14"/>
        <v>-0.15133747250644794</v>
      </c>
      <c r="G36" s="282">
        <f t="shared" si="16"/>
        <v>-412223.96491479909</v>
      </c>
      <c r="O36" s="99">
        <v>4</v>
      </c>
      <c r="P36" s="93">
        <f t="shared" si="20"/>
        <v>211</v>
      </c>
      <c r="Q36" s="1">
        <f t="shared" si="17"/>
        <v>850</v>
      </c>
      <c r="R36" s="9">
        <f>SUM($Q$33:Q36)</f>
        <v>1120</v>
      </c>
      <c r="S36" s="277">
        <f t="shared" si="21"/>
        <v>2962.2848182823641</v>
      </c>
      <c r="T36" s="9">
        <f t="shared" si="18"/>
        <v>-8.4316591825020992E-2</v>
      </c>
      <c r="U36" s="282">
        <f t="shared" si="19"/>
        <v>-739889.16779579315</v>
      </c>
    </row>
    <row r="37" spans="1:21" x14ac:dyDescent="0.2">
      <c r="A37" s="97">
        <v>5</v>
      </c>
      <c r="B37" s="93">
        <f t="shared" si="15"/>
        <v>625</v>
      </c>
      <c r="C37" s="1">
        <f t="shared" si="12"/>
        <v>2500</v>
      </c>
      <c r="D37" s="9">
        <f>SUM($C$33:C37)</f>
        <v>3124</v>
      </c>
      <c r="E37" s="9">
        <f t="shared" si="13"/>
        <v>7290.5924078237531</v>
      </c>
      <c r="F37" s="9">
        <f t="shared" si="14"/>
        <v>-0.17958755265778939</v>
      </c>
      <c r="G37" s="282">
        <f t="shared" si="16"/>
        <v>-9545570.0728852674</v>
      </c>
      <c r="O37" s="99">
        <v>5</v>
      </c>
      <c r="P37" s="93">
        <f t="shared" si="20"/>
        <v>851</v>
      </c>
      <c r="Q37" s="1">
        <f t="shared" si="17"/>
        <v>3410</v>
      </c>
      <c r="R37" s="9">
        <f>SUM($Q$33:Q37)</f>
        <v>4530</v>
      </c>
      <c r="S37" s="277">
        <f t="shared" si="21"/>
        <v>10571.82573861767</v>
      </c>
      <c r="T37" s="9">
        <f t="shared" si="18"/>
        <v>-0.12384801644656381</v>
      </c>
      <c r="U37" s="282">
        <f t="shared" si="19"/>
        <v>-13841687.717724157</v>
      </c>
    </row>
    <row r="38" spans="1:21" x14ac:dyDescent="0.2">
      <c r="A38" s="97">
        <v>6</v>
      </c>
      <c r="B38" s="93">
        <f t="shared" si="15"/>
        <v>3125</v>
      </c>
      <c r="C38" s="1">
        <f t="shared" si="12"/>
        <v>12500</v>
      </c>
      <c r="D38" s="9">
        <f>SUM($C$33:C38)</f>
        <v>15624</v>
      </c>
      <c r="E38" s="9">
        <f t="shared" si="13"/>
        <v>33791.169523381919</v>
      </c>
      <c r="F38" s="9">
        <f t="shared" si="14"/>
        <v>-0.19351705916870052</v>
      </c>
      <c r="G38" s="282">
        <f t="shared" si="16"/>
        <v>-220966126.05087695</v>
      </c>
      <c r="O38" s="99">
        <v>6</v>
      </c>
      <c r="P38" s="93">
        <f t="shared" si="20"/>
        <v>3411</v>
      </c>
      <c r="Q38" s="1">
        <f t="shared" si="17"/>
        <v>13650</v>
      </c>
      <c r="R38" s="9">
        <f>SUM($Q$33:Q38)</f>
        <v>18180</v>
      </c>
      <c r="S38" s="277">
        <f t="shared" si="21"/>
        <v>39319.217993796934</v>
      </c>
      <c r="T38" s="9">
        <f t="shared" si="18"/>
        <v>-0.16630971025587329</v>
      </c>
      <c r="U38" s="282">
        <f t="shared" si="19"/>
        <v>-257114962.34030613</v>
      </c>
    </row>
    <row r="39" spans="1:21" x14ac:dyDescent="0.2">
      <c r="A39" s="97">
        <v>7</v>
      </c>
      <c r="B39" s="93">
        <f t="shared" si="15"/>
        <v>15625</v>
      </c>
      <c r="C39" s="1">
        <f t="shared" si="12"/>
        <v>62500</v>
      </c>
      <c r="D39" s="9">
        <f>SUM($C$33:C39)</f>
        <v>78124</v>
      </c>
      <c r="E39" s="9">
        <f t="shared" si="13"/>
        <v>160733.99854651143</v>
      </c>
      <c r="F39" s="9">
        <f t="shared" si="14"/>
        <v>-0.1965335702585384</v>
      </c>
      <c r="G39" s="282">
        <f t="shared" si="16"/>
        <v>-5077526995.4107637</v>
      </c>
      <c r="O39" s="99">
        <v>7</v>
      </c>
      <c r="P39" s="93">
        <f t="shared" si="20"/>
        <v>13651</v>
      </c>
      <c r="Q39" s="1">
        <f t="shared" si="17"/>
        <v>54610</v>
      </c>
      <c r="R39" s="9">
        <f>SUM($Q$33:Q39)</f>
        <v>72790</v>
      </c>
      <c r="S39" s="277">
        <f t="shared" si="21"/>
        <v>149759.71217808314</v>
      </c>
      <c r="T39" s="9">
        <f t="shared" si="18"/>
        <v>-0.21093541204668298</v>
      </c>
      <c r="U39" s="282">
        <f t="shared" si="19"/>
        <v>-4730853386.8715057</v>
      </c>
    </row>
    <row r="40" spans="1:21" x14ac:dyDescent="0.2">
      <c r="A40" s="97">
        <v>8</v>
      </c>
      <c r="B40" s="93">
        <f t="shared" si="15"/>
        <v>78125</v>
      </c>
      <c r="C40" s="1">
        <f t="shared" si="12"/>
        <v>312500</v>
      </c>
      <c r="D40" s="9">
        <f>SUM($C$33:C40)</f>
        <v>390624</v>
      </c>
      <c r="E40" s="9">
        <f t="shared" si="13"/>
        <v>776503.81957717997</v>
      </c>
      <c r="F40" s="9">
        <f t="shared" si="14"/>
        <v>-0.19177686724210466</v>
      </c>
      <c r="G40" s="282">
        <f t="shared" si="16"/>
        <v>-115633431187.04173</v>
      </c>
      <c r="O40" s="99">
        <v>8</v>
      </c>
      <c r="P40" s="93">
        <f t="shared" si="20"/>
        <v>54611</v>
      </c>
      <c r="Q40" s="1">
        <f t="shared" si="17"/>
        <v>218450</v>
      </c>
      <c r="R40" s="9">
        <f>SUM($Q$33:Q40)</f>
        <v>291240</v>
      </c>
      <c r="S40" s="277">
        <f t="shared" si="21"/>
        <v>578942.85147266393</v>
      </c>
      <c r="T40" s="9">
        <f t="shared" si="18"/>
        <v>-0.25721963668994607</v>
      </c>
      <c r="U40" s="282">
        <f t="shared" si="19"/>
        <v>-86213546783.899689</v>
      </c>
    </row>
    <row r="41" spans="1:21" x14ac:dyDescent="0.2">
      <c r="A41" s="97">
        <v>9</v>
      </c>
      <c r="B41" s="93">
        <f t="shared" si="15"/>
        <v>390625</v>
      </c>
      <c r="C41" s="1">
        <f t="shared" si="12"/>
        <v>1562500</v>
      </c>
      <c r="D41" s="9">
        <f>SUM($C$33:C41)</f>
        <v>1953124</v>
      </c>
      <c r="E41" s="9">
        <f t="shared" si="13"/>
        <v>3788667.4210031508</v>
      </c>
      <c r="F41" s="9">
        <f t="shared" si="14"/>
        <v>-0.18182866339284079</v>
      </c>
      <c r="G41" s="282">
        <f t="shared" si="16"/>
        <v>-2609968784707.8071</v>
      </c>
      <c r="O41" s="99">
        <v>9</v>
      </c>
      <c r="P41" s="93">
        <f t="shared" si="20"/>
        <v>218451</v>
      </c>
      <c r="Q41" s="1">
        <f t="shared" si="17"/>
        <v>873810</v>
      </c>
      <c r="R41" s="9">
        <f>SUM($Q$33:Q41)</f>
        <v>1165050</v>
      </c>
      <c r="S41" s="277">
        <f t="shared" si="21"/>
        <v>2259962.4902667324</v>
      </c>
      <c r="T41" s="9">
        <f t="shared" si="18"/>
        <v>-0.30482290576411203</v>
      </c>
      <c r="U41" s="282">
        <f t="shared" si="19"/>
        <v>-1556861793016.6396</v>
      </c>
    </row>
    <row r="42" spans="1:21" ht="17" thickBot="1" x14ac:dyDescent="0.25">
      <c r="A42" s="145">
        <v>10</v>
      </c>
      <c r="B42" s="94">
        <f t="shared" si="15"/>
        <v>1953125</v>
      </c>
      <c r="C42" s="111">
        <f t="shared" si="12"/>
        <v>7812500</v>
      </c>
      <c r="D42" s="10">
        <f>SUM($C$33:C42)</f>
        <v>9765624</v>
      </c>
      <c r="E42" s="9">
        <f t="shared" si="13"/>
        <v>18608969.934616983</v>
      </c>
      <c r="F42" s="10">
        <f t="shared" si="14"/>
        <v>-0.16869577788388163</v>
      </c>
      <c r="G42" s="283">
        <f t="shared" si="16"/>
        <v>-58418295561561.328</v>
      </c>
      <c r="O42" s="100">
        <v>10</v>
      </c>
      <c r="P42" s="94">
        <f t="shared" si="20"/>
        <v>873811</v>
      </c>
      <c r="Q42" s="111">
        <f t="shared" si="17"/>
        <v>3495250</v>
      </c>
      <c r="R42" s="10">
        <f>SUM($Q$33:Q42)</f>
        <v>4660300</v>
      </c>
      <c r="S42" s="278">
        <f t="shared" si="21"/>
        <v>8880475.2861973308</v>
      </c>
      <c r="T42" s="10">
        <f t="shared" si="18"/>
        <v>-0.35350074827833056</v>
      </c>
      <c r="U42" s="283">
        <f t="shared" si="19"/>
        <v>-27878073414002.449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4</v>
      </c>
      <c r="D45" s="57">
        <f>SUM(C45:C45)</f>
        <v>4</v>
      </c>
      <c r="E45" s="57">
        <f t="shared" ref="E45:E54" si="23">D45/R7</f>
        <v>-31.914845027994744</v>
      </c>
      <c r="F45" s="8">
        <f t="shared" ref="F45:F54" si="24">U7/E45</f>
        <v>2.2747873858699922E-2</v>
      </c>
      <c r="G45" s="281">
        <f>E45*U7</f>
        <v>23.170013732598417</v>
      </c>
      <c r="O45" s="101">
        <v>1</v>
      </c>
      <c r="P45" s="109">
        <v>1</v>
      </c>
      <c r="Q45" s="110">
        <f>P45*4+6</f>
        <v>10</v>
      </c>
      <c r="R45" s="57">
        <f>SUM($Q$21)</f>
        <v>10</v>
      </c>
      <c r="S45" s="276">
        <f>R45/R7</f>
        <v>-79.78711256998686</v>
      </c>
      <c r="T45" s="8">
        <f>U7/S45</f>
        <v>9.0991495434799684E-3</v>
      </c>
      <c r="U45" s="284">
        <f>S45*U7</f>
        <v>57.925034331496043</v>
      </c>
    </row>
    <row r="46" spans="1:21" x14ac:dyDescent="0.2">
      <c r="A46" s="97">
        <v>2</v>
      </c>
      <c r="B46" s="93">
        <f t="shared" ref="B46:B54" si="25">B45*$O$2*2</f>
        <v>8</v>
      </c>
      <c r="C46" s="1">
        <f t="shared" si="22"/>
        <v>32</v>
      </c>
      <c r="D46" s="9">
        <f>SUM($C$45:C46)</f>
        <v>36</v>
      </c>
      <c r="E46" s="9">
        <f t="shared" si="23"/>
        <v>224.79312506547484</v>
      </c>
      <c r="F46" s="9">
        <f t="shared" si="24"/>
        <v>-3.0005725860363416E-2</v>
      </c>
      <c r="G46" s="282">
        <f t="shared" ref="G46:G54" si="26">E46*U8</f>
        <v>-1516.2478111853709</v>
      </c>
      <c r="O46" s="99">
        <v>2</v>
      </c>
      <c r="P46" s="93">
        <f>Q45*2</f>
        <v>20</v>
      </c>
      <c r="Q46" s="1">
        <f t="shared" ref="Q46:Q54" si="27">P46*4+6</f>
        <v>86</v>
      </c>
      <c r="R46" s="9">
        <f>SUM($Q$45:Q46)</f>
        <v>96</v>
      </c>
      <c r="S46" s="277">
        <f t="shared" ref="S46:S54" si="28">R46/R8</f>
        <v>599.44833350793283</v>
      </c>
      <c r="T46" s="9">
        <f t="shared" ref="T46:T54" si="29">U8/S46</f>
        <v>-1.1252147197636283E-2</v>
      </c>
      <c r="U46" s="282">
        <f t="shared" ref="U46:U54" si="30">S46*U8</f>
        <v>-4043.3274964943216</v>
      </c>
    </row>
    <row r="47" spans="1:21" x14ac:dyDescent="0.2">
      <c r="A47" s="97">
        <v>3</v>
      </c>
      <c r="B47" s="93">
        <f t="shared" si="25"/>
        <v>64</v>
      </c>
      <c r="C47" s="1">
        <f t="shared" si="22"/>
        <v>256</v>
      </c>
      <c r="D47" s="9">
        <f>SUM($C$45:C47)</f>
        <v>292</v>
      </c>
      <c r="E47" s="9">
        <f t="shared" si="23"/>
        <v>978.3145388474403</v>
      </c>
      <c r="F47" s="9">
        <f t="shared" si="24"/>
        <v>-4.5077770041660581E-2</v>
      </c>
      <c r="G47" s="282">
        <f t="shared" si="26"/>
        <v>-43143.903816718193</v>
      </c>
      <c r="O47" s="99">
        <v>3</v>
      </c>
      <c r="P47" s="93">
        <f t="shared" ref="P47:P54" si="31">Q46*2</f>
        <v>172</v>
      </c>
      <c r="Q47" s="1">
        <f t="shared" si="27"/>
        <v>694</v>
      </c>
      <c r="R47" s="9">
        <f>SUM($Q$45:Q47)</f>
        <v>790</v>
      </c>
      <c r="S47" s="277">
        <f t="shared" si="28"/>
        <v>2646.8098824982117</v>
      </c>
      <c r="T47" s="9">
        <f t="shared" si="29"/>
        <v>-1.6661656774892265E-2</v>
      </c>
      <c r="U47" s="282">
        <f t="shared" si="30"/>
        <v>-116724.94525755949</v>
      </c>
    </row>
    <row r="48" spans="1:21" x14ac:dyDescent="0.2">
      <c r="A48" s="97">
        <v>4</v>
      </c>
      <c r="B48" s="93">
        <f t="shared" si="25"/>
        <v>512</v>
      </c>
      <c r="C48" s="1">
        <f t="shared" si="22"/>
        <v>2048</v>
      </c>
      <c r="D48" s="9">
        <f>SUM($C$45:C48)</f>
        <v>2340</v>
      </c>
      <c r="E48" s="9">
        <f t="shared" si="23"/>
        <v>6189.0593524827964</v>
      </c>
      <c r="F48" s="9">
        <f t="shared" si="24"/>
        <v>-4.0356659335052787E-2</v>
      </c>
      <c r="G48" s="282">
        <f t="shared" si="26"/>
        <v>-1545839.8684304964</v>
      </c>
      <c r="O48" s="99">
        <v>4</v>
      </c>
      <c r="P48" s="93">
        <f t="shared" si="31"/>
        <v>1388</v>
      </c>
      <c r="Q48" s="1">
        <f t="shared" si="27"/>
        <v>5558</v>
      </c>
      <c r="R48" s="9">
        <f>SUM($Q$45:Q48)</f>
        <v>6348</v>
      </c>
      <c r="S48" s="277">
        <f t="shared" si="28"/>
        <v>16789.807166478971</v>
      </c>
      <c r="T48" s="9">
        <f t="shared" si="29"/>
        <v>-1.4876273289858776E-2</v>
      </c>
      <c r="U48" s="282">
        <f t="shared" si="30"/>
        <v>-4193586.1046140138</v>
      </c>
    </row>
    <row r="49" spans="1:21" x14ac:dyDescent="0.2">
      <c r="A49" s="97">
        <v>5</v>
      </c>
      <c r="B49" s="93">
        <f t="shared" si="25"/>
        <v>4096</v>
      </c>
      <c r="C49" s="1">
        <f t="shared" si="22"/>
        <v>16384</v>
      </c>
      <c r="D49" s="9">
        <f>SUM($C$45:C49)</f>
        <v>18724</v>
      </c>
      <c r="E49" s="9">
        <f t="shared" si="23"/>
        <v>43696.879719619697</v>
      </c>
      <c r="F49" s="9">
        <f t="shared" si="24"/>
        <v>-2.996322978545899E-2</v>
      </c>
      <c r="G49" s="282">
        <f t="shared" si="26"/>
        <v>-57212309.233259842</v>
      </c>
      <c r="O49" s="99">
        <v>5</v>
      </c>
      <c r="P49" s="93">
        <f t="shared" si="31"/>
        <v>11116</v>
      </c>
      <c r="Q49" s="1">
        <f t="shared" si="27"/>
        <v>44470</v>
      </c>
      <c r="R49" s="9">
        <f>SUM($Q$45:Q49)</f>
        <v>50818</v>
      </c>
      <c r="S49" s="277">
        <f t="shared" si="28"/>
        <v>118595.81465454143</v>
      </c>
      <c r="T49" s="9">
        <f t="shared" si="29"/>
        <v>-1.1040015634281832E-2</v>
      </c>
      <c r="U49" s="282">
        <f t="shared" si="30"/>
        <v>-155277458.37512276</v>
      </c>
    </row>
    <row r="50" spans="1:21" x14ac:dyDescent="0.2">
      <c r="A50" s="97">
        <v>6</v>
      </c>
      <c r="B50" s="93">
        <f t="shared" si="25"/>
        <v>32768</v>
      </c>
      <c r="C50" s="1">
        <f t="shared" si="22"/>
        <v>131072</v>
      </c>
      <c r="D50" s="9">
        <f>SUM($C$45:C50)</f>
        <v>149796</v>
      </c>
      <c r="E50" s="9">
        <f t="shared" si="23"/>
        <v>323974.78430136445</v>
      </c>
      <c r="F50" s="9">
        <f t="shared" si="24"/>
        <v>-2.0184187377845716E-2</v>
      </c>
      <c r="G50" s="282">
        <f t="shared" si="26"/>
        <v>-2118525461.976265</v>
      </c>
      <c r="O50" s="99">
        <v>6</v>
      </c>
      <c r="P50" s="93">
        <f t="shared" si="31"/>
        <v>88940</v>
      </c>
      <c r="Q50" s="1">
        <f t="shared" si="27"/>
        <v>355766</v>
      </c>
      <c r="R50" s="9">
        <f>SUM($Q$45:Q50)</f>
        <v>406584</v>
      </c>
      <c r="S50" s="277">
        <f t="shared" si="28"/>
        <v>879349.00598404475</v>
      </c>
      <c r="T50" s="9">
        <f t="shared" si="29"/>
        <v>-7.4363736213224731E-3</v>
      </c>
      <c r="U50" s="282">
        <f t="shared" si="30"/>
        <v>-5750210662.7156782</v>
      </c>
    </row>
    <row r="51" spans="1:21" x14ac:dyDescent="0.2">
      <c r="A51" s="97">
        <v>7</v>
      </c>
      <c r="B51" s="93">
        <f t="shared" si="25"/>
        <v>262144</v>
      </c>
      <c r="C51" s="1">
        <f t="shared" si="22"/>
        <v>1048576</v>
      </c>
      <c r="D51" s="9">
        <f>SUM($C$45:C51)</f>
        <v>1198372</v>
      </c>
      <c r="E51" s="9">
        <f t="shared" si="23"/>
        <v>2465556.337440223</v>
      </c>
      <c r="F51" s="9">
        <f t="shared" si="24"/>
        <v>-1.2812372654633164E-2</v>
      </c>
      <c r="G51" s="282">
        <f t="shared" si="26"/>
        <v>-77886004051.820023</v>
      </c>
      <c r="O51" s="99">
        <v>7</v>
      </c>
      <c r="P51" s="93">
        <f t="shared" si="31"/>
        <v>711532</v>
      </c>
      <c r="Q51" s="1">
        <f t="shared" si="27"/>
        <v>2846134</v>
      </c>
      <c r="R51" s="9">
        <f>SUM($Q$45:Q51)</f>
        <v>3252718</v>
      </c>
      <c r="S51" s="277">
        <f t="shared" si="28"/>
        <v>6692211.999951507</v>
      </c>
      <c r="T51" s="9">
        <f t="shared" si="29"/>
        <v>-4.7203565273343873E-3</v>
      </c>
      <c r="U51" s="282">
        <f t="shared" si="30"/>
        <v>-211404478181.58963</v>
      </c>
    </row>
    <row r="52" spans="1:21" x14ac:dyDescent="0.2">
      <c r="A52" s="97">
        <v>8</v>
      </c>
      <c r="B52" s="93">
        <f t="shared" si="25"/>
        <v>2097152</v>
      </c>
      <c r="C52" s="1">
        <f t="shared" si="22"/>
        <v>8388608</v>
      </c>
      <c r="D52" s="9">
        <f>SUM($C$45:C52)</f>
        <v>9586980</v>
      </c>
      <c r="E52" s="9">
        <f t="shared" si="23"/>
        <v>19057524.853081308</v>
      </c>
      <c r="F52" s="9">
        <f t="shared" si="24"/>
        <v>-7.8139984634973559E-3</v>
      </c>
      <c r="G52" s="282">
        <f t="shared" si="26"/>
        <v>-2837960269009.4448</v>
      </c>
      <c r="O52" s="99">
        <v>8</v>
      </c>
      <c r="P52" s="93">
        <f t="shared" si="31"/>
        <v>5692268</v>
      </c>
      <c r="Q52" s="1">
        <f t="shared" si="27"/>
        <v>22769078</v>
      </c>
      <c r="R52" s="9">
        <f>SUM($Q$45:Q52)</f>
        <v>26021796</v>
      </c>
      <c r="S52" s="277">
        <f t="shared" si="28"/>
        <v>51727553.827358745</v>
      </c>
      <c r="T52" s="9">
        <f t="shared" si="29"/>
        <v>-2.8788422978021921E-3</v>
      </c>
      <c r="U52" s="282">
        <f t="shared" si="30"/>
        <v>-7703032986015.292</v>
      </c>
    </row>
    <row r="53" spans="1:21" x14ac:dyDescent="0.2">
      <c r="A53" s="97">
        <v>9</v>
      </c>
      <c r="B53" s="93">
        <f t="shared" si="25"/>
        <v>16777216</v>
      </c>
      <c r="C53" s="1">
        <f t="shared" si="22"/>
        <v>67108864</v>
      </c>
      <c r="D53" s="9">
        <f>SUM($C$45:C53)</f>
        <v>76695844</v>
      </c>
      <c r="E53" s="9">
        <f t="shared" si="23"/>
        <v>148774499.4629834</v>
      </c>
      <c r="F53" s="9">
        <f t="shared" si="24"/>
        <v>-4.6304194313381408E-3</v>
      </c>
      <c r="G53" s="282">
        <f t="shared" si="26"/>
        <v>-102489016957868.31</v>
      </c>
      <c r="O53" s="99">
        <v>9</v>
      </c>
      <c r="P53" s="93">
        <f t="shared" si="31"/>
        <v>45538156</v>
      </c>
      <c r="Q53" s="1">
        <f t="shared" si="27"/>
        <v>182152630</v>
      </c>
      <c r="R53" s="9">
        <f>SUM($Q$45:Q53)</f>
        <v>208174426</v>
      </c>
      <c r="S53" s="277">
        <f t="shared" si="28"/>
        <v>403816483.57822204</v>
      </c>
      <c r="T53" s="9">
        <f t="shared" si="29"/>
        <v>-1.7059440642362032E-3</v>
      </c>
      <c r="U53" s="282">
        <f t="shared" si="30"/>
        <v>-278184464291292</v>
      </c>
    </row>
    <row r="54" spans="1:21" ht="17" thickBot="1" x14ac:dyDescent="0.25">
      <c r="A54" s="145">
        <v>10</v>
      </c>
      <c r="B54" s="94">
        <f t="shared" si="25"/>
        <v>134217728</v>
      </c>
      <c r="C54" s="111">
        <f t="shared" si="22"/>
        <v>536870912</v>
      </c>
      <c r="D54" s="10">
        <f>SUM($C$45:C54)</f>
        <v>613566756</v>
      </c>
      <c r="E54" s="10">
        <f t="shared" si="23"/>
        <v>1169187480.0099282</v>
      </c>
      <c r="F54" s="10">
        <f t="shared" si="24"/>
        <v>-2.6849882610026931E-3</v>
      </c>
      <c r="G54" s="283">
        <f t="shared" si="26"/>
        <v>-3670377243559283.5</v>
      </c>
      <c r="O54" s="100">
        <v>10</v>
      </c>
      <c r="P54" s="94">
        <f t="shared" si="31"/>
        <v>364305260</v>
      </c>
      <c r="Q54" s="111">
        <f t="shared" si="27"/>
        <v>1457221046</v>
      </c>
      <c r="R54" s="10">
        <f>SUM($Q$45:Q54)</f>
        <v>1665395472</v>
      </c>
      <c r="S54" s="278">
        <f t="shared" si="28"/>
        <v>3173508857.9793019</v>
      </c>
      <c r="T54" s="10">
        <f t="shared" si="29"/>
        <v>-9.89206206513274E-4</v>
      </c>
      <c r="U54" s="283">
        <f t="shared" si="30"/>
        <v>-9962452466957764</v>
      </c>
    </row>
  </sheetData>
  <mergeCells count="2">
    <mergeCell ref="A18:F18"/>
    <mergeCell ref="O18:T18"/>
  </mergeCells>
  <conditionalFormatting sqref="F45:F54">
    <cfRule type="cellIs" dxfId="648" priority="63" operator="equal">
      <formula>MAX($F$45:$F$54)</formula>
    </cfRule>
  </conditionalFormatting>
  <conditionalFormatting sqref="F21:F30">
    <cfRule type="cellIs" dxfId="647" priority="61" operator="equal">
      <formula>MAX($F$21:$F$30)</formula>
    </cfRule>
  </conditionalFormatting>
  <conditionalFormatting sqref="F33:F42">
    <cfRule type="cellIs" dxfId="646" priority="42" operator="lessThanOrEqual">
      <formula>0</formula>
    </cfRule>
    <cfRule type="cellIs" dxfId="645" priority="59" operator="equal">
      <formula>MAX($F$33:$F$42)</formula>
    </cfRule>
  </conditionalFormatting>
  <conditionalFormatting sqref="E33:E42">
    <cfRule type="cellIs" dxfId="644" priority="57" stopIfTrue="1" operator="lessThan">
      <formula>0</formula>
    </cfRule>
    <cfRule type="cellIs" dxfId="643" priority="58" operator="equal">
      <formula>MIN($E$33:$E$42)</formula>
    </cfRule>
  </conditionalFormatting>
  <conditionalFormatting sqref="E21:E30">
    <cfRule type="cellIs" dxfId="642" priority="53" stopIfTrue="1" operator="lessThan">
      <formula>0</formula>
    </cfRule>
    <cfRule type="cellIs" dxfId="641" priority="54" operator="equal">
      <formula>MIN($E$21:$E$30)</formula>
    </cfRule>
  </conditionalFormatting>
  <conditionalFormatting sqref="E45:E54">
    <cfRule type="cellIs" dxfId="640" priority="49" stopIfTrue="1" operator="lessThan">
      <formula>0</formula>
    </cfRule>
    <cfRule type="cellIs" dxfId="639" priority="50" operator="equal">
      <formula>MIN($E$45:$E$54)</formula>
    </cfRule>
  </conditionalFormatting>
  <conditionalFormatting sqref="R7:R16">
    <cfRule type="cellIs" dxfId="638" priority="27" operator="lessThanOrEqual">
      <formula>0</formula>
    </cfRule>
    <cfRule type="cellIs" dxfId="637" priority="28" operator="greaterThan">
      <formula>0</formula>
    </cfRule>
  </conditionalFormatting>
  <conditionalFormatting sqref="T21:T30">
    <cfRule type="cellIs" dxfId="636" priority="19" operator="equal">
      <formula>MAX($T$21:$T$30)</formula>
    </cfRule>
  </conditionalFormatting>
  <conditionalFormatting sqref="S33:S42">
    <cfRule type="cellIs" dxfId="635" priority="17" stopIfTrue="1" operator="lessThan">
      <formula>0</formula>
    </cfRule>
    <cfRule type="cellIs" dxfId="634" priority="18" operator="equal">
      <formula>MIN($E$21:$E$30)</formula>
    </cfRule>
  </conditionalFormatting>
  <conditionalFormatting sqref="T33:T42">
    <cfRule type="cellIs" dxfId="633" priority="16" operator="equal">
      <formula>MAX($T$21:$T$30)</formula>
    </cfRule>
  </conditionalFormatting>
  <conditionalFormatting sqref="S45:S54">
    <cfRule type="cellIs" dxfId="632" priority="14" stopIfTrue="1" operator="lessThan">
      <formula>0</formula>
    </cfRule>
    <cfRule type="cellIs" dxfId="631" priority="15" operator="equal">
      <formula>MIN($E$21:$E$30)</formula>
    </cfRule>
  </conditionalFormatting>
  <conditionalFormatting sqref="T45:T54">
    <cfRule type="cellIs" dxfId="630" priority="13" operator="equal">
      <formula>MAX($T$21:$T$30)</formula>
    </cfRule>
  </conditionalFormatting>
  <conditionalFormatting sqref="S21:S30">
    <cfRule type="cellIs" dxfId="629" priority="11" stopIfTrue="1" operator="lessThan">
      <formula>0</formula>
    </cfRule>
    <cfRule type="cellIs" dxfId="628" priority="12" operator="equal">
      <formula>MIN($E$21:$E$30)</formula>
    </cfRule>
  </conditionalFormatting>
  <conditionalFormatting sqref="U7:U16">
    <cfRule type="cellIs" dxfId="627" priority="7" operator="lessThanOrEqual">
      <formula>0</formula>
    </cfRule>
    <cfRule type="cellIs" dxfId="626" priority="8" operator="greaterThan">
      <formula>0</formula>
    </cfRule>
  </conditionalFormatting>
  <conditionalFormatting sqref="S7:T16">
    <cfRule type="cellIs" dxfId="625" priority="1" operator="lessThanOrEqual">
      <formula>0</formula>
    </cfRule>
    <cfRule type="cellIs" dxfId="62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49" t="s">
        <v>125</v>
      </c>
      <c r="C2" s="155">
        <f>Analysis!B28</f>
        <v>0.46124847474265235</v>
      </c>
      <c r="D2" s="149" t="s">
        <v>126</v>
      </c>
      <c r="E2" s="155">
        <f>Analysis!I28</f>
        <v>0.5387515252573476</v>
      </c>
      <c r="F2" s="149" t="s">
        <v>47</v>
      </c>
      <c r="G2" s="155">
        <f>Analysis!S28</f>
        <v>5.9046688102684053</v>
      </c>
      <c r="H2" t="s">
        <v>155</v>
      </c>
      <c r="I2" s="169">
        <f>Analysis!T28</f>
        <v>-6.2503192661961311</v>
      </c>
      <c r="J2" t="s">
        <v>48</v>
      </c>
      <c r="K2" s="169">
        <f>C2*G2+E2*I2</f>
        <v>-0.64384955541173738</v>
      </c>
      <c r="L2" t="s">
        <v>47</v>
      </c>
      <c r="M2" s="176">
        <v>2</v>
      </c>
      <c r="N2" t="s">
        <v>155</v>
      </c>
      <c r="O2" s="176">
        <v>5</v>
      </c>
    </row>
    <row r="4" spans="1:23" x14ac:dyDescent="0.2">
      <c r="A4" t="s">
        <v>123</v>
      </c>
      <c r="B4">
        <f>$C$2</f>
        <v>0.46124847474265235</v>
      </c>
      <c r="C4" t="s">
        <v>124</v>
      </c>
      <c r="D4">
        <f>$E$2</f>
        <v>0.5387515252573476</v>
      </c>
      <c r="E4" t="s">
        <v>47</v>
      </c>
      <c r="F4">
        <f>G2</f>
        <v>5.9046688102684053</v>
      </c>
      <c r="G4" t="s">
        <v>155</v>
      </c>
      <c r="H4">
        <f>I2</f>
        <v>-6.2503192661961311</v>
      </c>
      <c r="I4" t="s">
        <v>48</v>
      </c>
      <c r="J4">
        <f>K2</f>
        <v>-0.64384955541173738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263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0.46124847474265235</v>
      </c>
      <c r="C7" s="95">
        <v>1</v>
      </c>
      <c r="D7" s="22">
        <f>C7*D4</f>
        <v>0.5387515252573476</v>
      </c>
      <c r="E7" s="2"/>
      <c r="F7" s="2"/>
      <c r="G7" s="2"/>
      <c r="H7" s="2"/>
      <c r="I7" s="2"/>
      <c r="J7" s="2"/>
      <c r="K7" s="2"/>
      <c r="L7" s="2"/>
      <c r="M7" s="256"/>
      <c r="N7" s="96">
        <f>B7+D7</f>
        <v>1</v>
      </c>
      <c r="R7" s="296">
        <f>B7-D7</f>
        <v>-7.7503050514695249E-2</v>
      </c>
      <c r="S7" s="297">
        <f>SUM(C7)*B4*F4*POWER(O2,A7-1)</f>
        <v>2.7235194825968136</v>
      </c>
      <c r="T7" s="276">
        <f>SUM(C7)*D4*H4*POWER(O2,A7-1)</f>
        <v>-3.367369038008551</v>
      </c>
      <c r="U7" s="294">
        <f>S7+T7</f>
        <v>-0.64384955541173738</v>
      </c>
      <c r="V7" s="109">
        <f>(U7+W7*D7)/B7</f>
        <v>-0.22785556139351545</v>
      </c>
      <c r="W7" s="57">
        <f>COUNT(D7:M7)</f>
        <v>1</v>
      </c>
    </row>
    <row r="8" spans="1:23" x14ac:dyDescent="0.2">
      <c r="A8" s="99">
        <v>2</v>
      </c>
      <c r="B8" s="97">
        <f>C8*B4</f>
        <v>0.61376905279442218</v>
      </c>
      <c r="C8" s="97">
        <f>1/(1-B4*D4)</f>
        <v>1.3306690133487524</v>
      </c>
      <c r="D8" s="144">
        <f>C8*D4</f>
        <v>0.71689996055433025</v>
      </c>
      <c r="E8" s="1">
        <f>D8*D4</f>
        <v>0.38623094720557777</v>
      </c>
      <c r="F8" s="1"/>
      <c r="G8" s="1"/>
      <c r="H8" s="1"/>
      <c r="I8" s="1"/>
      <c r="J8" s="1"/>
      <c r="K8" s="1"/>
      <c r="L8" s="1"/>
      <c r="M8" s="257"/>
      <c r="N8" s="97">
        <f>B8+E8</f>
        <v>1</v>
      </c>
      <c r="R8" s="298">
        <f>B8-E8</f>
        <v>0.22753810558884441</v>
      </c>
      <c r="S8" s="299">
        <f>SUM(C8:D8)*B4*F4*POWER(O2,A8-1)</f>
        <v>27.882969961929064</v>
      </c>
      <c r="T8" s="277">
        <f>SUM(C8:D8)*D4*H4*POWER(O2,A8-1)</f>
        <v>-34.474601829540894</v>
      </c>
      <c r="U8" s="295">
        <f>S8+T8+U7</f>
        <v>-7.2354814230235682</v>
      </c>
      <c r="V8" s="93">
        <f>(U8+W8*E8)/B8</f>
        <v>-10.530051163686087</v>
      </c>
      <c r="W8" s="9">
        <f>COUNT(D8:M8)</f>
        <v>2</v>
      </c>
    </row>
    <row r="9" spans="1:23" x14ac:dyDescent="0.2">
      <c r="A9" s="99">
        <v>3</v>
      </c>
      <c r="B9" s="97">
        <f>C9*B4</f>
        <v>0.68911866317491166</v>
      </c>
      <c r="C9" s="97">
        <f>1/(1-D4*B4/(1-D4*B4))</f>
        <v>1.4940291424473469</v>
      </c>
      <c r="D9" s="144">
        <f>C9*D4*C8</f>
        <v>1.0710694332875228</v>
      </c>
      <c r="E9" s="1">
        <f>D9*(D4)</f>
        <v>0.57704029084017583</v>
      </c>
      <c r="F9" s="1">
        <f>E9*D4</f>
        <v>0.31088133682508817</v>
      </c>
      <c r="G9" s="1"/>
      <c r="H9" s="1"/>
      <c r="I9" s="1"/>
      <c r="J9" s="1"/>
      <c r="K9" s="1"/>
      <c r="L9" s="1"/>
      <c r="M9" s="257"/>
      <c r="N9" s="97">
        <f>B9+F9</f>
        <v>0.99999999999999978</v>
      </c>
      <c r="R9" s="298">
        <f>B9-F9</f>
        <v>0.37823732634982349</v>
      </c>
      <c r="S9" s="299">
        <f>SUM(C9:E9)*B4*F4*POWER(O2,A9-1)</f>
        <v>213.94191050354513</v>
      </c>
      <c r="T9" s="277">
        <f>SUM(C9:E9)*D4*H4*POWER(O2,A9-1)</f>
        <v>-264.51852831070227</v>
      </c>
      <c r="U9" s="295">
        <f t="shared" ref="U9:U16" si="0">S9+T9+U8</f>
        <v>-57.812099230180706</v>
      </c>
      <c r="V9" s="93">
        <f>(U9+W9*F9)/B9</f>
        <v>-82.539420653113751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0.7336120045691108</v>
      </c>
      <c r="C10" s="97">
        <f>1/(1-D4*B4/(1-D4*B4/(1-D4*B4)))</f>
        <v>1.590491990197735</v>
      </c>
      <c r="D10" s="144">
        <f>C10*D4*C9</f>
        <v>1.2802036701090282</v>
      </c>
      <c r="E10" s="1">
        <f>D10*D4*C8</f>
        <v>0.91777796060267114</v>
      </c>
      <c r="F10" s="1">
        <f>E10*D4</f>
        <v>0.49445427612226694</v>
      </c>
      <c r="G10" s="1">
        <f>F10*D4</f>
        <v>0.26638799543088904</v>
      </c>
      <c r="H10" s="1"/>
      <c r="I10" s="1"/>
      <c r="J10" s="1"/>
      <c r="K10" s="1"/>
      <c r="L10" s="1"/>
      <c r="M10" s="257"/>
      <c r="N10" s="97">
        <f>B10+G10</f>
        <v>0.99999999999999978</v>
      </c>
      <c r="R10" s="298">
        <f>B10-G10</f>
        <v>0.46722400913822176</v>
      </c>
      <c r="S10" s="299">
        <f>SUM(C10:F10)*B4*F4*POWER(O2,A10-1)</f>
        <v>1458.0796962654049</v>
      </c>
      <c r="T10" s="277">
        <f>SUM(C10:F10)*D4*H4*POWER(O2,A10-1)</f>
        <v>-1802.7748490609536</v>
      </c>
      <c r="U10" s="295">
        <f t="shared" si="0"/>
        <v>-402.50725202572937</v>
      </c>
      <c r="V10" s="93">
        <f>(U10+W10*G10)/B10</f>
        <v>-547.21255587930818</v>
      </c>
      <c r="W10" s="9">
        <f t="shared" si="1"/>
        <v>4</v>
      </c>
    </row>
    <row r="11" spans="1:23" x14ac:dyDescent="0.2">
      <c r="A11" s="99">
        <v>5</v>
      </c>
      <c r="B11" s="97">
        <f>C11*B4</f>
        <v>0.76268990318677565</v>
      </c>
      <c r="C11" s="97">
        <f>1/(1-D4*B4/(1-D4*B4/(1-D4*B4/(1-D4*B4))))</f>
        <v>1.6535337132817809</v>
      </c>
      <c r="D11" s="144">
        <f>C11*D4*C10</f>
        <v>1.4168799444733378</v>
      </c>
      <c r="E11" s="1">
        <f>D11*D4*C9</f>
        <v>1.1404615151775355</v>
      </c>
      <c r="F11" s="1">
        <f>E11*D4*C8</f>
        <v>0.81759681524450689</v>
      </c>
      <c r="G11" s="1">
        <f>F11*D4</f>
        <v>0.4404815312585279</v>
      </c>
      <c r="H11" s="1">
        <f>G11*D4</f>
        <v>0.23731009681322393</v>
      </c>
      <c r="I11" s="1"/>
      <c r="J11" s="1"/>
      <c r="K11" s="1"/>
      <c r="L11" s="1"/>
      <c r="M11" s="257"/>
      <c r="N11" s="97">
        <f>B11+H11</f>
        <v>0.99999999999999956</v>
      </c>
      <c r="R11" s="298">
        <f>B11-H11</f>
        <v>0.52537980637355175</v>
      </c>
      <c r="S11" s="299">
        <f>SUM(C11:G11)*B4*F4*POWER(O2,A11-1)</f>
        <v>9309.250912249694</v>
      </c>
      <c r="T11" s="277">
        <f>SUM(C11:G11)*D4*H4*POWER(O2,A11-1)</f>
        <v>-11509.990469784772</v>
      </c>
      <c r="U11" s="295">
        <f t="shared" si="0"/>
        <v>-2603.2468095608078</v>
      </c>
      <c r="V11" s="93">
        <f>(U11+W11*H11)/B11</f>
        <v>-3411.6883522444132</v>
      </c>
      <c r="W11" s="9">
        <f t="shared" si="1"/>
        <v>5</v>
      </c>
    </row>
    <row r="12" spans="1:23" x14ac:dyDescent="0.2">
      <c r="A12" s="99">
        <v>6</v>
      </c>
      <c r="B12" s="97">
        <f>C12*B4</f>
        <v>0.78297190242433445</v>
      </c>
      <c r="C12" s="97">
        <f>1/(1-D4*B4/(1-D4*B4/(1-D4*B4/(1-D4*B4/(1-D4*B4)))))</f>
        <v>1.6975056727530287</v>
      </c>
      <c r="D12" s="144">
        <f>C12*D4*C11</f>
        <v>1.5122124211731929</v>
      </c>
      <c r="E12" s="1">
        <f>D12*D4*C10</f>
        <v>1.2957845577223124</v>
      </c>
      <c r="F12" s="1">
        <f>E12*D4*C9</f>
        <v>1.0429905693900869</v>
      </c>
      <c r="G12" s="1">
        <f>F12*D4*C8</f>
        <v>0.74771989805429173</v>
      </c>
      <c r="H12" s="1">
        <f>G12*D4</f>
        <v>0.40283523554201811</v>
      </c>
      <c r="I12" s="1">
        <f>H12*D4</f>
        <v>0.21702809757566513</v>
      </c>
      <c r="J12" s="1"/>
      <c r="K12" s="1"/>
      <c r="L12" s="1"/>
      <c r="M12" s="257"/>
      <c r="N12" s="97">
        <f>B12+I12</f>
        <v>0.99999999999999956</v>
      </c>
      <c r="R12" s="298">
        <f>B12-I12</f>
        <v>0.56594380484866935</v>
      </c>
      <c r="S12" s="299">
        <f>SUM(C12:H12)*B4*F4*POWER(O2,A12-1)</f>
        <v>57015.589714707385</v>
      </c>
      <c r="T12" s="277">
        <f>SUM(C12:H12)*D4*H4*POWER(O2,A12-1)</f>
        <v>-70494.275042249355</v>
      </c>
      <c r="U12" s="295">
        <f t="shared" si="0"/>
        <v>-16081.932137102778</v>
      </c>
      <c r="V12" s="93">
        <f>(U12+W12*I12)/B12</f>
        <v>-20537.94001895405</v>
      </c>
      <c r="W12" s="9">
        <f t="shared" si="1"/>
        <v>6</v>
      </c>
    </row>
    <row r="13" spans="1:23" x14ac:dyDescent="0.2">
      <c r="A13" s="99">
        <v>7</v>
      </c>
      <c r="B13" s="97">
        <f>C13*B4</f>
        <v>0.79776938630895533</v>
      </c>
      <c r="C13" s="97">
        <f>1/(1-D4*B4/(1-D4*B4/(1-D4*B4/(1-D4*B4/(1-D4*B4/(1-D4*B4))))))</f>
        <v>1.7295870447139374</v>
      </c>
      <c r="D13" s="144">
        <f>C13*D4*C12</f>
        <v>1.5817657611139009</v>
      </c>
      <c r="E13" s="1">
        <f>D13*D4*C11</f>
        <v>1.4091062373085332</v>
      </c>
      <c r="F13" s="1">
        <f>E13*D4*C10</f>
        <v>1.2074349323741405</v>
      </c>
      <c r="G13" s="1">
        <f>F13*D4*C9</f>
        <v>0.97187703010754978</v>
      </c>
      <c r="H13" s="1">
        <f>G13*D4*C8</f>
        <v>0.69673860454776204</v>
      </c>
      <c r="I13" s="1">
        <f>H13*D4</f>
        <v>0.37536898590578271</v>
      </c>
      <c r="J13" s="1">
        <f>I13*D4</f>
        <v>0.20223061369104425</v>
      </c>
      <c r="K13" s="1"/>
      <c r="L13" s="1"/>
      <c r="M13" s="257"/>
      <c r="N13" s="97">
        <f>B13+J13</f>
        <v>0.99999999999999956</v>
      </c>
      <c r="R13" s="298">
        <f>B13-J13</f>
        <v>0.59553877261791111</v>
      </c>
      <c r="S13" s="299">
        <f>SUM(C13:I13)*B4*F4*POWER(O2,A13-1)</f>
        <v>339243.22920777433</v>
      </c>
      <c r="T13" s="277">
        <f>SUM(C13:I13)*D4*H4*POWER(O2,A13-1)</f>
        <v>-419441.51811210316</v>
      </c>
      <c r="U13" s="295">
        <f t="shared" si="0"/>
        <v>-96280.221041431607</v>
      </c>
      <c r="V13" s="93">
        <f>(U13+W13*J13)/B13</f>
        <v>-120685.00882515626</v>
      </c>
      <c r="W13" s="9">
        <f t="shared" si="1"/>
        <v>7</v>
      </c>
    </row>
    <row r="14" spans="1:23" x14ac:dyDescent="0.2">
      <c r="A14" s="99">
        <v>8</v>
      </c>
      <c r="B14" s="97">
        <f>C14*B4</f>
        <v>0.80892327076146797</v>
      </c>
      <c r="C14" s="97">
        <f>1/(1-D4*B4/(1-D4*B4/(1-D4*B4/(1-D4*B4/(1-D4*B4/(1-D4*B4/(1-D4*B4)))))))</f>
        <v>1.7537689879902503</v>
      </c>
      <c r="D14" s="144">
        <f>C14*D4*C13</f>
        <v>1.6341929117723502</v>
      </c>
      <c r="E14" s="1">
        <f>D14*D4*C12</f>
        <v>1.4945246050475944</v>
      </c>
      <c r="F14" s="1">
        <f>E14*D4*C11</f>
        <v>1.3313879934413317</v>
      </c>
      <c r="G14" s="1">
        <f>F14*D4*C10</f>
        <v>1.140839724686131</v>
      </c>
      <c r="H14" s="1">
        <f>G14*D4*C9</f>
        <v>0.91827384957014679</v>
      </c>
      <c r="I14" s="1">
        <f>H14*D4*C8</f>
        <v>0.6583104865349112</v>
      </c>
      <c r="J14" s="1">
        <f>I14*D4</f>
        <v>0.35466577871359001</v>
      </c>
      <c r="K14" s="1">
        <f>J14*D4</f>
        <v>0.19107672923853153</v>
      </c>
      <c r="L14" s="1"/>
      <c r="M14" s="257"/>
      <c r="N14" s="97">
        <f>B14+K14</f>
        <v>0.99999999999999956</v>
      </c>
      <c r="R14" s="298">
        <f>B14-K14</f>
        <v>0.61784654152293639</v>
      </c>
      <c r="S14" s="299">
        <f>SUM(C14:J14)*B4*F4*POWER(O2,A14-1)</f>
        <v>1975820.6866076968</v>
      </c>
      <c r="T14" s="277">
        <f>SUM(C14:J14)*D4*H4*POWER(O2,A14-1)</f>
        <v>-2442911.6249228255</v>
      </c>
      <c r="U14" s="295">
        <f t="shared" si="0"/>
        <v>-563371.15935656033</v>
      </c>
      <c r="V14" s="93">
        <f>(U14+W14*K14)/B14</f>
        <v>-696443.84221065452</v>
      </c>
      <c r="W14" s="9">
        <f t="shared" si="1"/>
        <v>8</v>
      </c>
    </row>
    <row r="15" spans="1:23" x14ac:dyDescent="0.2">
      <c r="A15" s="99">
        <v>9</v>
      </c>
      <c r="B15" s="97">
        <f>C15*B4</f>
        <v>0.81753906971907153</v>
      </c>
      <c r="C15" s="97">
        <f>1/(1-D4*B4/(1-D4*B4/(1-D4*B4/(1-D4*B4/(1-D4*B4/(1-D4*B4/(1-D4*B4/(1-D4*B4))))))))</f>
        <v>1.7724482886912676</v>
      </c>
      <c r="D15" s="144">
        <f>C15*D4*C14</f>
        <v>1.6746901745794283</v>
      </c>
      <c r="E15" s="1">
        <f>D15*D4*C13</f>
        <v>1.5605058770304334</v>
      </c>
      <c r="F15" s="1">
        <f>E15*D4*C12</f>
        <v>1.4271353233407278</v>
      </c>
      <c r="G15" s="1">
        <f>F15*D4*C11</f>
        <v>1.2713546689660211</v>
      </c>
      <c r="H15" s="1">
        <f>G15*D4*C10</f>
        <v>1.0893983704724883</v>
      </c>
      <c r="I15" s="1">
        <f>H15*D4*C9</f>
        <v>0.87686816449562055</v>
      </c>
      <c r="J15" s="1">
        <f>I15*D4*C8</f>
        <v>0.62862675253825828</v>
      </c>
      <c r="K15" s="1">
        <f>J15*D4</f>
        <v>0.33867362174755983</v>
      </c>
      <c r="L15" s="1">
        <f>K15*D4</f>
        <v>0.18246093028092786</v>
      </c>
      <c r="M15" s="257"/>
      <c r="N15" s="97">
        <f>B15+L15</f>
        <v>0.99999999999999933</v>
      </c>
      <c r="R15" s="298">
        <f>B15-L15</f>
        <v>0.63507813943814373</v>
      </c>
      <c r="S15" s="299">
        <f>SUM(C15:K15)*B4*F4*POWER(O2,A15-1)</f>
        <v>11319310.008289114</v>
      </c>
      <c r="T15" s="277">
        <f>SUM(C15:K15)*D4*H4*POWER(O2,A15-1)</f>
        <v>-13995234.584182253</v>
      </c>
      <c r="U15" s="295">
        <f t="shared" si="0"/>
        <v>-3239295.7352497</v>
      </c>
      <c r="V15" s="93">
        <f>(U15+W15*L15)/B15</f>
        <v>-3962249.8949370533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0.8243210107962986</v>
      </c>
      <c r="C16" s="145">
        <f>1/(1-D4*B4/(1-D4*B4/(1-D4*B4/(1-D4*B4/(1-D4*B4/(1-D4*B4/(1-D4*B4/(1-D4*B4/(1-D4*B4)))))))))</f>
        <v>1.7871517326018647</v>
      </c>
      <c r="D16" s="153">
        <f>C16*D4*C15</f>
        <v>1.7065676651636534</v>
      </c>
      <c r="E16" s="111">
        <f>D16*D4*C14</f>
        <v>1.6124431495910005</v>
      </c>
      <c r="F16" s="111">
        <f>E16*D4*C13</f>
        <v>1.5025029999630404</v>
      </c>
      <c r="G16" s="111">
        <f>F16*D4*C12</f>
        <v>1.3740897334863731</v>
      </c>
      <c r="H16" s="111">
        <f>G16*D4*C11</f>
        <v>1.2240993335914307</v>
      </c>
      <c r="I16" s="111">
        <f>H16*D4*C10</f>
        <v>1.0489062193758334</v>
      </c>
      <c r="J16" s="111">
        <f>I16*D4*C9</f>
        <v>0.84427560774964006</v>
      </c>
      <c r="K16" s="111">
        <f>J16*D4*C8</f>
        <v>0.60526114989270008</v>
      </c>
      <c r="L16" s="111">
        <f>K16*D4</f>
        <v>0.32608536768370827</v>
      </c>
      <c r="M16" s="259">
        <f>L16*D4</f>
        <v>0.17567898920370084</v>
      </c>
      <c r="N16" s="145">
        <f>B16+M16</f>
        <v>0.99999999999999944</v>
      </c>
      <c r="R16" s="300">
        <f>B16-M16</f>
        <v>0.64864202159259776</v>
      </c>
      <c r="S16" s="301">
        <f>SUM(C16:L16)*B4*F4*POWER(O2,A16-1)</f>
        <v>63999425.569707222</v>
      </c>
      <c r="T16" s="278">
        <f>SUM(C16:L16)*D4*H4*POWER(O2,A16-1)</f>
        <v>-79129114.181434572</v>
      </c>
      <c r="U16" s="295">
        <f t="shared" si="0"/>
        <v>-18368984.346977048</v>
      </c>
      <c r="V16" s="94">
        <f>(U16+W16*M16)/B16</f>
        <v>-22283773.371787064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5</v>
      </c>
      <c r="D21" s="57">
        <f>SUM($C$21:C21)</f>
        <v>5</v>
      </c>
      <c r="E21" s="57">
        <f t="shared" ref="E21:E30" si="3">D21/R7</f>
        <v>-64.513589681892029</v>
      </c>
      <c r="F21" s="8">
        <f t="shared" ref="F21:F30" si="4">U7/E21</f>
        <v>9.9800609233879917E-3</v>
      </c>
      <c r="G21" s="281">
        <f>E21*U7</f>
        <v>41.537046034701433</v>
      </c>
      <c r="O21" s="101">
        <v>1</v>
      </c>
      <c r="P21" s="109">
        <v>1</v>
      </c>
      <c r="Q21" s="110">
        <f>P21*5+10</f>
        <v>15</v>
      </c>
      <c r="R21" s="57">
        <f>SUM($Q$21)</f>
        <v>15</v>
      </c>
      <c r="S21" s="276">
        <f>R21/R7</f>
        <v>-193.54076904567609</v>
      </c>
      <c r="T21" s="8">
        <f>U7/S21</f>
        <v>3.3266869744626639E-3</v>
      </c>
      <c r="U21" s="281">
        <f>S21*U7</f>
        <v>124.6111381041043</v>
      </c>
    </row>
    <row r="22" spans="1:21" x14ac:dyDescent="0.2">
      <c r="A22" s="97">
        <v>2</v>
      </c>
      <c r="B22" s="93">
        <f>C21</f>
        <v>5</v>
      </c>
      <c r="C22" s="1">
        <f t="shared" si="2"/>
        <v>25</v>
      </c>
      <c r="D22" s="9">
        <f>SUM($C$21:C22)</f>
        <v>30</v>
      </c>
      <c r="E22" s="9">
        <f t="shared" si="3"/>
        <v>131.8460480382536</v>
      </c>
      <c r="F22" s="9">
        <f t="shared" si="4"/>
        <v>-5.4878257867268632E-2</v>
      </c>
      <c r="G22" s="282">
        <f t="shared" ref="G22:G30" si="5">E22*U8</f>
        <v>-953.96963127985691</v>
      </c>
      <c r="O22" s="99">
        <v>2</v>
      </c>
      <c r="P22" s="93">
        <f>Q21</f>
        <v>15</v>
      </c>
      <c r="Q22" s="1">
        <f t="shared" ref="Q22:Q30" si="6">P22*5+10</f>
        <v>85</v>
      </c>
      <c r="R22" s="9">
        <f>SUM($Q$21:Q22)</f>
        <v>100</v>
      </c>
      <c r="S22" s="277">
        <f t="shared" ref="S22:S30" si="7">R22/R8</f>
        <v>439.48682679417868</v>
      </c>
      <c r="T22" s="9">
        <f>U8/S22</f>
        <v>-1.6463477360180587E-2</v>
      </c>
      <c r="U22" s="282">
        <f t="shared" ref="U22:U30" si="8">S22*U8</f>
        <v>-3179.8987709328562</v>
      </c>
    </row>
    <row r="23" spans="1:21" x14ac:dyDescent="0.2">
      <c r="A23" s="97">
        <v>3</v>
      </c>
      <c r="B23" s="93">
        <f t="shared" ref="B23:B30" si="9">C22</f>
        <v>25</v>
      </c>
      <c r="C23" s="1">
        <f t="shared" si="2"/>
        <v>125</v>
      </c>
      <c r="D23" s="9">
        <f>SUM($C$21:C23)</f>
        <v>155</v>
      </c>
      <c r="E23" s="9">
        <f t="shared" si="3"/>
        <v>409.79562090242746</v>
      </c>
      <c r="F23" s="9">
        <f t="shared" si="4"/>
        <v>-0.14107544415157575</v>
      </c>
      <c r="G23" s="282">
        <f t="shared" si="5"/>
        <v>-23691.145099704652</v>
      </c>
      <c r="O23" s="99">
        <v>3</v>
      </c>
      <c r="P23" s="93">
        <f t="shared" ref="P23:P30" si="10">Q22</f>
        <v>85</v>
      </c>
      <c r="Q23" s="1">
        <f t="shared" si="6"/>
        <v>435</v>
      </c>
      <c r="R23" s="9">
        <f>SUM($Q$21:Q23)</f>
        <v>535</v>
      </c>
      <c r="S23" s="277">
        <f t="shared" si="7"/>
        <v>1414.4558527922495</v>
      </c>
      <c r="T23" s="9">
        <f t="shared" ref="T23:T30" si="11">U9/S23</f>
        <v>-4.0872324941110733E-2</v>
      </c>
      <c r="U23" s="282">
        <f t="shared" si="8"/>
        <v>-81772.6621183354</v>
      </c>
    </row>
    <row r="24" spans="1:21" x14ac:dyDescent="0.2">
      <c r="A24" s="97">
        <v>4</v>
      </c>
      <c r="B24" s="93">
        <f t="shared" si="9"/>
        <v>125</v>
      </c>
      <c r="C24" s="1">
        <f t="shared" si="2"/>
        <v>625</v>
      </c>
      <c r="D24" s="9">
        <f>SUM($C$21:C24)</f>
        <v>780</v>
      </c>
      <c r="E24" s="9">
        <f t="shared" si="3"/>
        <v>1669.4347566570532</v>
      </c>
      <c r="F24" s="9">
        <f t="shared" si="4"/>
        <v>-0.24110391281880755</v>
      </c>
      <c r="G24" s="282">
        <f t="shared" si="5"/>
        <v>-671959.59633827268</v>
      </c>
      <c r="O24" s="99">
        <v>4</v>
      </c>
      <c r="P24" s="93">
        <f t="shared" si="10"/>
        <v>435</v>
      </c>
      <c r="Q24" s="1">
        <f t="shared" si="6"/>
        <v>2185</v>
      </c>
      <c r="R24" s="9">
        <f>SUM($Q$21:Q24)</f>
        <v>2720</v>
      </c>
      <c r="S24" s="277">
        <f t="shared" si="7"/>
        <v>5821.618638598954</v>
      </c>
      <c r="T24" s="9">
        <f t="shared" si="11"/>
        <v>-6.9140092646569826E-2</v>
      </c>
      <c r="U24" s="282">
        <f t="shared" si="8"/>
        <v>-2343243.7205642327</v>
      </c>
    </row>
    <row r="25" spans="1:21" x14ac:dyDescent="0.2">
      <c r="A25" s="97">
        <v>5</v>
      </c>
      <c r="B25" s="93">
        <f t="shared" si="9"/>
        <v>625</v>
      </c>
      <c r="C25" s="1">
        <f t="shared" si="2"/>
        <v>3125</v>
      </c>
      <c r="D25" s="9">
        <f>SUM($C$21:C25)</f>
        <v>3905</v>
      </c>
      <c r="E25" s="9">
        <f t="shared" si="3"/>
        <v>7432.7181072191706</v>
      </c>
      <c r="F25" s="9">
        <f t="shared" si="4"/>
        <v>-0.35024156331616479</v>
      </c>
      <c r="G25" s="282">
        <f t="shared" si="5"/>
        <v>-19349199.698983151</v>
      </c>
      <c r="O25" s="99">
        <v>5</v>
      </c>
      <c r="P25" s="93">
        <f t="shared" si="10"/>
        <v>2185</v>
      </c>
      <c r="Q25" s="1">
        <f t="shared" si="6"/>
        <v>10935</v>
      </c>
      <c r="R25" s="9">
        <f>SUM($Q$21:Q25)</f>
        <v>13655</v>
      </c>
      <c r="S25" s="277">
        <f t="shared" si="7"/>
        <v>25990.721063784324</v>
      </c>
      <c r="T25" s="9">
        <f t="shared" si="11"/>
        <v>-0.10016062283043746</v>
      </c>
      <c r="U25" s="282">
        <f t="shared" si="8"/>
        <v>-67660261.687481433</v>
      </c>
    </row>
    <row r="26" spans="1:21" x14ac:dyDescent="0.2">
      <c r="A26" s="97">
        <v>6</v>
      </c>
      <c r="B26" s="93">
        <f t="shared" si="9"/>
        <v>3125</v>
      </c>
      <c r="C26" s="1">
        <f t="shared" si="2"/>
        <v>15625</v>
      </c>
      <c r="D26" s="9">
        <f>SUM($C$21:C26)</f>
        <v>19530</v>
      </c>
      <c r="E26" s="9">
        <f t="shared" si="3"/>
        <v>34508.726542597688</v>
      </c>
      <c r="F26" s="9">
        <f t="shared" si="4"/>
        <v>-0.46602508259037573</v>
      </c>
      <c r="G26" s="282">
        <f t="shared" si="5"/>
        <v>-554966998.39589334</v>
      </c>
      <c r="O26" s="99">
        <v>6</v>
      </c>
      <c r="P26" s="93">
        <f t="shared" si="10"/>
        <v>10935</v>
      </c>
      <c r="Q26" s="1">
        <f t="shared" si="6"/>
        <v>54685</v>
      </c>
      <c r="R26" s="9">
        <f>SUM($Q$21:Q26)</f>
        <v>68340</v>
      </c>
      <c r="S26" s="277">
        <f t="shared" si="7"/>
        <v>120754.03850082569</v>
      </c>
      <c r="T26" s="9">
        <f t="shared" si="11"/>
        <v>-0.13317924879997131</v>
      </c>
      <c r="U26" s="282">
        <f t="shared" si="8"/>
        <v>-1941958252.4513748</v>
      </c>
    </row>
    <row r="27" spans="1:21" x14ac:dyDescent="0.2">
      <c r="A27" s="97">
        <v>7</v>
      </c>
      <c r="B27" s="93">
        <f t="shared" si="9"/>
        <v>15625</v>
      </c>
      <c r="C27" s="1">
        <f t="shared" si="2"/>
        <v>78125</v>
      </c>
      <c r="D27" s="9">
        <f>SUM($C$21:C27)</f>
        <v>97655</v>
      </c>
      <c r="E27" s="9">
        <f t="shared" si="3"/>
        <v>163977.56869921551</v>
      </c>
      <c r="F27" s="9">
        <f t="shared" si="4"/>
        <v>-0.5871548273656787</v>
      </c>
      <c r="G27" s="282">
        <f t="shared" si="5"/>
        <v>-15787796560.197006</v>
      </c>
      <c r="O27" s="99">
        <v>7</v>
      </c>
      <c r="P27" s="93">
        <f t="shared" si="10"/>
        <v>54685</v>
      </c>
      <c r="Q27" s="1">
        <f t="shared" si="6"/>
        <v>273435</v>
      </c>
      <c r="R27" s="9">
        <f>SUM($Q$21:Q27)</f>
        <v>341775</v>
      </c>
      <c r="S27" s="277">
        <f t="shared" si="7"/>
        <v>573892.10529081337</v>
      </c>
      <c r="T27" s="9">
        <f t="shared" si="11"/>
        <v>-0.16776711189055771</v>
      </c>
      <c r="U27" s="282">
        <f t="shared" si="8"/>
        <v>-55254458751.332054</v>
      </c>
    </row>
    <row r="28" spans="1:21" x14ac:dyDescent="0.2">
      <c r="A28" s="97">
        <v>8</v>
      </c>
      <c r="B28" s="93">
        <f t="shared" si="9"/>
        <v>78125</v>
      </c>
      <c r="C28" s="1">
        <f t="shared" si="2"/>
        <v>390625</v>
      </c>
      <c r="D28" s="9">
        <f>SUM($C$21:C28)</f>
        <v>488280</v>
      </c>
      <c r="E28" s="9">
        <f t="shared" si="3"/>
        <v>790293.32881986117</v>
      </c>
      <c r="F28" s="9">
        <f t="shared" si="4"/>
        <v>-0.71286336200994893</v>
      </c>
      <c r="G28" s="282">
        <f t="shared" si="5"/>
        <v>-445228468889.00055</v>
      </c>
      <c r="O28" s="99">
        <v>8</v>
      </c>
      <c r="P28" s="93">
        <f t="shared" si="10"/>
        <v>273435</v>
      </c>
      <c r="Q28" s="1">
        <f t="shared" si="6"/>
        <v>1367185</v>
      </c>
      <c r="R28" s="9">
        <f>SUM($Q$21:Q28)</f>
        <v>1708960</v>
      </c>
      <c r="S28" s="277">
        <f t="shared" si="7"/>
        <v>2765994.2803718974</v>
      </c>
      <c r="T28" s="9">
        <f t="shared" si="11"/>
        <v>-0.20367762990486485</v>
      </c>
      <c r="U28" s="282">
        <f t="shared" si="8"/>
        <v>-1558281404506.7307</v>
      </c>
    </row>
    <row r="29" spans="1:21" x14ac:dyDescent="0.2">
      <c r="A29" s="97">
        <v>9</v>
      </c>
      <c r="B29" s="93">
        <f t="shared" si="9"/>
        <v>390625</v>
      </c>
      <c r="C29" s="1">
        <f t="shared" si="2"/>
        <v>1953125</v>
      </c>
      <c r="D29" s="9">
        <f>SUM($C$21:C29)</f>
        <v>2441405</v>
      </c>
      <c r="E29" s="9">
        <f t="shared" si="3"/>
        <v>3844259.2310922891</v>
      </c>
      <c r="F29" s="9">
        <f t="shared" si="4"/>
        <v>-0.84263197160335679</v>
      </c>
      <c r="G29" s="282">
        <f t="shared" si="5"/>
        <v>-12452692532471.543</v>
      </c>
      <c r="O29" s="99">
        <v>9</v>
      </c>
      <c r="P29" s="93">
        <f t="shared" si="10"/>
        <v>1367185</v>
      </c>
      <c r="Q29" s="1">
        <f t="shared" si="6"/>
        <v>6835935</v>
      </c>
      <c r="R29" s="9">
        <f>SUM($Q$21:Q29)</f>
        <v>8544895</v>
      </c>
      <c r="S29" s="277">
        <f t="shared" si="7"/>
        <v>13454871.880111799</v>
      </c>
      <c r="T29" s="9">
        <f t="shared" si="11"/>
        <v>-0.24075262582305498</v>
      </c>
      <c r="U29" s="282">
        <f t="shared" si="8"/>
        <v>-43584309099577.266</v>
      </c>
    </row>
    <row r="30" spans="1:21" ht="17" thickBot="1" x14ac:dyDescent="0.25">
      <c r="A30" s="145">
        <v>10</v>
      </c>
      <c r="B30" s="94">
        <f t="shared" si="9"/>
        <v>1953125</v>
      </c>
      <c r="C30" s="111">
        <f t="shared" si="2"/>
        <v>9765625</v>
      </c>
      <c r="D30" s="10">
        <f>SUM($C$21:C30)</f>
        <v>12207030</v>
      </c>
      <c r="E30" s="10">
        <f t="shared" si="3"/>
        <v>18819363.522006057</v>
      </c>
      <c r="F30" s="10">
        <f t="shared" si="4"/>
        <v>-0.97606830993501092</v>
      </c>
      <c r="G30" s="283">
        <f t="shared" si="5"/>
        <v>-345692593955800.12</v>
      </c>
      <c r="O30" s="100">
        <v>10</v>
      </c>
      <c r="P30" s="94">
        <f t="shared" si="10"/>
        <v>6835935</v>
      </c>
      <c r="Q30" s="111">
        <f t="shared" si="6"/>
        <v>34179685</v>
      </c>
      <c r="R30" s="10">
        <f>SUM($Q$21:Q30)</f>
        <v>42724580</v>
      </c>
      <c r="S30" s="278">
        <f t="shared" si="7"/>
        <v>65867733.784960762</v>
      </c>
      <c r="T30" s="10">
        <f t="shared" si="11"/>
        <v>-0.27887682316422951</v>
      </c>
      <c r="U30" s="283">
        <f t="shared" si="8"/>
        <v>-1209923370866795.5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5</v>
      </c>
      <c r="D33" s="57">
        <f>SUM($C$33:C33)</f>
        <v>5</v>
      </c>
      <c r="E33" s="9">
        <f t="shared" ref="E33:E42" si="13">D33/R7</f>
        <v>-64.513589681892029</v>
      </c>
      <c r="F33" s="8">
        <f t="shared" ref="F33:F42" si="14">U7/E33</f>
        <v>9.9800609233879917E-3</v>
      </c>
      <c r="G33" s="284">
        <f>E33*U7</f>
        <v>41.537046034701433</v>
      </c>
      <c r="O33" s="101">
        <v>1</v>
      </c>
      <c r="P33" s="109">
        <v>1</v>
      </c>
      <c r="Q33" s="110">
        <f>P33*5+10</f>
        <v>15</v>
      </c>
      <c r="R33" s="57">
        <f>SUM($Q$21)</f>
        <v>15</v>
      </c>
      <c r="S33" s="276">
        <f>R33/R7</f>
        <v>-193.54076904567609</v>
      </c>
      <c r="T33" s="8">
        <f>U7/S33</f>
        <v>3.3266869744626639E-3</v>
      </c>
      <c r="U33" s="284">
        <f>S33*U7</f>
        <v>124.6111381041043</v>
      </c>
    </row>
    <row r="34" spans="1:21" x14ac:dyDescent="0.2">
      <c r="A34" s="97">
        <v>2</v>
      </c>
      <c r="B34" s="93">
        <f t="shared" ref="B34:B42" si="15">B33*($O$2+1)</f>
        <v>6</v>
      </c>
      <c r="C34" s="1">
        <f t="shared" si="12"/>
        <v>30</v>
      </c>
      <c r="D34" s="9">
        <f>SUM($C$33:C34)</f>
        <v>35</v>
      </c>
      <c r="E34" s="9">
        <f t="shared" si="13"/>
        <v>153.82038937796253</v>
      </c>
      <c r="F34" s="9">
        <f t="shared" si="14"/>
        <v>-4.7038506743373114E-2</v>
      </c>
      <c r="G34" s="282">
        <f t="shared" ref="G34:G42" si="16">E34*U8</f>
        <v>-1112.9645698264997</v>
      </c>
      <c r="O34" s="99">
        <v>2</v>
      </c>
      <c r="P34" s="93">
        <f>Q33+1</f>
        <v>16</v>
      </c>
      <c r="Q34" s="1">
        <f t="shared" ref="Q34:Q42" si="17">P34*5+10</f>
        <v>90</v>
      </c>
      <c r="R34" s="9">
        <f>SUM($Q$33:Q34)</f>
        <v>105</v>
      </c>
      <c r="S34" s="277">
        <f>R34/R8</f>
        <v>461.46116813388761</v>
      </c>
      <c r="T34" s="9">
        <f t="shared" ref="T34:T42" si="18">U8/S34</f>
        <v>-1.5679502247791036E-2</v>
      </c>
      <c r="U34" s="282">
        <f t="shared" ref="U34:U42" si="19">S34*U8</f>
        <v>-3338.8937094794992</v>
      </c>
    </row>
    <row r="35" spans="1:21" x14ac:dyDescent="0.2">
      <c r="A35" s="97">
        <v>3</v>
      </c>
      <c r="B35" s="93">
        <f t="shared" si="15"/>
        <v>36</v>
      </c>
      <c r="C35" s="1">
        <f t="shared" si="12"/>
        <v>180</v>
      </c>
      <c r="D35" s="9">
        <f>SUM($C$33:C35)</f>
        <v>215</v>
      </c>
      <c r="E35" s="9">
        <f t="shared" si="13"/>
        <v>568.42618383239937</v>
      </c>
      <c r="F35" s="9">
        <f t="shared" si="14"/>
        <v>-0.10170555276043831</v>
      </c>
      <c r="G35" s="282">
        <f t="shared" si="16"/>
        <v>-32861.910944751609</v>
      </c>
      <c r="O35" s="99">
        <v>3</v>
      </c>
      <c r="P35" s="93">
        <f t="shared" ref="P35:P42" si="20">Q34+1</f>
        <v>91</v>
      </c>
      <c r="Q35" s="1">
        <f t="shared" si="17"/>
        <v>465</v>
      </c>
      <c r="R35" s="9">
        <f>SUM($Q$33:Q35)</f>
        <v>570</v>
      </c>
      <c r="S35" s="277">
        <f t="shared" ref="S35:S42" si="21">R35/R9</f>
        <v>1506.9903478347333</v>
      </c>
      <c r="T35" s="9">
        <f t="shared" si="18"/>
        <v>-3.8362620778060068E-2</v>
      </c>
      <c r="U35" s="282">
        <f t="shared" si="19"/>
        <v>-87122.275527946142</v>
      </c>
    </row>
    <row r="36" spans="1:21" x14ac:dyDescent="0.2">
      <c r="A36" s="97">
        <v>4</v>
      </c>
      <c r="B36" s="93">
        <f t="shared" si="15"/>
        <v>216</v>
      </c>
      <c r="C36" s="1">
        <f t="shared" si="12"/>
        <v>1080</v>
      </c>
      <c r="D36" s="9">
        <f>SUM($C$33:C36)</f>
        <v>1295</v>
      </c>
      <c r="E36" s="9">
        <f t="shared" si="13"/>
        <v>2771.689756244723</v>
      </c>
      <c r="F36" s="9">
        <f t="shared" si="14"/>
        <v>-0.14522088957426246</v>
      </c>
      <c r="G36" s="282">
        <f t="shared" si="16"/>
        <v>-1115625.2272539272</v>
      </c>
      <c r="O36" s="99">
        <v>4</v>
      </c>
      <c r="P36" s="93">
        <f t="shared" si="20"/>
        <v>466</v>
      </c>
      <c r="Q36" s="1">
        <f t="shared" si="17"/>
        <v>2340</v>
      </c>
      <c r="R36" s="9">
        <f>SUM($Q$33:Q36)</f>
        <v>2910</v>
      </c>
      <c r="S36" s="277">
        <f t="shared" si="21"/>
        <v>6228.2758229128522</v>
      </c>
      <c r="T36" s="9">
        <f t="shared" si="18"/>
        <v>-6.4625791064835014E-2</v>
      </c>
      <c r="U36" s="282">
        <f t="shared" si="19"/>
        <v>-2506926.1863389402</v>
      </c>
    </row>
    <row r="37" spans="1:21" x14ac:dyDescent="0.2">
      <c r="A37" s="97">
        <v>5</v>
      </c>
      <c r="B37" s="93">
        <f t="shared" si="15"/>
        <v>1296</v>
      </c>
      <c r="C37" s="1">
        <f t="shared" si="12"/>
        <v>6480</v>
      </c>
      <c r="D37" s="9">
        <f>SUM($C$33:C37)</f>
        <v>7775</v>
      </c>
      <c r="E37" s="9">
        <f t="shared" si="13"/>
        <v>14798.817742286568</v>
      </c>
      <c r="F37" s="9">
        <f t="shared" si="14"/>
        <v>-0.17590910672020882</v>
      </c>
      <c r="G37" s="282">
        <f t="shared" si="16"/>
        <v>-38524975.072879389</v>
      </c>
      <c r="O37" s="99">
        <v>5</v>
      </c>
      <c r="P37" s="93">
        <f t="shared" si="20"/>
        <v>2341</v>
      </c>
      <c r="Q37" s="1">
        <f t="shared" si="17"/>
        <v>11715</v>
      </c>
      <c r="R37" s="9">
        <f>SUM($Q$33:Q37)</f>
        <v>14625</v>
      </c>
      <c r="S37" s="277">
        <f t="shared" si="21"/>
        <v>27837.004434847728</v>
      </c>
      <c r="T37" s="9">
        <f t="shared" si="18"/>
        <v>-9.3517490923051186E-2</v>
      </c>
      <c r="U37" s="282">
        <f t="shared" si="19"/>
        <v>-72466592.982747406</v>
      </c>
    </row>
    <row r="38" spans="1:21" x14ac:dyDescent="0.2">
      <c r="A38" s="97">
        <v>6</v>
      </c>
      <c r="B38" s="93">
        <f t="shared" si="15"/>
        <v>7776</v>
      </c>
      <c r="C38" s="1">
        <f t="shared" si="12"/>
        <v>38880</v>
      </c>
      <c r="D38" s="9">
        <f>SUM($C$33:C38)</f>
        <v>46655</v>
      </c>
      <c r="E38" s="9">
        <f t="shared" si="13"/>
        <v>82437.513407316685</v>
      </c>
      <c r="F38" s="9">
        <f t="shared" si="14"/>
        <v>-0.195080267130855</v>
      </c>
      <c r="G38" s="282">
        <f t="shared" si="16"/>
        <v>-1325754496.1679673</v>
      </c>
      <c r="O38" s="99">
        <v>6</v>
      </c>
      <c r="P38" s="93">
        <f t="shared" si="20"/>
        <v>11716</v>
      </c>
      <c r="Q38" s="1">
        <f t="shared" si="17"/>
        <v>58590</v>
      </c>
      <c r="R38" s="9">
        <f>SUM($Q$33:Q38)</f>
        <v>73215</v>
      </c>
      <c r="S38" s="277">
        <f t="shared" si="21"/>
        <v>129367.96793734201</v>
      </c>
      <c r="T38" s="9">
        <f t="shared" si="18"/>
        <v>-0.12431154630868045</v>
      </c>
      <c r="U38" s="282">
        <f t="shared" si="19"/>
        <v>-2080486881.0832222</v>
      </c>
    </row>
    <row r="39" spans="1:21" x14ac:dyDescent="0.2">
      <c r="A39" s="97">
        <v>7</v>
      </c>
      <c r="B39" s="93">
        <f t="shared" si="15"/>
        <v>46656</v>
      </c>
      <c r="C39" s="1">
        <f t="shared" si="12"/>
        <v>233280</v>
      </c>
      <c r="D39" s="9">
        <f>SUM($C$33:C39)</f>
        <v>279935</v>
      </c>
      <c r="E39" s="9">
        <f t="shared" si="13"/>
        <v>470053.35818764928</v>
      </c>
      <c r="F39" s="9">
        <f t="shared" si="14"/>
        <v>-0.20482828037364159</v>
      </c>
      <c r="G39" s="282">
        <f t="shared" si="16"/>
        <v>-45256841227.574097</v>
      </c>
      <c r="O39" s="99">
        <v>7</v>
      </c>
      <c r="P39" s="93">
        <f t="shared" si="20"/>
        <v>58591</v>
      </c>
      <c r="Q39" s="1">
        <f t="shared" si="17"/>
        <v>292965</v>
      </c>
      <c r="R39" s="9">
        <f>SUM($Q$33:Q39)</f>
        <v>366180</v>
      </c>
      <c r="S39" s="277">
        <f t="shared" si="21"/>
        <v>614871.80488739675</v>
      </c>
      <c r="T39" s="9">
        <f t="shared" si="18"/>
        <v>-0.15658584484787635</v>
      </c>
      <c r="U39" s="282">
        <f t="shared" si="19"/>
        <v>-59199993286.702568</v>
      </c>
    </row>
    <row r="40" spans="1:21" x14ac:dyDescent="0.2">
      <c r="A40" s="97">
        <v>8</v>
      </c>
      <c r="B40" s="93">
        <f t="shared" si="15"/>
        <v>279936</v>
      </c>
      <c r="C40" s="1">
        <f t="shared" si="12"/>
        <v>1399680</v>
      </c>
      <c r="D40" s="9">
        <f>SUM($C$33:C40)</f>
        <v>1679615</v>
      </c>
      <c r="E40" s="9">
        <f t="shared" si="13"/>
        <v>2718498.6677434486</v>
      </c>
      <c r="F40" s="9">
        <f t="shared" si="14"/>
        <v>-0.20723613590151188</v>
      </c>
      <c r="G40" s="282">
        <f t="shared" si="16"/>
        <v>-1531523746155.8914</v>
      </c>
      <c r="O40" s="99">
        <v>8</v>
      </c>
      <c r="P40" s="93">
        <f t="shared" si="20"/>
        <v>292966</v>
      </c>
      <c r="Q40" s="1">
        <f t="shared" si="17"/>
        <v>1464840</v>
      </c>
      <c r="R40" s="9">
        <f>SUM($Q$33:Q40)</f>
        <v>1831020</v>
      </c>
      <c r="S40" s="277">
        <f t="shared" si="21"/>
        <v>2963551.4273280543</v>
      </c>
      <c r="T40" s="9">
        <f t="shared" si="18"/>
        <v>-0.19010001114254232</v>
      </c>
      <c r="U40" s="282">
        <f t="shared" si="19"/>
        <v>-1669579403426.5952</v>
      </c>
    </row>
    <row r="41" spans="1:21" x14ac:dyDescent="0.2">
      <c r="A41" s="97">
        <v>9</v>
      </c>
      <c r="B41" s="93">
        <f t="shared" si="15"/>
        <v>1679616</v>
      </c>
      <c r="C41" s="1">
        <f t="shared" si="12"/>
        <v>8398080</v>
      </c>
      <c r="D41" s="9">
        <f>SUM($C$33:C41)</f>
        <v>10077695</v>
      </c>
      <c r="E41" s="9">
        <f t="shared" si="13"/>
        <v>15868433.148896888</v>
      </c>
      <c r="F41" s="9">
        <f t="shared" si="14"/>
        <v>-0.20413456734226362</v>
      </c>
      <c r="G41" s="282">
        <f t="shared" si="16"/>
        <v>-51402547824316.656</v>
      </c>
      <c r="O41" s="99">
        <v>9</v>
      </c>
      <c r="P41" s="93">
        <f t="shared" si="20"/>
        <v>1464841</v>
      </c>
      <c r="Q41" s="1">
        <f t="shared" si="17"/>
        <v>7324215</v>
      </c>
      <c r="R41" s="9">
        <f>SUM($Q$33:Q41)</f>
        <v>9155235</v>
      </c>
      <c r="S41" s="277">
        <f t="shared" si="21"/>
        <v>14415918.973529264</v>
      </c>
      <c r="T41" s="9">
        <f t="shared" si="18"/>
        <v>-0.22470268743863955</v>
      </c>
      <c r="U41" s="282">
        <f t="shared" si="19"/>
        <v>-46697424850658.578</v>
      </c>
    </row>
    <row r="42" spans="1:21" ht="17" thickBot="1" x14ac:dyDescent="0.25">
      <c r="A42" s="145">
        <v>10</v>
      </c>
      <c r="B42" s="94">
        <f t="shared" si="15"/>
        <v>10077696</v>
      </c>
      <c r="C42" s="111">
        <f t="shared" si="12"/>
        <v>50388480</v>
      </c>
      <c r="D42" s="10">
        <f>SUM($C$33:C42)</f>
        <v>60466175</v>
      </c>
      <c r="E42" s="9">
        <f t="shared" si="13"/>
        <v>93219638.856481448</v>
      </c>
      <c r="F42" s="10">
        <f t="shared" si="14"/>
        <v>-0.19705058475132545</v>
      </c>
      <c r="G42" s="283">
        <f t="shared" si="16"/>
        <v>-1712350086985561</v>
      </c>
      <c r="O42" s="100">
        <v>10</v>
      </c>
      <c r="P42" s="94">
        <f t="shared" si="20"/>
        <v>7324216</v>
      </c>
      <c r="Q42" s="111">
        <f t="shared" si="17"/>
        <v>36621090</v>
      </c>
      <c r="R42" s="10">
        <f>SUM($Q$33:Q42)</f>
        <v>45776325</v>
      </c>
      <c r="S42" s="278">
        <f t="shared" si="21"/>
        <v>70572555.394432053</v>
      </c>
      <c r="T42" s="10">
        <f t="shared" si="18"/>
        <v>-0.26028509587490861</v>
      </c>
      <c r="U42" s="283">
        <f t="shared" si="19"/>
        <v>-1296346165366493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5</v>
      </c>
      <c r="D45" s="57">
        <f>SUM(C45:C45)</f>
        <v>5</v>
      </c>
      <c r="E45" s="57">
        <f t="shared" ref="E45:E54" si="23">D45/R7</f>
        <v>-64.513589681892029</v>
      </c>
      <c r="F45" s="8">
        <f t="shared" ref="F45:F54" si="24">U7/E45</f>
        <v>9.9800609233879917E-3</v>
      </c>
      <c r="G45" s="281">
        <f>E45*U7</f>
        <v>41.537046034701433</v>
      </c>
      <c r="O45" s="101">
        <v>1</v>
      </c>
      <c r="P45" s="109">
        <v>1</v>
      </c>
      <c r="Q45" s="110">
        <f>P45*5+10</f>
        <v>15</v>
      </c>
      <c r="R45" s="57">
        <f>SUM($Q$21)</f>
        <v>15</v>
      </c>
      <c r="S45" s="276">
        <f>R45/R7</f>
        <v>-193.54076904567609</v>
      </c>
      <c r="T45" s="8">
        <f>U7/S45</f>
        <v>3.3266869744626639E-3</v>
      </c>
      <c r="U45" s="284">
        <f>S45*U7</f>
        <v>124.6111381041043</v>
      </c>
    </row>
    <row r="46" spans="1:21" x14ac:dyDescent="0.2">
      <c r="A46" s="97">
        <v>2</v>
      </c>
      <c r="B46" s="93">
        <f t="shared" ref="B46:B54" si="25">B45*$O$2*2</f>
        <v>10</v>
      </c>
      <c r="C46" s="1">
        <f t="shared" si="22"/>
        <v>50</v>
      </c>
      <c r="D46" s="9">
        <f>SUM($C$45:C46)</f>
        <v>55</v>
      </c>
      <c r="E46" s="9">
        <f t="shared" si="23"/>
        <v>241.71775473679827</v>
      </c>
      <c r="F46" s="9">
        <f t="shared" si="24"/>
        <v>-2.9933595200328341E-2</v>
      </c>
      <c r="G46" s="282">
        <f t="shared" ref="G46:G54" si="26">E46*U8</f>
        <v>-1748.9443240130711</v>
      </c>
      <c r="O46" s="99">
        <v>2</v>
      </c>
      <c r="P46" s="93">
        <f>Q45*2</f>
        <v>30</v>
      </c>
      <c r="Q46" s="1">
        <f t="shared" ref="Q46:Q54" si="27">P46*5+10</f>
        <v>160</v>
      </c>
      <c r="R46" s="9">
        <f>SUM($Q$45:Q46)</f>
        <v>175</v>
      </c>
      <c r="S46" s="277">
        <f t="shared" ref="S46:S54" si="28">R46/R8</f>
        <v>769.10194688981267</v>
      </c>
      <c r="T46" s="9">
        <f t="shared" ref="T46:T54" si="29">U8/S46</f>
        <v>-9.4077013486746214E-3</v>
      </c>
      <c r="U46" s="282">
        <f t="shared" ref="U46:U54" si="30">S46*U8</f>
        <v>-5564.822849132499</v>
      </c>
    </row>
    <row r="47" spans="1:21" x14ac:dyDescent="0.2">
      <c r="A47" s="97">
        <v>3</v>
      </c>
      <c r="B47" s="93">
        <f t="shared" si="25"/>
        <v>100</v>
      </c>
      <c r="C47" s="1">
        <f t="shared" si="22"/>
        <v>500</v>
      </c>
      <c r="D47" s="9">
        <f>SUM($C$45:C47)</f>
        <v>555</v>
      </c>
      <c r="E47" s="9">
        <f t="shared" si="23"/>
        <v>1467.3327071022402</v>
      </c>
      <c r="F47" s="9">
        <f t="shared" si="24"/>
        <v>-3.9399448366656285E-2</v>
      </c>
      <c r="G47" s="282">
        <f t="shared" si="26"/>
        <v>-84829.584066684387</v>
      </c>
      <c r="O47" s="99">
        <v>3</v>
      </c>
      <c r="P47" s="93">
        <f t="shared" ref="P47:P54" si="31">Q46*2</f>
        <v>320</v>
      </c>
      <c r="Q47" s="1">
        <f t="shared" si="27"/>
        <v>1610</v>
      </c>
      <c r="R47" s="9">
        <f>SUM($Q$45:Q47)</f>
        <v>1785</v>
      </c>
      <c r="S47" s="277">
        <f t="shared" si="28"/>
        <v>4719.2592471666649</v>
      </c>
      <c r="T47" s="9">
        <f t="shared" si="29"/>
        <v>-1.2250248651817499E-2</v>
      </c>
      <c r="U47" s="282">
        <f t="shared" si="30"/>
        <v>-272830.28389014711</v>
      </c>
    </row>
    <row r="48" spans="1:21" x14ac:dyDescent="0.2">
      <c r="A48" s="97">
        <v>4</v>
      </c>
      <c r="B48" s="93">
        <f t="shared" si="25"/>
        <v>1000</v>
      </c>
      <c r="C48" s="1">
        <f t="shared" si="22"/>
        <v>5000</v>
      </c>
      <c r="D48" s="9">
        <f>SUM($C$45:C48)</f>
        <v>5555</v>
      </c>
      <c r="E48" s="9">
        <f t="shared" si="23"/>
        <v>11889.371888756321</v>
      </c>
      <c r="F48" s="9">
        <f t="shared" si="24"/>
        <v>-3.3854374797240308E-2</v>
      </c>
      <c r="G48" s="282">
        <f t="shared" si="26"/>
        <v>-4785558.4072552621</v>
      </c>
      <c r="O48" s="99">
        <v>4</v>
      </c>
      <c r="P48" s="93">
        <f t="shared" si="31"/>
        <v>3220</v>
      </c>
      <c r="Q48" s="1">
        <f t="shared" si="27"/>
        <v>16110</v>
      </c>
      <c r="R48" s="9">
        <f>SUM($Q$45:Q48)</f>
        <v>17895</v>
      </c>
      <c r="S48" s="277">
        <f t="shared" si="28"/>
        <v>38300.685859458928</v>
      </c>
      <c r="T48" s="9">
        <f t="shared" si="29"/>
        <v>-1.0509139536108963E-2</v>
      </c>
      <c r="U48" s="282">
        <f t="shared" si="30"/>
        <v>-15416303.815991525</v>
      </c>
    </row>
    <row r="49" spans="1:21" x14ac:dyDescent="0.2">
      <c r="A49" s="97">
        <v>5</v>
      </c>
      <c r="B49" s="93">
        <f t="shared" si="25"/>
        <v>10000</v>
      </c>
      <c r="C49" s="1">
        <f t="shared" si="22"/>
        <v>50000</v>
      </c>
      <c r="D49" s="9">
        <f>SUM($C$45:C49)</f>
        <v>55555</v>
      </c>
      <c r="E49" s="9">
        <f t="shared" si="23"/>
        <v>105742.54915404892</v>
      </c>
      <c r="F49" s="9">
        <f t="shared" si="24"/>
        <v>-2.4618725672749954E-2</v>
      </c>
      <c r="G49" s="282">
        <f t="shared" si="26"/>
        <v>-275273953.72010475</v>
      </c>
      <c r="O49" s="99">
        <v>5</v>
      </c>
      <c r="P49" s="93">
        <f t="shared" si="31"/>
        <v>32220</v>
      </c>
      <c r="Q49" s="1">
        <f t="shared" si="27"/>
        <v>161110</v>
      </c>
      <c r="R49" s="9">
        <f>SUM($Q$45:Q49)</f>
        <v>179005</v>
      </c>
      <c r="S49" s="277">
        <f t="shared" si="28"/>
        <v>340715.41735794308</v>
      </c>
      <c r="T49" s="9">
        <f t="shared" si="29"/>
        <v>-7.6405312966097236E-3</v>
      </c>
      <c r="U49" s="282">
        <f t="shared" si="30"/>
        <v>-886966323.20524442</v>
      </c>
    </row>
    <row r="50" spans="1:21" x14ac:dyDescent="0.2">
      <c r="A50" s="97">
        <v>6</v>
      </c>
      <c r="B50" s="93">
        <f t="shared" si="25"/>
        <v>100000</v>
      </c>
      <c r="C50" s="1">
        <f t="shared" si="22"/>
        <v>500000</v>
      </c>
      <c r="D50" s="9">
        <f>SUM($C$45:C50)</f>
        <v>555555</v>
      </c>
      <c r="E50" s="9">
        <f t="shared" si="23"/>
        <v>981643.39858539973</v>
      </c>
      <c r="F50" s="9">
        <f t="shared" si="24"/>
        <v>-1.6382662136044206E-2</v>
      </c>
      <c r="G50" s="282">
        <f t="shared" si="26"/>
        <v>-15786722518.885332</v>
      </c>
      <c r="O50" s="99">
        <v>6</v>
      </c>
      <c r="P50" s="93">
        <f t="shared" si="31"/>
        <v>322220</v>
      </c>
      <c r="Q50" s="1">
        <f t="shared" si="27"/>
        <v>1611110</v>
      </c>
      <c r="R50" s="9">
        <f>SUM($Q$45:Q50)</f>
        <v>1790115</v>
      </c>
      <c r="S50" s="277">
        <f t="shared" si="28"/>
        <v>3163061.3934870586</v>
      </c>
      <c r="T50" s="9">
        <f t="shared" si="29"/>
        <v>-5.0842933906425219E-3</v>
      </c>
      <c r="U50" s="282">
        <f t="shared" si="30"/>
        <v>-50868138675.548622</v>
      </c>
    </row>
    <row r="51" spans="1:21" x14ac:dyDescent="0.2">
      <c r="A51" s="97">
        <v>7</v>
      </c>
      <c r="B51" s="93">
        <f t="shared" si="25"/>
        <v>1000000</v>
      </c>
      <c r="C51" s="1">
        <f t="shared" si="22"/>
        <v>5000000</v>
      </c>
      <c r="D51" s="9">
        <f>SUM($C$45:C51)</f>
        <v>5555555</v>
      </c>
      <c r="E51" s="9">
        <f t="shared" si="23"/>
        <v>9328620.1594876889</v>
      </c>
      <c r="F51" s="9">
        <f t="shared" si="24"/>
        <v>-1.0320949872046152E-2</v>
      </c>
      <c r="G51" s="282">
        <f t="shared" si="26"/>
        <v>-898161610967.02966</v>
      </c>
      <c r="O51" s="99">
        <v>7</v>
      </c>
      <c r="P51" s="93">
        <f t="shared" si="31"/>
        <v>3222220</v>
      </c>
      <c r="Q51" s="1">
        <f t="shared" si="27"/>
        <v>16111110</v>
      </c>
      <c r="R51" s="9">
        <f>SUM($Q$45:Q51)</f>
        <v>17901225</v>
      </c>
      <c r="S51" s="277">
        <f t="shared" si="28"/>
        <v>30058874.120501909</v>
      </c>
      <c r="T51" s="9">
        <f t="shared" si="29"/>
        <v>-3.2030548002382718E-3</v>
      </c>
      <c r="U51" s="282">
        <f t="shared" si="30"/>
        <v>-2894075044578.4917</v>
      </c>
    </row>
    <row r="52" spans="1:21" x14ac:dyDescent="0.2">
      <c r="A52" s="97">
        <v>8</v>
      </c>
      <c r="B52" s="93">
        <f t="shared" si="25"/>
        <v>10000000</v>
      </c>
      <c r="C52" s="1">
        <f t="shared" si="22"/>
        <v>50000000</v>
      </c>
      <c r="D52" s="9">
        <f>SUM($C$45:C52)</f>
        <v>55555555</v>
      </c>
      <c r="E52" s="9">
        <f t="shared" si="23"/>
        <v>89918048.036751211</v>
      </c>
      <c r="F52" s="9">
        <f t="shared" si="24"/>
        <v>-6.2653846658937687E-3</v>
      </c>
      <c r="G52" s="282">
        <f t="shared" si="26"/>
        <v>-50657234969543.414</v>
      </c>
      <c r="O52" s="99">
        <v>8</v>
      </c>
      <c r="P52" s="93">
        <f t="shared" si="31"/>
        <v>32222220</v>
      </c>
      <c r="Q52" s="1">
        <f t="shared" si="27"/>
        <v>161111110</v>
      </c>
      <c r="R52" s="9">
        <f>SUM($Q$45:Q52)</f>
        <v>179012335</v>
      </c>
      <c r="S52" s="277">
        <f t="shared" si="28"/>
        <v>289735918.17597723</v>
      </c>
      <c r="T52" s="9">
        <f t="shared" si="29"/>
        <v>-1.9444298204490647E-3</v>
      </c>
      <c r="U52" s="282">
        <f t="shared" si="30"/>
        <v>-163228860130037.78</v>
      </c>
    </row>
    <row r="53" spans="1:21" x14ac:dyDescent="0.2">
      <c r="A53" s="97">
        <v>9</v>
      </c>
      <c r="B53" s="93">
        <f t="shared" si="25"/>
        <v>100000000</v>
      </c>
      <c r="C53" s="1">
        <f t="shared" si="22"/>
        <v>500000000</v>
      </c>
      <c r="D53" s="9">
        <f>SUM($C$45:C53)</f>
        <v>555555555</v>
      </c>
      <c r="E53" s="9">
        <f t="shared" si="23"/>
        <v>874782992.04488802</v>
      </c>
      <c r="F53" s="9">
        <f t="shared" si="24"/>
        <v>-3.7029706392410987E-3</v>
      </c>
      <c r="G53" s="282">
        <f t="shared" si="26"/>
        <v>-2833680815399978</v>
      </c>
      <c r="O53" s="99">
        <v>9</v>
      </c>
      <c r="P53" s="93">
        <f t="shared" si="31"/>
        <v>322222220</v>
      </c>
      <c r="Q53" s="1">
        <f t="shared" si="27"/>
        <v>1611111110</v>
      </c>
      <c r="R53" s="9">
        <f>SUM($Q$45:Q53)</f>
        <v>1790123445</v>
      </c>
      <c r="S53" s="277">
        <f t="shared" si="28"/>
        <v>2818745180.8429899</v>
      </c>
      <c r="T53" s="9">
        <f t="shared" si="29"/>
        <v>-1.1491977910117216E-3</v>
      </c>
      <c r="U53" s="282">
        <f t="shared" si="30"/>
        <v>-9130749243060342</v>
      </c>
    </row>
    <row r="54" spans="1:21" ht="17" thickBot="1" x14ac:dyDescent="0.25">
      <c r="A54" s="145">
        <v>10</v>
      </c>
      <c r="B54" s="94">
        <f t="shared" si="25"/>
        <v>1000000000</v>
      </c>
      <c r="C54" s="111">
        <f t="shared" si="22"/>
        <v>5000000000</v>
      </c>
      <c r="D54" s="10">
        <f>SUM($C$45:C54)</f>
        <v>5555555555</v>
      </c>
      <c r="E54" s="10">
        <f t="shared" si="23"/>
        <v>8564902319.0935974</v>
      </c>
      <c r="F54" s="10">
        <f t="shared" si="24"/>
        <v>-2.1446811256711439E-3</v>
      </c>
      <c r="G54" s="283">
        <f t="shared" si="26"/>
        <v>-1.573285566328177E+17</v>
      </c>
      <c r="O54" s="100">
        <v>10</v>
      </c>
      <c r="P54" s="94">
        <f t="shared" si="31"/>
        <v>3222222220</v>
      </c>
      <c r="Q54" s="111">
        <f t="shared" si="27"/>
        <v>16111111110</v>
      </c>
      <c r="R54" s="10">
        <f>SUM($Q$45:Q54)</f>
        <v>17901234555</v>
      </c>
      <c r="S54" s="278">
        <f t="shared" si="28"/>
        <v>27598018566.616234</v>
      </c>
      <c r="T54" s="10">
        <f t="shared" si="29"/>
        <v>-6.6559069458692853E-4</v>
      </c>
      <c r="U54" s="283">
        <f t="shared" si="30"/>
        <v>-5.0694757105775552E+17</v>
      </c>
    </row>
  </sheetData>
  <mergeCells count="2">
    <mergeCell ref="A18:F18"/>
    <mergeCell ref="O18:T18"/>
  </mergeCells>
  <conditionalFormatting sqref="F45:F54">
    <cfRule type="cellIs" dxfId="623" priority="63" operator="equal">
      <formula>MAX($F$45:$F$54)</formula>
    </cfRule>
  </conditionalFormatting>
  <conditionalFormatting sqref="F21:F30">
    <cfRule type="cellIs" dxfId="622" priority="61" operator="equal">
      <formula>MAX($F$21:$F$30)</formula>
    </cfRule>
  </conditionalFormatting>
  <conditionalFormatting sqref="F33:F42">
    <cfRule type="cellIs" dxfId="621" priority="42" operator="lessThanOrEqual">
      <formula>0</formula>
    </cfRule>
    <cfRule type="cellIs" dxfId="620" priority="59" operator="equal">
      <formula>MAX($F$33:$F$42)</formula>
    </cfRule>
  </conditionalFormatting>
  <conditionalFormatting sqref="E33:E42">
    <cfRule type="cellIs" dxfId="619" priority="57" stopIfTrue="1" operator="lessThan">
      <formula>0</formula>
    </cfRule>
    <cfRule type="cellIs" dxfId="618" priority="58" operator="equal">
      <formula>MIN($E$33:$E$42)</formula>
    </cfRule>
  </conditionalFormatting>
  <conditionalFormatting sqref="E21:E30">
    <cfRule type="cellIs" dxfId="617" priority="53" stopIfTrue="1" operator="lessThan">
      <formula>0</formula>
    </cfRule>
    <cfRule type="cellIs" dxfId="616" priority="54" operator="equal">
      <formula>MIN($E$21:$E$30)</formula>
    </cfRule>
  </conditionalFormatting>
  <conditionalFormatting sqref="E45:E54">
    <cfRule type="cellIs" dxfId="615" priority="49" stopIfTrue="1" operator="lessThan">
      <formula>0</formula>
    </cfRule>
    <cfRule type="cellIs" dxfId="614" priority="50" operator="equal">
      <formula>MIN($E$45:$E$54)</formula>
    </cfRule>
  </conditionalFormatting>
  <conditionalFormatting sqref="R7:R16">
    <cfRule type="cellIs" dxfId="613" priority="27" operator="lessThanOrEqual">
      <formula>0</formula>
    </cfRule>
    <cfRule type="cellIs" dxfId="612" priority="28" operator="greaterThan">
      <formula>0</formula>
    </cfRule>
  </conditionalFormatting>
  <conditionalFormatting sqref="T21:T30">
    <cfRule type="cellIs" dxfId="611" priority="19" operator="equal">
      <formula>MAX($T$21:$T$30)</formula>
    </cfRule>
  </conditionalFormatting>
  <conditionalFormatting sqref="S33:S42">
    <cfRule type="cellIs" dxfId="610" priority="17" stopIfTrue="1" operator="lessThan">
      <formula>0</formula>
    </cfRule>
    <cfRule type="cellIs" dxfId="609" priority="18" operator="equal">
      <formula>MIN($E$21:$E$30)</formula>
    </cfRule>
  </conditionalFormatting>
  <conditionalFormatting sqref="T33:T42">
    <cfRule type="cellIs" dxfId="608" priority="16" operator="equal">
      <formula>MAX($T$21:$T$30)</formula>
    </cfRule>
  </conditionalFormatting>
  <conditionalFormatting sqref="S45:S54">
    <cfRule type="cellIs" dxfId="607" priority="14" stopIfTrue="1" operator="lessThan">
      <formula>0</formula>
    </cfRule>
    <cfRule type="cellIs" dxfId="606" priority="15" operator="equal">
      <formula>MIN($E$21:$E$30)</formula>
    </cfRule>
  </conditionalFormatting>
  <conditionalFormatting sqref="T45:T54">
    <cfRule type="cellIs" dxfId="605" priority="13" operator="equal">
      <formula>MAX($T$21:$T$30)</formula>
    </cfRule>
  </conditionalFormatting>
  <conditionalFormatting sqref="S21:S30">
    <cfRule type="cellIs" dxfId="604" priority="11" stopIfTrue="1" operator="lessThan">
      <formula>0</formula>
    </cfRule>
    <cfRule type="cellIs" dxfId="603" priority="12" operator="equal">
      <formula>MIN($E$21:$E$30)</formula>
    </cfRule>
  </conditionalFormatting>
  <conditionalFormatting sqref="U7:U16">
    <cfRule type="cellIs" dxfId="602" priority="7" operator="lessThanOrEqual">
      <formula>0</formula>
    </cfRule>
    <cfRule type="cellIs" dxfId="601" priority="8" operator="greaterThan">
      <formula>0</formula>
    </cfRule>
  </conditionalFormatting>
  <conditionalFormatting sqref="S7:T16">
    <cfRule type="cellIs" dxfId="600" priority="1" operator="lessThanOrEqual">
      <formula>0</formula>
    </cfRule>
    <cfRule type="cellIs" dxfId="599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0.99999999999999989</v>
      </c>
    </row>
    <row r="2" spans="1:23" x14ac:dyDescent="0.2">
      <c r="A2" t="s">
        <v>40</v>
      </c>
      <c r="B2" s="149" t="s">
        <v>125</v>
      </c>
      <c r="C2" s="155">
        <f>Analysis!B29</f>
        <v>0.47717298148675991</v>
      </c>
      <c r="D2" s="149" t="s">
        <v>126</v>
      </c>
      <c r="E2" s="155">
        <f>Analysis!J29</f>
        <v>0.52282701851323998</v>
      </c>
      <c r="F2" s="149" t="s">
        <v>47</v>
      </c>
      <c r="G2" s="155">
        <f>Analysis!S29</f>
        <v>7.2759620666235536</v>
      </c>
      <c r="H2" t="s">
        <v>155</v>
      </c>
      <c r="I2" s="169">
        <f>Analysis!T29</f>
        <v>-7.7018859730190687</v>
      </c>
      <c r="J2" t="s">
        <v>48</v>
      </c>
      <c r="K2" s="169">
        <f>C2*G2+E2*I2</f>
        <v>-0.55486156768717532</v>
      </c>
      <c r="L2" t="s">
        <v>47</v>
      </c>
      <c r="M2" s="176">
        <v>2</v>
      </c>
      <c r="N2" t="s">
        <v>155</v>
      </c>
      <c r="O2" s="176">
        <v>6</v>
      </c>
    </row>
    <row r="4" spans="1:23" x14ac:dyDescent="0.2">
      <c r="A4" t="s">
        <v>123</v>
      </c>
      <c r="B4">
        <f>$C$2</f>
        <v>0.47717298148675991</v>
      </c>
      <c r="C4" t="s">
        <v>124</v>
      </c>
      <c r="D4">
        <f>$E$2</f>
        <v>0.52282701851323998</v>
      </c>
      <c r="E4" t="s">
        <v>47</v>
      </c>
      <c r="F4">
        <f>G2</f>
        <v>7.2759620666235536</v>
      </c>
      <c r="G4" t="s">
        <v>155</v>
      </c>
      <c r="H4">
        <f>I2</f>
        <v>-7.7018859730190687</v>
      </c>
      <c r="I4" t="s">
        <v>48</v>
      </c>
      <c r="J4">
        <f>K2</f>
        <v>-0.55486156768717532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263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0.47717298148675991</v>
      </c>
      <c r="C7" s="95">
        <v>1</v>
      </c>
      <c r="D7" s="22">
        <f>C7*D4</f>
        <v>0.52282701851323998</v>
      </c>
      <c r="E7" s="2"/>
      <c r="F7" s="2"/>
      <c r="G7" s="2"/>
      <c r="H7" s="2"/>
      <c r="I7" s="2"/>
      <c r="J7" s="2"/>
      <c r="K7" s="2"/>
      <c r="L7" s="2"/>
      <c r="M7" s="256"/>
      <c r="N7" s="96">
        <f>B7+D7</f>
        <v>0.99999999999999989</v>
      </c>
      <c r="R7" s="296">
        <f>B7-D7</f>
        <v>-4.5654037026480077E-2</v>
      </c>
      <c r="S7" s="297">
        <f>SUM(C7)*B4*F4*POWER(O2,A7-1)</f>
        <v>3.4718925125153284</v>
      </c>
      <c r="T7" s="276">
        <f>SUM(C7)*D4*H4*POWER(O2,A7-1)</f>
        <v>-4.0267540802025037</v>
      </c>
      <c r="U7" s="294">
        <f>S7+T7</f>
        <v>-0.55486156768717532</v>
      </c>
      <c r="V7" s="109">
        <f>(U7+W7*D7)/B7</f>
        <v>-6.7134038214240757E-2</v>
      </c>
      <c r="W7" s="57">
        <f>COUNT(D7:M7)</f>
        <v>1</v>
      </c>
    </row>
    <row r="8" spans="1:23" x14ac:dyDescent="0.2">
      <c r="A8" s="99">
        <v>2</v>
      </c>
      <c r="B8" s="97">
        <f>C8*B4</f>
        <v>0.63578891892129263</v>
      </c>
      <c r="C8" s="97">
        <f>1/(1-B4*D4)</f>
        <v>1.3324076248833754</v>
      </c>
      <c r="D8" s="144">
        <f>C8*D4</f>
        <v>0.69661870596208264</v>
      </c>
      <c r="E8" s="1">
        <f>D8*D4</f>
        <v>0.36421108107870703</v>
      </c>
      <c r="F8" s="1"/>
      <c r="G8" s="1"/>
      <c r="H8" s="1"/>
      <c r="I8" s="1"/>
      <c r="J8" s="1"/>
      <c r="K8" s="1"/>
      <c r="L8" s="1"/>
      <c r="M8" s="257"/>
      <c r="N8" s="97">
        <f>B8+E8</f>
        <v>0.99999999999999967</v>
      </c>
      <c r="R8" s="298">
        <f>B8-E8</f>
        <v>0.2715778378425856</v>
      </c>
      <c r="S8" s="299">
        <f>SUM(C8:D8)*B4*F4*POWER(O2,A8-1)</f>
        <v>42.267367954552768</v>
      </c>
      <c r="T8" s="277">
        <f>SUM(C8:D8)*D4*H4*POWER(O2,A8-1)</f>
        <v>-49.022340339421589</v>
      </c>
      <c r="U8" s="295">
        <f>S8+T8+U7</f>
        <v>-7.309833952555997</v>
      </c>
      <c r="V8" s="93">
        <f>(U8+W8*E8)/B8</f>
        <v>-10.351567311938835</v>
      </c>
      <c r="W8" s="9">
        <f>COUNT(D8:M8)</f>
        <v>2</v>
      </c>
    </row>
    <row r="9" spans="1:23" x14ac:dyDescent="0.2">
      <c r="A9" s="99">
        <v>3</v>
      </c>
      <c r="B9" s="97">
        <f>C9*B4</f>
        <v>0.71476697348947493</v>
      </c>
      <c r="C9" s="97">
        <f>1/(1-D4*B4/(1-D4*B4))</f>
        <v>1.4979200441366725</v>
      </c>
      <c r="D9" s="144">
        <f>C9*D4*C8</f>
        <v>1.0434791227811544</v>
      </c>
      <c r="E9" s="1">
        <f>D9*(D4)</f>
        <v>0.54555907864448205</v>
      </c>
      <c r="F9" s="1">
        <f>E9*D4</f>
        <v>0.28523302651052479</v>
      </c>
      <c r="G9" s="1"/>
      <c r="H9" s="1"/>
      <c r="I9" s="1"/>
      <c r="J9" s="1"/>
      <c r="K9" s="1"/>
      <c r="L9" s="1"/>
      <c r="M9" s="257"/>
      <c r="N9" s="97">
        <f>B9+F9</f>
        <v>0.99999999999999978</v>
      </c>
      <c r="R9" s="298">
        <f>B9-F9</f>
        <v>0.42953394697895014</v>
      </c>
      <c r="S9" s="299">
        <f>SUM(C9:E9)*B4*F4*POWER(O2,A9-1)</f>
        <v>385.83313989174843</v>
      </c>
      <c r="T9" s="277">
        <f>SUM(C9:E9)*D4*H4*POWER(O2,A9-1)</f>
        <v>-447.49518158638045</v>
      </c>
      <c r="U9" s="295">
        <f t="shared" ref="U9:U16" si="0">S9+T9+U8</f>
        <v>-68.971875647188014</v>
      </c>
      <c r="V9" s="93">
        <f>(U9+W9*F9)/B9</f>
        <v>-95.298438643737171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0.76189140927943577</v>
      </c>
      <c r="C10" s="97">
        <f>1/(1-D4*B4/(1-D4*B4/(1-D4*B4)))</f>
        <v>1.5966775966769107</v>
      </c>
      <c r="D10" s="144">
        <f>C10*D4*C9</f>
        <v>1.2504429626711098</v>
      </c>
      <c r="E10" s="1">
        <f>D10*D4*C8</f>
        <v>0.87108195853534132</v>
      </c>
      <c r="F10" s="1">
        <f>E10*D4</f>
        <v>0.45542518326170622</v>
      </c>
      <c r="G10" s="1">
        <f>F10*D4</f>
        <v>0.23810859072056378</v>
      </c>
      <c r="H10" s="1"/>
      <c r="I10" s="1"/>
      <c r="J10" s="1"/>
      <c r="K10" s="1"/>
      <c r="L10" s="1"/>
      <c r="M10" s="257"/>
      <c r="N10" s="97">
        <f>B10+G10</f>
        <v>0.99999999999999956</v>
      </c>
      <c r="R10" s="298">
        <f>B10-G10</f>
        <v>0.52378281855887199</v>
      </c>
      <c r="S10" s="299">
        <f>SUM(C10:F10)*B4*F4*POWER(O2,A10-1)</f>
        <v>3129.9235413765387</v>
      </c>
      <c r="T10" s="277">
        <f>SUM(C10:F10)*D4*H4*POWER(O2,A10-1)</f>
        <v>-3630.1332329637339</v>
      </c>
      <c r="U10" s="295">
        <f t="shared" si="0"/>
        <v>-569.18156723438324</v>
      </c>
      <c r="V10" s="93">
        <f>(U10+W10*G10)/B10</f>
        <v>-745.81380752003452</v>
      </c>
      <c r="W10" s="9">
        <f t="shared" si="1"/>
        <v>4</v>
      </c>
    </row>
    <row r="11" spans="1:23" x14ac:dyDescent="0.2">
      <c r="A11" s="99">
        <v>5</v>
      </c>
      <c r="B11" s="97">
        <f>C11*B4</f>
        <v>0.79309066667256312</v>
      </c>
      <c r="C11" s="97">
        <f>1/(1-D4*B4/(1-D4*B4/(1-D4*B4/(1-D4*B4))))</f>
        <v>1.6620611338921103</v>
      </c>
      <c r="D11" s="144">
        <f>C11*D4*C10</f>
        <v>1.3874656771833185</v>
      </c>
      <c r="E11" s="1">
        <f>D11*D4*C9</f>
        <v>1.0865980055037088</v>
      </c>
      <c r="F11" s="1">
        <f>E11*D4*C8</f>
        <v>0.75694449649497353</v>
      </c>
      <c r="G11" s="1">
        <f>F11*D4</f>
        <v>0.39575103428247266</v>
      </c>
      <c r="H11" s="1">
        <f>G11*D4</f>
        <v>0.20690933332743619</v>
      </c>
      <c r="I11" s="1"/>
      <c r="J11" s="1"/>
      <c r="K11" s="1"/>
      <c r="L11" s="1"/>
      <c r="M11" s="257"/>
      <c r="N11" s="97">
        <f>B11+H11</f>
        <v>0.99999999999999933</v>
      </c>
      <c r="R11" s="298">
        <f>B11-H11</f>
        <v>0.5861813333451269</v>
      </c>
      <c r="S11" s="299">
        <f>SUM(C11:G11)*B4*F4*POWER(O2,A11-1)</f>
        <v>23797.431630177751</v>
      </c>
      <c r="T11" s="277">
        <f>SUM(C11:G11)*D4*H4*POWER(O2,A11-1)</f>
        <v>-27600.625471476287</v>
      </c>
      <c r="U11" s="295">
        <f t="shared" si="0"/>
        <v>-4372.3754085329201</v>
      </c>
      <c r="V11" s="93">
        <f>(U11+W11*H11)/B11</f>
        <v>-5511.7794793959456</v>
      </c>
      <c r="W11" s="9">
        <f t="shared" si="1"/>
        <v>5</v>
      </c>
    </row>
    <row r="12" spans="1:23" x14ac:dyDescent="0.2">
      <c r="A12" s="99">
        <v>6</v>
      </c>
      <c r="B12" s="97">
        <f>C12*B4</f>
        <v>0.81519151397065082</v>
      </c>
      <c r="C12" s="97">
        <f>1/(1-D4*B4/(1-D4*B4/(1-D4*B4/(1-D4*B4/(1-D4*B4)))))</f>
        <v>1.7083773507684863</v>
      </c>
      <c r="D12" s="144">
        <f>C12*D4*C11</f>
        <v>1.4845294646845835</v>
      </c>
      <c r="E12" s="1">
        <f>D12*D4*C10</f>
        <v>1.2392646919032575</v>
      </c>
      <c r="F12" s="1">
        <f>E12*D4*C9</f>
        <v>0.97053394880868904</v>
      </c>
      <c r="G12" s="1">
        <f>F12*D4*C8</f>
        <v>0.67609210351137916</v>
      </c>
      <c r="H12" s="1">
        <f>G12*D4</f>
        <v>0.35347921871919918</v>
      </c>
      <c r="I12" s="1">
        <f>H12*D4</f>
        <v>0.18480848602934835</v>
      </c>
      <c r="J12" s="1"/>
      <c r="K12" s="1"/>
      <c r="L12" s="1"/>
      <c r="M12" s="257"/>
      <c r="N12" s="97">
        <f>B12+I12</f>
        <v>0.99999999999999911</v>
      </c>
      <c r="R12" s="298">
        <f>B12-I12</f>
        <v>0.63038302794130252</v>
      </c>
      <c r="S12" s="299">
        <f>SUM(C12:H12)*B4*F4*POWER(O2,A12-1)</f>
        <v>173654.98179958737</v>
      </c>
      <c r="T12" s="277">
        <f>SUM(C12:H12)*D4*H4*POWER(O2,A12-1)</f>
        <v>-201407.70602439347</v>
      </c>
      <c r="U12" s="295">
        <f t="shared" si="0"/>
        <v>-32125.099633339014</v>
      </c>
      <c r="V12" s="93">
        <f>(U12+W12*I12)/B12</f>
        <v>-39406.679573923277</v>
      </c>
      <c r="W12" s="9">
        <f t="shared" si="1"/>
        <v>6</v>
      </c>
    </row>
    <row r="13" spans="1:23" x14ac:dyDescent="0.2">
      <c r="A13" s="99">
        <v>7</v>
      </c>
      <c r="B13" s="97">
        <f>C13*B4</f>
        <v>0.83160758388376244</v>
      </c>
      <c r="C13" s="97">
        <f>1/(1-D4*B4/(1-D4*B4/(1-D4*B4/(1-D4*B4/(1-D4*B4/(1-D4*B4))))))</f>
        <v>1.7427801156986442</v>
      </c>
      <c r="D13" s="144">
        <f>C13*D4*C12</f>
        <v>1.5566265159949217</v>
      </c>
      <c r="E13" s="1">
        <f>D13*D4*C11</f>
        <v>1.3526624708904427</v>
      </c>
      <c r="F13" s="1">
        <f>E13*D4*C10</f>
        <v>1.1291839469102802</v>
      </c>
      <c r="G13" s="1">
        <f>F13*D4*C9</f>
        <v>0.8843238753483077</v>
      </c>
      <c r="H13" s="1">
        <f>G13*D4*C8</f>
        <v>0.61603655369651211</v>
      </c>
      <c r="I13" s="1">
        <f>H13*D4</f>
        <v>0.3220805546643189</v>
      </c>
      <c r="J13" s="1">
        <f>I13*D4</f>
        <v>0.16839241611623645</v>
      </c>
      <c r="K13" s="1"/>
      <c r="L13" s="1"/>
      <c r="M13" s="257"/>
      <c r="N13" s="97">
        <f>B13+J13</f>
        <v>0.99999999999999889</v>
      </c>
      <c r="R13" s="298">
        <f>B13-J13</f>
        <v>0.66321516776752598</v>
      </c>
      <c r="S13" s="299">
        <f>SUM(C13:I13)*B4*F4*POWER(O2,A13-1)</f>
        <v>1231681.4662396337</v>
      </c>
      <c r="T13" s="277">
        <f>SUM(C13:I13)*D4*H4*POWER(O2,A13-1)</f>
        <v>-1428523.0178675789</v>
      </c>
      <c r="U13" s="295">
        <f t="shared" si="0"/>
        <v>-228966.65126128416</v>
      </c>
      <c r="V13" s="93">
        <f>(U13+W13*J13)/B13</f>
        <v>-275328.74513368425</v>
      </c>
      <c r="W13" s="9">
        <f t="shared" si="1"/>
        <v>7</v>
      </c>
    </row>
    <row r="14" spans="1:23" x14ac:dyDescent="0.2">
      <c r="A14" s="99">
        <v>8</v>
      </c>
      <c r="B14" s="97">
        <f>C14*B4</f>
        <v>0.84423555118370641</v>
      </c>
      <c r="C14" s="97">
        <f>1/(1-D4*B4/(1-D4*B4/(1-D4*B4/(1-D4*B4/(1-D4*B4/(1-D4*B4/(1-D4*B4)))))))</f>
        <v>1.7692442446201899</v>
      </c>
      <c r="D14" s="144">
        <f>C14*D4*C13</f>
        <v>1.612086757769486</v>
      </c>
      <c r="E14" s="1">
        <f>D14*D4*C12</f>
        <v>1.4398930597290474</v>
      </c>
      <c r="F14" s="1">
        <f>E14*D4*C11</f>
        <v>1.2512245448589332</v>
      </c>
      <c r="G14" s="1">
        <f>F14*D4*C10</f>
        <v>1.0445049673809295</v>
      </c>
      <c r="H14" s="1">
        <f>G14*D4*C9</f>
        <v>0.81800727251062544</v>
      </c>
      <c r="I14" s="1">
        <f>H14*D4*C8</f>
        <v>0.5698391676439245</v>
      </c>
      <c r="J14" s="1">
        <f>I14*D4</f>
        <v>0.2979273130513394</v>
      </c>
      <c r="K14" s="1">
        <f>J14*D4</f>
        <v>0.15576444881629248</v>
      </c>
      <c r="L14" s="1"/>
      <c r="M14" s="257"/>
      <c r="N14" s="97">
        <f>B14+K14</f>
        <v>0.99999999999999889</v>
      </c>
      <c r="R14" s="298">
        <f>B14-K14</f>
        <v>0.68847110236741393</v>
      </c>
      <c r="S14" s="299">
        <f>SUM(C14:J14)*B4*F4*POWER(O2,A14-1)</f>
        <v>8555438.4916415568</v>
      </c>
      <c r="T14" s="277">
        <f>SUM(C14:J14)*D4*H4*POWER(O2,A14-1)</f>
        <v>-9922728.5205267724</v>
      </c>
      <c r="U14" s="295">
        <f t="shared" si="0"/>
        <v>-1596256.6801464998</v>
      </c>
      <c r="V14" s="93">
        <f>(U14+W14*K14)/B14</f>
        <v>-1890770.2142995428</v>
      </c>
      <c r="W14" s="9">
        <f t="shared" si="1"/>
        <v>8</v>
      </c>
    </row>
    <row r="15" spans="1:23" x14ac:dyDescent="0.2">
      <c r="A15" s="99">
        <v>9</v>
      </c>
      <c r="B15" s="97">
        <f>C15*B4</f>
        <v>0.85421360279465819</v>
      </c>
      <c r="C15" s="97">
        <f>1/(1-D4*B4/(1-D4*B4/(1-D4*B4/(1-D4*B4/(1-D4*B4/(1-D4*B4/(1-D4*B4/(1-D4*B4))))))))</f>
        <v>1.7901550086367579</v>
      </c>
      <c r="D15" s="144">
        <f>C15*D4*C14</f>
        <v>1.6559089455878639</v>
      </c>
      <c r="E15" s="1">
        <f>D15*D4*C13</f>
        <v>1.5088187464062048</v>
      </c>
      <c r="F15" s="1">
        <f>E15*D4*C12</f>
        <v>1.3476555345850869</v>
      </c>
      <c r="G15" s="1">
        <f>F15*D4*C11</f>
        <v>1.1710728595394113</v>
      </c>
      <c r="H15" s="1">
        <f>G15*D4*C10</f>
        <v>0.97759544757956363</v>
      </c>
      <c r="I15" s="1">
        <f>H15*D4*C9</f>
        <v>0.76560687662265647</v>
      </c>
      <c r="J15" s="1">
        <f>I15*D4*C8</f>
        <v>0.5333360716685468</v>
      </c>
      <c r="K15" s="1">
        <f>J15*D4</f>
        <v>0.27884250821603002</v>
      </c>
      <c r="L15" s="1">
        <f>K15*D4</f>
        <v>0.14578639720534059</v>
      </c>
      <c r="M15" s="257"/>
      <c r="N15" s="97">
        <f>B15+L15</f>
        <v>0.99999999999999878</v>
      </c>
      <c r="R15" s="298">
        <f>B15-L15</f>
        <v>0.7084272055893176</v>
      </c>
      <c r="S15" s="299">
        <f>SUM(C15:K15)*B4*F4*POWER(O2,A15-1)</f>
        <v>58483527.42490238</v>
      </c>
      <c r="T15" s="277">
        <f>SUM(C15:K15)*D4*H4*POWER(O2,A15-1)</f>
        <v>-67830090.31355229</v>
      </c>
      <c r="U15" s="295">
        <f t="shared" si="0"/>
        <v>-10942819.568796411</v>
      </c>
      <c r="V15" s="93">
        <f>(U15+W15*L15)/B15</f>
        <v>-12810400.374002647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0.86226619613045397</v>
      </c>
      <c r="C16" s="145">
        <f>1/(1-D4*B4/(1-D4*B4/(1-D4*B4/(1-D4*B4/(1-D4*B4/(1-D4*B4/(1-D4*B4/(1-D4*B4/(1-D4*B4)))))))))</f>
        <v>1.8070306358164565</v>
      </c>
      <c r="D16" s="153">
        <f>C16*D4*C15</f>
        <v>1.6912747936857973</v>
      </c>
      <c r="E16" s="111">
        <f>D16*D4*C14</f>
        <v>1.5644438871493571</v>
      </c>
      <c r="F16" s="111">
        <f>E16*D4*C13</f>
        <v>1.4254782975361946</v>
      </c>
      <c r="G16" s="111">
        <f>F16*D4*C12</f>
        <v>1.2732170260220195</v>
      </c>
      <c r="H16" s="111">
        <f>G16*D4*C11</f>
        <v>1.1063879939742365</v>
      </c>
      <c r="I16" s="111">
        <f>H16*D4*C10</f>
        <v>0.92359741527209305</v>
      </c>
      <c r="J16" s="111">
        <f>I16*D4*C9</f>
        <v>0.72331815181215431</v>
      </c>
      <c r="K16" s="111">
        <f>J16*D4*C8</f>
        <v>0.50387695491426809</v>
      </c>
      <c r="L16" s="111">
        <f>K16*D4</f>
        <v>0.26344048603535702</v>
      </c>
      <c r="M16" s="259">
        <f>L16*D4</f>
        <v>0.13773380386954454</v>
      </c>
      <c r="N16" s="145">
        <f>B16+M16</f>
        <v>0.99999999999999845</v>
      </c>
      <c r="R16" s="300">
        <f>B16-M16</f>
        <v>0.72453239226090949</v>
      </c>
      <c r="S16" s="301">
        <f>SUM(C16:L16)*B4*F4*POWER(O2,A16-1)</f>
        <v>394744553.87283927</v>
      </c>
      <c r="T16" s="278">
        <f>SUM(C16:L16)*D4*H4*POWER(O2,A16-1)</f>
        <v>-457830775.92847997</v>
      </c>
      <c r="U16" s="295">
        <f t="shared" si="0"/>
        <v>-74029041.624437109</v>
      </c>
      <c r="V16" s="94">
        <f>(U16+W16*M16)/B16</f>
        <v>-85854044.353489965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6</v>
      </c>
      <c r="D21" s="57">
        <f>SUM($C$21:C21)</f>
        <v>6</v>
      </c>
      <c r="E21" s="57">
        <f t="shared" ref="E21:E30" si="3">D21/R7</f>
        <v>-131.42320790864352</v>
      </c>
      <c r="F21" s="8">
        <f t="shared" ref="F21:F30" si="4">U7/E21</f>
        <v>4.2219450926268467E-3</v>
      </c>
      <c r="G21" s="281">
        <f>E21*U7</f>
        <v>72.921687170667525</v>
      </c>
      <c r="O21" s="101">
        <v>1</v>
      </c>
      <c r="P21" s="109">
        <v>1</v>
      </c>
      <c r="Q21" s="110">
        <f>P21*6+15</f>
        <v>21</v>
      </c>
      <c r="R21" s="57">
        <f>SUM($Q$21)</f>
        <v>21</v>
      </c>
      <c r="S21" s="276">
        <f>R21/R7</f>
        <v>-459.98122768025229</v>
      </c>
      <c r="T21" s="8">
        <f>U7/S21</f>
        <v>1.2062700264648134E-3</v>
      </c>
      <c r="U21" s="281">
        <f>S21*U7</f>
        <v>255.22590509733629</v>
      </c>
    </row>
    <row r="22" spans="1:21" x14ac:dyDescent="0.2">
      <c r="A22" s="97">
        <v>2</v>
      </c>
      <c r="B22" s="93">
        <f>C21</f>
        <v>6</v>
      </c>
      <c r="C22" s="1">
        <f t="shared" si="2"/>
        <v>36</v>
      </c>
      <c r="D22" s="9">
        <f>SUM($C$21:C22)</f>
        <v>42</v>
      </c>
      <c r="E22" s="9">
        <f t="shared" si="3"/>
        <v>154.65179461493622</v>
      </c>
      <c r="F22" s="9">
        <f t="shared" si="4"/>
        <v>-4.7266402376749499E-2</v>
      </c>
      <c r="G22" s="282">
        <f t="shared" ref="G22:G30" si="5">E22*U8</f>
        <v>-1130.4789390999774</v>
      </c>
      <c r="O22" s="99">
        <v>2</v>
      </c>
      <c r="P22" s="93">
        <f>Q21</f>
        <v>21</v>
      </c>
      <c r="Q22" s="1">
        <f t="shared" ref="Q22:Q30" si="6">P22*6+15</f>
        <v>141</v>
      </c>
      <c r="R22" s="9">
        <f>SUM($Q$21:Q22)</f>
        <v>162</v>
      </c>
      <c r="S22" s="277">
        <f t="shared" ref="S22:S30" si="7">R22/R8</f>
        <v>596.51406494332537</v>
      </c>
      <c r="T22" s="9">
        <f>U8/S22</f>
        <v>-1.2254252468046168E-2</v>
      </c>
      <c r="U22" s="282">
        <f t="shared" ref="U22:U30" si="8">S22*U8</f>
        <v>-4360.4187650999129</v>
      </c>
    </row>
    <row r="23" spans="1:21" x14ac:dyDescent="0.2">
      <c r="A23" s="97">
        <v>3</v>
      </c>
      <c r="B23" s="93">
        <f t="shared" ref="B23:B30" si="9">C22</f>
        <v>36</v>
      </c>
      <c r="C23" s="1">
        <f t="shared" si="2"/>
        <v>216</v>
      </c>
      <c r="D23" s="9">
        <f>SUM($C$21:C23)</f>
        <v>258</v>
      </c>
      <c r="E23" s="9">
        <f t="shared" si="3"/>
        <v>600.65101213675109</v>
      </c>
      <c r="F23" s="9">
        <f t="shared" si="4"/>
        <v>-0.11482853479565117</v>
      </c>
      <c r="G23" s="282">
        <f t="shared" si="5"/>
        <v>-41428.026916453615</v>
      </c>
      <c r="O23" s="99">
        <v>3</v>
      </c>
      <c r="P23" s="93">
        <f t="shared" ref="P23:P30" si="10">Q22</f>
        <v>141</v>
      </c>
      <c r="Q23" s="1">
        <f t="shared" si="6"/>
        <v>861</v>
      </c>
      <c r="R23" s="9">
        <f>SUM($Q$21:Q23)</f>
        <v>1023</v>
      </c>
      <c r="S23" s="277">
        <f t="shared" si="7"/>
        <v>2381.6511062631644</v>
      </c>
      <c r="T23" s="9">
        <f t="shared" ref="T23:T30" si="11">U9/S23</f>
        <v>-2.8959689127348972E-2</v>
      </c>
      <c r="U23" s="282">
        <f t="shared" si="8"/>
        <v>-164266.94393617075</v>
      </c>
    </row>
    <row r="24" spans="1:21" x14ac:dyDescent="0.2">
      <c r="A24" s="97">
        <v>4</v>
      </c>
      <c r="B24" s="93">
        <f t="shared" si="9"/>
        <v>216</v>
      </c>
      <c r="C24" s="1">
        <f t="shared" si="2"/>
        <v>1296</v>
      </c>
      <c r="D24" s="9">
        <f>SUM($C$21:C24)</f>
        <v>1554</v>
      </c>
      <c r="E24" s="9">
        <f t="shared" si="3"/>
        <v>2966.8785323574602</v>
      </c>
      <c r="F24" s="9">
        <f t="shared" si="4"/>
        <v>-0.19184525454168683</v>
      </c>
      <c r="G24" s="282">
        <f t="shared" si="5"/>
        <v>-1688692.5728412659</v>
      </c>
      <c r="O24" s="99">
        <v>4</v>
      </c>
      <c r="P24" s="93">
        <f t="shared" si="10"/>
        <v>861</v>
      </c>
      <c r="Q24" s="1">
        <f t="shared" si="6"/>
        <v>5181</v>
      </c>
      <c r="R24" s="9">
        <f>SUM($Q$21:Q24)</f>
        <v>6204</v>
      </c>
      <c r="S24" s="277">
        <f t="shared" si="7"/>
        <v>11844.603870492718</v>
      </c>
      <c r="T24" s="9">
        <f t="shared" si="11"/>
        <v>-4.8054082133749412E-2</v>
      </c>
      <c r="U24" s="282">
        <f t="shared" si="8"/>
        <v>-6741730.1942774868</v>
      </c>
    </row>
    <row r="25" spans="1:21" x14ac:dyDescent="0.2">
      <c r="A25" s="97">
        <v>5</v>
      </c>
      <c r="B25" s="93">
        <f t="shared" si="9"/>
        <v>1296</v>
      </c>
      <c r="C25" s="1">
        <f t="shared" si="2"/>
        <v>7776</v>
      </c>
      <c r="D25" s="9">
        <f>SUM($C$21:C25)</f>
        <v>9330</v>
      </c>
      <c r="E25" s="9">
        <f t="shared" si="3"/>
        <v>15916.576440189645</v>
      </c>
      <c r="F25" s="9">
        <f t="shared" si="4"/>
        <v>-0.2747057713675532</v>
      </c>
      <c r="G25" s="282">
        <f t="shared" si="5"/>
        <v>-69593247.415119648</v>
      </c>
      <c r="O25" s="99">
        <v>5</v>
      </c>
      <c r="P25" s="93">
        <f t="shared" si="10"/>
        <v>5181</v>
      </c>
      <c r="Q25" s="1">
        <f t="shared" si="6"/>
        <v>31101</v>
      </c>
      <c r="R25" s="9">
        <f>SUM($Q$21:Q25)</f>
        <v>37305</v>
      </c>
      <c r="S25" s="277">
        <f t="shared" si="7"/>
        <v>63640.716409568566</v>
      </c>
      <c r="T25" s="9">
        <f t="shared" si="11"/>
        <v>-6.8704057012713343E-2</v>
      </c>
      <c r="U25" s="282">
        <f t="shared" si="8"/>
        <v>-278261103.41061509</v>
      </c>
    </row>
    <row r="26" spans="1:21" x14ac:dyDescent="0.2">
      <c r="A26" s="97">
        <v>6</v>
      </c>
      <c r="B26" s="93">
        <f t="shared" si="9"/>
        <v>7776</v>
      </c>
      <c r="C26" s="1">
        <f t="shared" si="2"/>
        <v>46656</v>
      </c>
      <c r="D26" s="9">
        <f>SUM($C$21:C26)</f>
        <v>55986</v>
      </c>
      <c r="E26" s="9">
        <f t="shared" si="3"/>
        <v>88812.67026309135</v>
      </c>
      <c r="F26" s="9">
        <f t="shared" si="4"/>
        <v>-0.36171752902118876</v>
      </c>
      <c r="G26" s="282">
        <f t="shared" si="5"/>
        <v>-2853115880.9046946</v>
      </c>
      <c r="O26" s="99">
        <v>6</v>
      </c>
      <c r="P26" s="93">
        <f t="shared" si="10"/>
        <v>31101</v>
      </c>
      <c r="Q26" s="1">
        <f t="shared" si="6"/>
        <v>186621</v>
      </c>
      <c r="R26" s="9">
        <f>SUM($Q$21:Q26)</f>
        <v>223926</v>
      </c>
      <c r="S26" s="277">
        <f t="shared" si="7"/>
        <v>355222.12698412093</v>
      </c>
      <c r="T26" s="9">
        <f t="shared" si="11"/>
        <v>-9.043665130346755E-2</v>
      </c>
      <c r="U26" s="282">
        <f t="shared" si="8"/>
        <v>-11411546221.331488</v>
      </c>
    </row>
    <row r="27" spans="1:21" x14ac:dyDescent="0.2">
      <c r="A27" s="97">
        <v>7</v>
      </c>
      <c r="B27" s="93">
        <f t="shared" si="9"/>
        <v>46656</v>
      </c>
      <c r="C27" s="1">
        <f t="shared" si="2"/>
        <v>279936</v>
      </c>
      <c r="D27" s="9">
        <f>SUM($C$21:C27)</f>
        <v>335922</v>
      </c>
      <c r="E27" s="9">
        <f t="shared" si="3"/>
        <v>506505.30374743982</v>
      </c>
      <c r="F27" s="9">
        <f t="shared" si="4"/>
        <v>-0.45205183354892264</v>
      </c>
      <c r="G27" s="282">
        <f t="shared" si="5"/>
        <v>-115972823245.13086</v>
      </c>
      <c r="O27" s="99">
        <v>7</v>
      </c>
      <c r="P27" s="93">
        <f t="shared" si="10"/>
        <v>186621</v>
      </c>
      <c r="Q27" s="1">
        <f t="shared" si="6"/>
        <v>1119741</v>
      </c>
      <c r="R27" s="9">
        <f>SUM($Q$21:Q27)</f>
        <v>1343667</v>
      </c>
      <c r="S27" s="277">
        <f t="shared" si="7"/>
        <v>2025989.5510577194</v>
      </c>
      <c r="T27" s="9">
        <f t="shared" si="11"/>
        <v>-0.11301472465232917</v>
      </c>
      <c r="U27" s="282">
        <f t="shared" si="8"/>
        <v>-463884042996.03851</v>
      </c>
    </row>
    <row r="28" spans="1:21" x14ac:dyDescent="0.2">
      <c r="A28" s="97">
        <v>8</v>
      </c>
      <c r="B28" s="93">
        <f t="shared" si="9"/>
        <v>279936</v>
      </c>
      <c r="C28" s="1">
        <f t="shared" si="2"/>
        <v>1679616</v>
      </c>
      <c r="D28" s="9">
        <f>SUM($C$21:C28)</f>
        <v>2015538</v>
      </c>
      <c r="E28" s="9">
        <f t="shared" si="3"/>
        <v>2927556.426216383</v>
      </c>
      <c r="F28" s="9">
        <f t="shared" si="4"/>
        <v>-0.54525223351869789</v>
      </c>
      <c r="G28" s="282">
        <f t="shared" si="5"/>
        <v>-4673131501853.7148</v>
      </c>
      <c r="O28" s="99">
        <v>8</v>
      </c>
      <c r="P28" s="93">
        <f t="shared" si="10"/>
        <v>1119741</v>
      </c>
      <c r="Q28" s="1">
        <f t="shared" si="6"/>
        <v>6718461</v>
      </c>
      <c r="R28" s="9">
        <f>SUM($Q$21:Q28)</f>
        <v>8062128</v>
      </c>
      <c r="S28" s="277">
        <f t="shared" si="7"/>
        <v>11710190.8450146</v>
      </c>
      <c r="T28" s="9">
        <f t="shared" si="11"/>
        <v>-0.13631346416750131</v>
      </c>
      <c r="U28" s="282">
        <f t="shared" si="8"/>
        <v>-18692470362144.941</v>
      </c>
    </row>
    <row r="29" spans="1:21" x14ac:dyDescent="0.2">
      <c r="A29" s="97">
        <v>9</v>
      </c>
      <c r="B29" s="93">
        <f t="shared" si="9"/>
        <v>1679616</v>
      </c>
      <c r="C29" s="1">
        <f t="shared" si="2"/>
        <v>10077696</v>
      </c>
      <c r="D29" s="9">
        <f>SUM($C$21:C29)</f>
        <v>12093234</v>
      </c>
      <c r="E29" s="9">
        <f t="shared" si="3"/>
        <v>17070538.658859141</v>
      </c>
      <c r="F29" s="9">
        <f t="shared" si="4"/>
        <v>-0.64103539949615995</v>
      </c>
      <c r="G29" s="282">
        <f t="shared" si="5"/>
        <v>-186799824486059.47</v>
      </c>
      <c r="O29" s="99">
        <v>9</v>
      </c>
      <c r="P29" s="93">
        <f t="shared" si="10"/>
        <v>6718461</v>
      </c>
      <c r="Q29" s="1">
        <f t="shared" si="6"/>
        <v>40310781</v>
      </c>
      <c r="R29" s="9">
        <f>SUM($Q$21:Q29)</f>
        <v>48372909</v>
      </c>
      <c r="S29" s="277">
        <f t="shared" si="7"/>
        <v>68282116.52284041</v>
      </c>
      <c r="T29" s="9">
        <f t="shared" si="11"/>
        <v>-0.16025893932470636</v>
      </c>
      <c r="U29" s="282">
        <f t="shared" si="8"/>
        <v>-747198880884974.75</v>
      </c>
    </row>
    <row r="30" spans="1:21" ht="17" thickBot="1" x14ac:dyDescent="0.25">
      <c r="A30" s="145">
        <v>10</v>
      </c>
      <c r="B30" s="94">
        <f t="shared" si="9"/>
        <v>10077696</v>
      </c>
      <c r="C30" s="111">
        <f t="shared" si="2"/>
        <v>60466176</v>
      </c>
      <c r="D30" s="10">
        <f>SUM($C$21:C30)</f>
        <v>72559410</v>
      </c>
      <c r="E30" s="10">
        <f t="shared" si="3"/>
        <v>100146536.95962128</v>
      </c>
      <c r="F30" s="10">
        <f t="shared" si="4"/>
        <v>-0.73920720448162225</v>
      </c>
      <c r="G30" s="283">
        <f t="shared" si="5"/>
        <v>-7413752153127033</v>
      </c>
      <c r="O30" s="100">
        <v>10</v>
      </c>
      <c r="P30" s="94">
        <f t="shared" si="10"/>
        <v>40310781</v>
      </c>
      <c r="Q30" s="111">
        <f t="shared" si="6"/>
        <v>241864701</v>
      </c>
      <c r="R30" s="10">
        <f>SUM($Q$21:Q30)</f>
        <v>290237610</v>
      </c>
      <c r="S30" s="278">
        <f t="shared" si="7"/>
        <v>400586106.43246889</v>
      </c>
      <c r="T30" s="10">
        <f t="shared" si="11"/>
        <v>-0.18480182022218233</v>
      </c>
      <c r="U30" s="283">
        <f t="shared" si="8"/>
        <v>-2.9655005547260432E+16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6</v>
      </c>
      <c r="D33" s="57">
        <f>SUM($C$33:C33)</f>
        <v>6</v>
      </c>
      <c r="E33" s="9">
        <f t="shared" ref="E33:E42" si="13">D33/R7</f>
        <v>-131.42320790864352</v>
      </c>
      <c r="F33" s="8">
        <f t="shared" ref="F33:F42" si="14">U7/E33</f>
        <v>4.2219450926268467E-3</v>
      </c>
      <c r="G33" s="284">
        <f>E33*U7</f>
        <v>72.921687170667525</v>
      </c>
      <c r="O33" s="101">
        <v>1</v>
      </c>
      <c r="P33" s="109">
        <v>1</v>
      </c>
      <c r="Q33" s="110">
        <f>P33*6+15</f>
        <v>21</v>
      </c>
      <c r="R33" s="57">
        <f>SUM($Q$21)</f>
        <v>21</v>
      </c>
      <c r="S33" s="276">
        <f>R33/R7</f>
        <v>-459.98122768025229</v>
      </c>
      <c r="T33" s="8">
        <f>U7/S33</f>
        <v>1.2062700264648134E-3</v>
      </c>
      <c r="U33" s="284">
        <f>S33*U7</f>
        <v>255.22590509733629</v>
      </c>
    </row>
    <row r="34" spans="1:21" x14ac:dyDescent="0.2">
      <c r="A34" s="97">
        <v>2</v>
      </c>
      <c r="B34" s="93">
        <f t="shared" ref="B34:B42" si="15">B33*($O$2+1)</f>
        <v>7</v>
      </c>
      <c r="C34" s="1">
        <f t="shared" si="12"/>
        <v>42</v>
      </c>
      <c r="D34" s="9">
        <f>SUM($C$33:C34)</f>
        <v>48</v>
      </c>
      <c r="E34" s="9">
        <f t="shared" si="13"/>
        <v>176.74490813135569</v>
      </c>
      <c r="F34" s="9">
        <f t="shared" si="14"/>
        <v>-4.135810207965581E-2</v>
      </c>
      <c r="G34" s="282">
        <f t="shared" ref="G34:G42" si="16">E34*U8</f>
        <v>-1291.9759303999742</v>
      </c>
      <c r="O34" s="99">
        <v>2</v>
      </c>
      <c r="P34" s="93">
        <f>Q33+1</f>
        <v>22</v>
      </c>
      <c r="Q34" s="1">
        <f t="shared" ref="Q34:Q42" si="17">P34*6+15</f>
        <v>147</v>
      </c>
      <c r="R34" s="9">
        <f>SUM($Q$33:Q34)</f>
        <v>168</v>
      </c>
      <c r="S34" s="277">
        <f>R34/R8</f>
        <v>618.60717845974489</v>
      </c>
      <c r="T34" s="9">
        <f t="shared" ref="T34:T42" si="18">U8/S34</f>
        <v>-1.1816600594187375E-2</v>
      </c>
      <c r="U34" s="282">
        <f t="shared" ref="U34:U42" si="19">S34*U8</f>
        <v>-4521.9157563999097</v>
      </c>
    </row>
    <row r="35" spans="1:21" x14ac:dyDescent="0.2">
      <c r="A35" s="97">
        <v>3</v>
      </c>
      <c r="B35" s="93">
        <f t="shared" si="15"/>
        <v>49</v>
      </c>
      <c r="C35" s="1">
        <f t="shared" si="12"/>
        <v>294</v>
      </c>
      <c r="D35" s="9">
        <f>SUM($C$33:C35)</f>
        <v>342</v>
      </c>
      <c r="E35" s="9">
        <f t="shared" si="13"/>
        <v>796.21180678592589</v>
      </c>
      <c r="F35" s="9">
        <f t="shared" si="14"/>
        <v>-8.6625035021280702E-2</v>
      </c>
      <c r="G35" s="282">
        <f t="shared" si="16"/>
        <v>-54916.221726461772</v>
      </c>
      <c r="O35" s="99">
        <v>3</v>
      </c>
      <c r="P35" s="93">
        <f t="shared" ref="P35:P42" si="20">Q34+1</f>
        <v>148</v>
      </c>
      <c r="Q35" s="1">
        <f t="shared" si="17"/>
        <v>903</v>
      </c>
      <c r="R35" s="9">
        <f>SUM($Q$33:Q35)</f>
        <v>1071</v>
      </c>
      <c r="S35" s="277">
        <f t="shared" ref="S35:S42" si="21">R35/R9</f>
        <v>2493.4001317769785</v>
      </c>
      <c r="T35" s="9">
        <f t="shared" si="18"/>
        <v>-2.7661775889148459E-2</v>
      </c>
      <c r="U35" s="282">
        <f t="shared" si="19"/>
        <v>-171974.48382760398</v>
      </c>
    </row>
    <row r="36" spans="1:21" x14ac:dyDescent="0.2">
      <c r="A36" s="97">
        <v>4</v>
      </c>
      <c r="B36" s="93">
        <f t="shared" si="15"/>
        <v>343</v>
      </c>
      <c r="C36" s="1">
        <f t="shared" si="12"/>
        <v>2058</v>
      </c>
      <c r="D36" s="9">
        <f>SUM($C$33:C36)</f>
        <v>2400</v>
      </c>
      <c r="E36" s="9">
        <f t="shared" si="13"/>
        <v>4582.0517874246489</v>
      </c>
      <c r="F36" s="9">
        <f t="shared" si="14"/>
        <v>-0.12421980231574223</v>
      </c>
      <c r="G36" s="282">
        <f t="shared" si="16"/>
        <v>-2608019.4175154688</v>
      </c>
      <c r="O36" s="99">
        <v>4</v>
      </c>
      <c r="P36" s="93">
        <f t="shared" si="20"/>
        <v>904</v>
      </c>
      <c r="Q36" s="1">
        <f t="shared" si="17"/>
        <v>5439</v>
      </c>
      <c r="R36" s="9">
        <f>SUM($Q$33:Q36)</f>
        <v>6510</v>
      </c>
      <c r="S36" s="277">
        <f t="shared" si="21"/>
        <v>12428.815473389361</v>
      </c>
      <c r="T36" s="9">
        <f t="shared" si="18"/>
        <v>-4.5795318826080081E-2</v>
      </c>
      <c r="U36" s="282">
        <f t="shared" si="19"/>
        <v>-7074252.6700107092</v>
      </c>
    </row>
    <row r="37" spans="1:21" x14ac:dyDescent="0.2">
      <c r="A37" s="97">
        <v>5</v>
      </c>
      <c r="B37" s="93">
        <f t="shared" si="15"/>
        <v>2401</v>
      </c>
      <c r="C37" s="1">
        <f t="shared" si="12"/>
        <v>14406</v>
      </c>
      <c r="D37" s="9">
        <f>SUM($C$33:C37)</f>
        <v>16806</v>
      </c>
      <c r="E37" s="9">
        <f t="shared" si="13"/>
        <v>28670.309073293374</v>
      </c>
      <c r="F37" s="9">
        <f t="shared" si="14"/>
        <v>-0.1525053461180097</v>
      </c>
      <c r="G37" s="282">
        <f t="shared" si="16"/>
        <v>-125357354.3471062</v>
      </c>
      <c r="O37" s="99">
        <v>5</v>
      </c>
      <c r="P37" s="93">
        <f t="shared" si="20"/>
        <v>5440</v>
      </c>
      <c r="Q37" s="1">
        <f t="shared" si="17"/>
        <v>32655</v>
      </c>
      <c r="R37" s="9">
        <f>SUM($Q$33:Q37)</f>
        <v>39165</v>
      </c>
      <c r="S37" s="277">
        <f t="shared" si="21"/>
        <v>66813.795957130496</v>
      </c>
      <c r="T37" s="9">
        <f t="shared" si="18"/>
        <v>-6.5441206354124107E-2</v>
      </c>
      <c r="U37" s="282">
        <f t="shared" si="19"/>
        <v>-292134998.39369363</v>
      </c>
    </row>
    <row r="38" spans="1:21" x14ac:dyDescent="0.2">
      <c r="A38" s="97">
        <v>6</v>
      </c>
      <c r="B38" s="93">
        <f t="shared" si="15"/>
        <v>16807</v>
      </c>
      <c r="C38" s="1">
        <f t="shared" si="12"/>
        <v>100842</v>
      </c>
      <c r="D38" s="9">
        <f>SUM($C$33:C38)</f>
        <v>117648</v>
      </c>
      <c r="E38" s="9">
        <f t="shared" si="13"/>
        <v>186629.39004594312</v>
      </c>
      <c r="F38" s="9">
        <f t="shared" si="14"/>
        <v>-0.17213312236315342</v>
      </c>
      <c r="G38" s="282">
        <f t="shared" si="16"/>
        <v>-5995487749.7352114</v>
      </c>
      <c r="O38" s="99">
        <v>6</v>
      </c>
      <c r="P38" s="93">
        <f t="shared" si="20"/>
        <v>32656</v>
      </c>
      <c r="Q38" s="1">
        <f t="shared" si="17"/>
        <v>195951</v>
      </c>
      <c r="R38" s="9">
        <f>SUM($Q$33:Q38)</f>
        <v>235116</v>
      </c>
      <c r="S38" s="277">
        <f t="shared" si="21"/>
        <v>372973.23940944136</v>
      </c>
      <c r="T38" s="9">
        <f t="shared" si="18"/>
        <v>-8.6132451980215199E-2</v>
      </c>
      <c r="U38" s="282">
        <f t="shared" si="19"/>
        <v>-11981802476.597509</v>
      </c>
    </row>
    <row r="39" spans="1:21" x14ac:dyDescent="0.2">
      <c r="A39" s="97">
        <v>7</v>
      </c>
      <c r="B39" s="93">
        <f t="shared" si="15"/>
        <v>117649</v>
      </c>
      <c r="C39" s="1">
        <f t="shared" si="12"/>
        <v>705894</v>
      </c>
      <c r="D39" s="9">
        <f>SUM($C$33:C39)</f>
        <v>823542</v>
      </c>
      <c r="E39" s="9">
        <f t="shared" si="13"/>
        <v>1241741.8057131539</v>
      </c>
      <c r="F39" s="9">
        <f t="shared" si="14"/>
        <v>-0.18439151376544388</v>
      </c>
      <c r="G39" s="282">
        <f t="shared" si="16"/>
        <v>-284317462985.28101</v>
      </c>
      <c r="O39" s="99">
        <v>7</v>
      </c>
      <c r="P39" s="93">
        <f t="shared" si="20"/>
        <v>195952</v>
      </c>
      <c r="Q39" s="1">
        <f t="shared" si="17"/>
        <v>1175727</v>
      </c>
      <c r="R39" s="9">
        <f>SUM($Q$33:Q39)</f>
        <v>1410843</v>
      </c>
      <c r="S39" s="277">
        <f t="shared" si="21"/>
        <v>2127277.9462343915</v>
      </c>
      <c r="T39" s="9">
        <f t="shared" si="18"/>
        <v>-0.10763363182821985</v>
      </c>
      <c r="U39" s="282">
        <f t="shared" si="19"/>
        <v>-487075707651.27075</v>
      </c>
    </row>
    <row r="40" spans="1:21" x14ac:dyDescent="0.2">
      <c r="A40" s="97">
        <v>8</v>
      </c>
      <c r="B40" s="93">
        <f t="shared" si="15"/>
        <v>823543</v>
      </c>
      <c r="C40" s="1">
        <f t="shared" si="12"/>
        <v>4941258</v>
      </c>
      <c r="D40" s="9">
        <f>SUM($C$33:C40)</f>
        <v>5764800</v>
      </c>
      <c r="E40" s="9">
        <f t="shared" si="13"/>
        <v>8373336.1940346472</v>
      </c>
      <c r="F40" s="9">
        <f t="shared" si="14"/>
        <v>-0.1906356848879075</v>
      </c>
      <c r="G40" s="282">
        <f t="shared" si="16"/>
        <v>-13365993834840.273</v>
      </c>
      <c r="O40" s="99">
        <v>8</v>
      </c>
      <c r="P40" s="93">
        <f t="shared" si="20"/>
        <v>1175728</v>
      </c>
      <c r="Q40" s="1">
        <f t="shared" si="17"/>
        <v>7054383</v>
      </c>
      <c r="R40" s="9">
        <f>SUM($Q$33:Q40)</f>
        <v>8465226</v>
      </c>
      <c r="S40" s="277">
        <f t="shared" si="21"/>
        <v>12295688.186317503</v>
      </c>
      <c r="T40" s="9">
        <f t="shared" si="18"/>
        <v>-0.1298224756482354</v>
      </c>
      <c r="U40" s="282">
        <f t="shared" si="19"/>
        <v>-19627074404407.715</v>
      </c>
    </row>
    <row r="41" spans="1:21" x14ac:dyDescent="0.2">
      <c r="A41" s="97">
        <v>9</v>
      </c>
      <c r="B41" s="93">
        <f t="shared" si="15"/>
        <v>5764801</v>
      </c>
      <c r="C41" s="1">
        <f t="shared" si="12"/>
        <v>34588806</v>
      </c>
      <c r="D41" s="9">
        <f>SUM($C$33:C41)</f>
        <v>40353606</v>
      </c>
      <c r="E41" s="9">
        <f t="shared" si="13"/>
        <v>56962247.753361113</v>
      </c>
      <c r="F41" s="9">
        <f t="shared" si="14"/>
        <v>-0.19210652669777623</v>
      </c>
      <c r="G41" s="282">
        <f t="shared" si="16"/>
        <v>-623327599398109.38</v>
      </c>
      <c r="O41" s="99">
        <v>9</v>
      </c>
      <c r="P41" s="93">
        <f t="shared" si="20"/>
        <v>7054384</v>
      </c>
      <c r="Q41" s="1">
        <f t="shared" si="17"/>
        <v>42326319</v>
      </c>
      <c r="R41" s="9">
        <f>SUM($Q$33:Q41)</f>
        <v>50791545</v>
      </c>
      <c r="S41" s="277">
        <f t="shared" si="21"/>
        <v>71696209.009573773</v>
      </c>
      <c r="T41" s="9">
        <f t="shared" si="18"/>
        <v>-0.1526275896586832</v>
      </c>
      <c r="U41" s="282">
        <f t="shared" si="19"/>
        <v>-784558678958481.5</v>
      </c>
    </row>
    <row r="42" spans="1:21" ht="17" thickBot="1" x14ac:dyDescent="0.25">
      <c r="A42" s="145">
        <v>10</v>
      </c>
      <c r="B42" s="94">
        <f t="shared" si="15"/>
        <v>40353607</v>
      </c>
      <c r="C42" s="111">
        <f t="shared" si="12"/>
        <v>242121642</v>
      </c>
      <c r="D42" s="10">
        <f>SUM($C$33:C42)</f>
        <v>282475248</v>
      </c>
      <c r="E42" s="9">
        <f t="shared" si="13"/>
        <v>389872490.19817263</v>
      </c>
      <c r="F42" s="10">
        <f t="shared" si="14"/>
        <v>-0.18988013641795567</v>
      </c>
      <c r="G42" s="283">
        <f t="shared" si="16"/>
        <v>-2.8861886805103472E+16</v>
      </c>
      <c r="O42" s="100">
        <v>10</v>
      </c>
      <c r="P42" s="94">
        <f t="shared" si="20"/>
        <v>42326320</v>
      </c>
      <c r="Q42" s="111">
        <f t="shared" si="17"/>
        <v>253957935</v>
      </c>
      <c r="R42" s="10">
        <f>SUM($Q$33:Q42)</f>
        <v>304749480</v>
      </c>
      <c r="S42" s="278">
        <f t="shared" si="21"/>
        <v>420615397.26198667</v>
      </c>
      <c r="T42" s="10">
        <f t="shared" si="18"/>
        <v>-0.17600173960899249</v>
      </c>
      <c r="U42" s="283">
        <f t="shared" si="19"/>
        <v>-3.113775475178676E+16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6</v>
      </c>
      <c r="D45" s="57">
        <f>SUM(C45:C45)</f>
        <v>6</v>
      </c>
      <c r="E45" s="57">
        <f t="shared" ref="E45:E54" si="23">D45/R7</f>
        <v>-131.42320790864352</v>
      </c>
      <c r="F45" s="8">
        <f t="shared" ref="F45:F54" si="24">U7/E45</f>
        <v>4.2219450926268467E-3</v>
      </c>
      <c r="G45" s="281">
        <f>E45*U7</f>
        <v>72.921687170667525</v>
      </c>
      <c r="O45" s="101">
        <v>1</v>
      </c>
      <c r="P45" s="109">
        <v>1</v>
      </c>
      <c r="Q45" s="110">
        <f>P45*6+15</f>
        <v>21</v>
      </c>
      <c r="R45" s="57">
        <f>SUM($Q$21)</f>
        <v>21</v>
      </c>
      <c r="S45" s="276">
        <f>R45/R7</f>
        <v>-459.98122768025229</v>
      </c>
      <c r="T45" s="8">
        <f>U7/S45</f>
        <v>1.2062700264648134E-3</v>
      </c>
      <c r="U45" s="284">
        <f>S45*U7</f>
        <v>255.22590509733629</v>
      </c>
    </row>
    <row r="46" spans="1:21" x14ac:dyDescent="0.2">
      <c r="A46" s="97">
        <v>2</v>
      </c>
      <c r="B46" s="93">
        <f t="shared" ref="B46:B54" si="25">B45*$O$2*2</f>
        <v>12</v>
      </c>
      <c r="C46" s="1">
        <f t="shared" si="22"/>
        <v>72</v>
      </c>
      <c r="D46" s="9">
        <f>SUM($C$45:C46)</f>
        <v>78</v>
      </c>
      <c r="E46" s="9">
        <f t="shared" si="23"/>
        <v>287.21047571345298</v>
      </c>
      <c r="F46" s="9">
        <f t="shared" si="24"/>
        <v>-2.5451139741326654E-2</v>
      </c>
      <c r="G46" s="282">
        <f t="shared" ref="G46:G54" si="26">E46*U8</f>
        <v>-2099.460886899958</v>
      </c>
      <c r="O46" s="99">
        <v>2</v>
      </c>
      <c r="P46" s="93">
        <f>Q45*2</f>
        <v>42</v>
      </c>
      <c r="Q46" s="1">
        <f t="shared" ref="Q46:Q54" si="27">P46*6+15</f>
        <v>267</v>
      </c>
      <c r="R46" s="9">
        <f>SUM($Q$45:Q46)</f>
        <v>288</v>
      </c>
      <c r="S46" s="277">
        <f t="shared" ref="S46:S54" si="28">R46/R8</f>
        <v>1060.4694487881341</v>
      </c>
      <c r="T46" s="9">
        <f t="shared" ref="T46:T54" si="29">U8/S46</f>
        <v>-6.8930170132759693E-3</v>
      </c>
      <c r="U46" s="282">
        <f t="shared" ref="U46:U54" si="30">S46*U8</f>
        <v>-7751.8555823998458</v>
      </c>
    </row>
    <row r="47" spans="1:21" x14ac:dyDescent="0.2">
      <c r="A47" s="97">
        <v>3</v>
      </c>
      <c r="B47" s="93">
        <f t="shared" si="25"/>
        <v>144</v>
      </c>
      <c r="C47" s="1">
        <f t="shared" si="22"/>
        <v>864</v>
      </c>
      <c r="D47" s="9">
        <f>SUM($C$45:C47)</f>
        <v>942</v>
      </c>
      <c r="E47" s="9">
        <f t="shared" si="23"/>
        <v>2193.074625708603</v>
      </c>
      <c r="F47" s="9">
        <f t="shared" si="24"/>
        <v>-3.1449853479063691E-2</v>
      </c>
      <c r="G47" s="282">
        <f t="shared" si="26"/>
        <v>-151260.47036937717</v>
      </c>
      <c r="O47" s="99">
        <v>3</v>
      </c>
      <c r="P47" s="93">
        <f t="shared" ref="P47:P54" si="31">Q46*2</f>
        <v>534</v>
      </c>
      <c r="Q47" s="1">
        <f t="shared" si="27"/>
        <v>3219</v>
      </c>
      <c r="R47" s="9">
        <f>SUM($Q$45:Q47)</f>
        <v>3507</v>
      </c>
      <c r="S47" s="277">
        <f t="shared" si="28"/>
        <v>8164.6631766030478</v>
      </c>
      <c r="T47" s="9">
        <f t="shared" si="29"/>
        <v>-8.4476082056680925E-3</v>
      </c>
      <c r="U47" s="282">
        <f t="shared" si="30"/>
        <v>-563132.13331784052</v>
      </c>
    </row>
    <row r="48" spans="1:21" x14ac:dyDescent="0.2">
      <c r="A48" s="97">
        <v>4</v>
      </c>
      <c r="B48" s="93">
        <f t="shared" si="25"/>
        <v>1728</v>
      </c>
      <c r="C48" s="1">
        <f t="shared" si="22"/>
        <v>10368</v>
      </c>
      <c r="D48" s="9">
        <f>SUM($C$45:C48)</f>
        <v>11310</v>
      </c>
      <c r="E48" s="9">
        <f t="shared" si="23"/>
        <v>21592.919048238658</v>
      </c>
      <c r="F48" s="9">
        <f t="shared" si="24"/>
        <v>-2.6359639748698618E-2</v>
      </c>
      <c r="G48" s="282">
        <f t="shared" si="26"/>
        <v>-12290291.505041646</v>
      </c>
      <c r="O48" s="99">
        <v>4</v>
      </c>
      <c r="P48" s="93">
        <f t="shared" si="31"/>
        <v>6438</v>
      </c>
      <c r="Q48" s="1">
        <f t="shared" si="27"/>
        <v>38643</v>
      </c>
      <c r="R48" s="9">
        <f>SUM($Q$45:Q48)</f>
        <v>42150</v>
      </c>
      <c r="S48" s="277">
        <f t="shared" si="28"/>
        <v>80472.284516645392</v>
      </c>
      <c r="T48" s="9">
        <f t="shared" si="29"/>
        <v>-7.0730136549888821E-3</v>
      </c>
      <c r="U48" s="282">
        <f t="shared" si="30"/>
        <v>-45803341.020115413</v>
      </c>
    </row>
    <row r="49" spans="1:21" x14ac:dyDescent="0.2">
      <c r="A49" s="97">
        <v>5</v>
      </c>
      <c r="B49" s="93">
        <f t="shared" si="25"/>
        <v>20736</v>
      </c>
      <c r="C49" s="1">
        <f t="shared" si="22"/>
        <v>124416</v>
      </c>
      <c r="D49" s="9">
        <f>SUM($C$45:C49)</f>
        <v>135726</v>
      </c>
      <c r="E49" s="9">
        <f t="shared" si="23"/>
        <v>231542.68530773633</v>
      </c>
      <c r="F49" s="9">
        <f t="shared" si="24"/>
        <v>-1.8883668912804259E-2</v>
      </c>
      <c r="G49" s="282">
        <f t="shared" si="26"/>
        <v>-1012391543.265223</v>
      </c>
      <c r="O49" s="99">
        <v>5</v>
      </c>
      <c r="P49" s="93">
        <f t="shared" si="31"/>
        <v>77286</v>
      </c>
      <c r="Q49" s="1">
        <f t="shared" si="27"/>
        <v>463731</v>
      </c>
      <c r="R49" s="9">
        <f>SUM($Q$45:Q49)</f>
        <v>505881</v>
      </c>
      <c r="S49" s="277">
        <f t="shared" si="28"/>
        <v>863011.10462374904</v>
      </c>
      <c r="T49" s="9">
        <f t="shared" si="29"/>
        <v>-5.0664184795619341E-3</v>
      </c>
      <c r="U49" s="282">
        <f t="shared" si="30"/>
        <v>-3773408531.1477113</v>
      </c>
    </row>
    <row r="50" spans="1:21" x14ac:dyDescent="0.2">
      <c r="A50" s="97">
        <v>6</v>
      </c>
      <c r="B50" s="93">
        <f t="shared" si="25"/>
        <v>248832</v>
      </c>
      <c r="C50" s="1">
        <f t="shared" si="22"/>
        <v>1492992</v>
      </c>
      <c r="D50" s="9">
        <f>SUM($C$45:C50)</f>
        <v>1628718</v>
      </c>
      <c r="E50" s="9">
        <f t="shared" si="23"/>
        <v>2583695.8290565787</v>
      </c>
      <c r="F50" s="9">
        <f t="shared" si="24"/>
        <v>-1.2433777719519448E-2</v>
      </c>
      <c r="G50" s="282">
        <f t="shared" si="26"/>
        <v>-83001485930.685043</v>
      </c>
      <c r="O50" s="99">
        <v>6</v>
      </c>
      <c r="P50" s="93">
        <f t="shared" si="31"/>
        <v>927462</v>
      </c>
      <c r="Q50" s="1">
        <f t="shared" si="27"/>
        <v>5564787</v>
      </c>
      <c r="R50" s="9">
        <f>SUM($Q$45:Q50)</f>
        <v>6070668</v>
      </c>
      <c r="S50" s="277">
        <f t="shared" si="28"/>
        <v>9630126.0200889539</v>
      </c>
      <c r="T50" s="9">
        <f t="shared" si="29"/>
        <v>-3.3358960792750116E-3</v>
      </c>
      <c r="U50" s="282">
        <f t="shared" si="30"/>
        <v>-309368757876.96814</v>
      </c>
    </row>
    <row r="51" spans="1:21" x14ac:dyDescent="0.2">
      <c r="A51" s="97">
        <v>7</v>
      </c>
      <c r="B51" s="93">
        <f t="shared" si="25"/>
        <v>2985984</v>
      </c>
      <c r="C51" s="1">
        <f t="shared" si="22"/>
        <v>17915904</v>
      </c>
      <c r="D51" s="9">
        <f>SUM($C$45:C51)</f>
        <v>19544622</v>
      </c>
      <c r="E51" s="9">
        <f t="shared" si="23"/>
        <v>29469503.940613877</v>
      </c>
      <c r="F51" s="9">
        <f t="shared" si="24"/>
        <v>-7.7696133508962815E-3</v>
      </c>
      <c r="G51" s="282">
        <f t="shared" si="26"/>
        <v>-6747533631613.5771</v>
      </c>
      <c r="O51" s="99">
        <v>7</v>
      </c>
      <c r="P51" s="93">
        <f t="shared" si="31"/>
        <v>11129574</v>
      </c>
      <c r="Q51" s="1">
        <f t="shared" si="27"/>
        <v>66777459</v>
      </c>
      <c r="R51" s="9">
        <f>SUM($Q$45:Q51)</f>
        <v>72848127</v>
      </c>
      <c r="S51" s="277">
        <f t="shared" si="28"/>
        <v>109840863.93140988</v>
      </c>
      <c r="T51" s="9">
        <f t="shared" si="29"/>
        <v>-2.0845306843568015E-3</v>
      </c>
      <c r="U51" s="282">
        <f t="shared" si="30"/>
        <v>-25149894786021.293</v>
      </c>
    </row>
    <row r="52" spans="1:21" x14ac:dyDescent="0.2">
      <c r="A52" s="97">
        <v>8</v>
      </c>
      <c r="B52" s="93">
        <f t="shared" si="25"/>
        <v>35831808</v>
      </c>
      <c r="C52" s="1">
        <f t="shared" si="22"/>
        <v>214990848</v>
      </c>
      <c r="D52" s="9">
        <f>SUM($C$45:C52)</f>
        <v>234535470</v>
      </c>
      <c r="E52" s="9">
        <f t="shared" si="23"/>
        <v>340661313.44295156</v>
      </c>
      <c r="F52" s="9">
        <f t="shared" si="24"/>
        <v>-4.6857586029175422E-3</v>
      </c>
      <c r="G52" s="282">
        <f t="shared" si="26"/>
        <v>-543782897250792</v>
      </c>
      <c r="O52" s="99">
        <v>8</v>
      </c>
      <c r="P52" s="93">
        <f t="shared" si="31"/>
        <v>133554918</v>
      </c>
      <c r="Q52" s="1">
        <f t="shared" si="27"/>
        <v>801329523</v>
      </c>
      <c r="R52" s="9">
        <f>SUM($Q$45:Q52)</f>
        <v>874177650</v>
      </c>
      <c r="S52" s="277">
        <f t="shared" si="28"/>
        <v>1269737606.9874327</v>
      </c>
      <c r="T52" s="9">
        <f t="shared" si="29"/>
        <v>-1.2571547628125806E-3</v>
      </c>
      <c r="U52" s="282">
        <f t="shared" si="30"/>
        <v>-2026827137186920.5</v>
      </c>
    </row>
    <row r="53" spans="1:21" x14ac:dyDescent="0.2">
      <c r="A53" s="97">
        <v>9</v>
      </c>
      <c r="B53" s="93">
        <f t="shared" si="25"/>
        <v>429981696</v>
      </c>
      <c r="C53" s="1">
        <f t="shared" si="22"/>
        <v>2579890176</v>
      </c>
      <c r="D53" s="9">
        <f>SUM($C$45:C53)</f>
        <v>2814425646</v>
      </c>
      <c r="E53" s="9">
        <f t="shared" si="23"/>
        <v>3972780299.5069489</v>
      </c>
      <c r="F53" s="9">
        <f t="shared" si="24"/>
        <v>-2.7544487094225915E-3</v>
      </c>
      <c r="G53" s="282">
        <f t="shared" si="26"/>
        <v>-4.3473418003973512E+16</v>
      </c>
      <c r="O53" s="99">
        <v>9</v>
      </c>
      <c r="P53" s="93">
        <f t="shared" si="31"/>
        <v>1602659046</v>
      </c>
      <c r="Q53" s="1">
        <f t="shared" si="27"/>
        <v>9615954291</v>
      </c>
      <c r="R53" s="9">
        <f>SUM($Q$45:Q53)</f>
        <v>10490131941</v>
      </c>
      <c r="S53" s="277">
        <f t="shared" si="28"/>
        <v>14807635644.47472</v>
      </c>
      <c r="T53" s="9">
        <f t="shared" si="29"/>
        <v>-7.3899843509990634E-4</v>
      </c>
      <c r="U53" s="282">
        <f t="shared" si="30"/>
        <v>-1.6203728509796522E+17</v>
      </c>
    </row>
    <row r="54" spans="1:21" ht="17" thickBot="1" x14ac:dyDescent="0.25">
      <c r="A54" s="145">
        <v>10</v>
      </c>
      <c r="B54" s="94">
        <f t="shared" si="25"/>
        <v>5159780352</v>
      </c>
      <c r="C54" s="111">
        <f t="shared" si="22"/>
        <v>30958682112</v>
      </c>
      <c r="D54" s="10">
        <f>SUM($C$45:C54)</f>
        <v>33773107758</v>
      </c>
      <c r="E54" s="10">
        <f t="shared" si="23"/>
        <v>46613661609.539268</v>
      </c>
      <c r="F54" s="10">
        <f t="shared" si="24"/>
        <v>-1.5881404521391946E-3</v>
      </c>
      <c r="G54" s="283">
        <f t="shared" si="26"/>
        <v>-3.4507646955600087E+18</v>
      </c>
      <c r="O54" s="100">
        <v>10</v>
      </c>
      <c r="P54" s="94">
        <f t="shared" si="31"/>
        <v>19231908582</v>
      </c>
      <c r="Q54" s="111">
        <f t="shared" si="27"/>
        <v>115391451507</v>
      </c>
      <c r="R54" s="10">
        <f>SUM($Q$45:Q54)</f>
        <v>125881583448</v>
      </c>
      <c r="S54" s="278">
        <f t="shared" si="28"/>
        <v>173741829616.73453</v>
      </c>
      <c r="T54" s="10">
        <f t="shared" si="29"/>
        <v>-4.2608646281520885E-4</v>
      </c>
      <c r="U54" s="283">
        <f t="shared" si="30"/>
        <v>-1.2861941136603101E+19</v>
      </c>
    </row>
  </sheetData>
  <mergeCells count="2">
    <mergeCell ref="A18:F18"/>
    <mergeCell ref="O18:T18"/>
  </mergeCells>
  <conditionalFormatting sqref="F45:F54">
    <cfRule type="cellIs" dxfId="598" priority="63" operator="equal">
      <formula>MAX($F$45:$F$54)</formula>
    </cfRule>
  </conditionalFormatting>
  <conditionalFormatting sqref="F21:F30">
    <cfRule type="cellIs" dxfId="597" priority="61" operator="equal">
      <formula>MAX($F$21:$F$30)</formula>
    </cfRule>
  </conditionalFormatting>
  <conditionalFormatting sqref="F33:F42">
    <cfRule type="cellIs" dxfId="596" priority="42" operator="lessThanOrEqual">
      <formula>0</formula>
    </cfRule>
    <cfRule type="cellIs" dxfId="595" priority="59" operator="equal">
      <formula>MAX($F$33:$F$42)</formula>
    </cfRule>
  </conditionalFormatting>
  <conditionalFormatting sqref="E33:E42">
    <cfRule type="cellIs" dxfId="594" priority="57" stopIfTrue="1" operator="lessThan">
      <formula>0</formula>
    </cfRule>
    <cfRule type="cellIs" dxfId="593" priority="58" operator="equal">
      <formula>MIN($E$33:$E$42)</formula>
    </cfRule>
  </conditionalFormatting>
  <conditionalFormatting sqref="E21:E30">
    <cfRule type="cellIs" dxfId="592" priority="53" stopIfTrue="1" operator="lessThan">
      <formula>0</formula>
    </cfRule>
    <cfRule type="cellIs" dxfId="591" priority="54" operator="equal">
      <formula>MIN($E$21:$E$30)</formula>
    </cfRule>
  </conditionalFormatting>
  <conditionalFormatting sqref="E45:E54">
    <cfRule type="cellIs" dxfId="590" priority="49" stopIfTrue="1" operator="lessThan">
      <formula>0</formula>
    </cfRule>
    <cfRule type="cellIs" dxfId="589" priority="50" operator="equal">
      <formula>MIN($E$45:$E$54)</formula>
    </cfRule>
  </conditionalFormatting>
  <conditionalFormatting sqref="R7:R16">
    <cfRule type="cellIs" dxfId="588" priority="27" operator="lessThanOrEqual">
      <formula>0</formula>
    </cfRule>
    <cfRule type="cellIs" dxfId="587" priority="28" operator="greaterThan">
      <formula>0</formula>
    </cfRule>
  </conditionalFormatting>
  <conditionalFormatting sqref="T21:T30">
    <cfRule type="cellIs" dxfId="586" priority="19" operator="equal">
      <formula>MAX($T$21:$T$30)</formula>
    </cfRule>
  </conditionalFormatting>
  <conditionalFormatting sqref="S33:S42">
    <cfRule type="cellIs" dxfId="585" priority="17" stopIfTrue="1" operator="lessThan">
      <formula>0</formula>
    </cfRule>
    <cfRule type="cellIs" dxfId="584" priority="18" operator="equal">
      <formula>MIN($E$21:$E$30)</formula>
    </cfRule>
  </conditionalFormatting>
  <conditionalFormatting sqref="T33:T42">
    <cfRule type="cellIs" dxfId="583" priority="16" operator="equal">
      <formula>MAX($T$21:$T$30)</formula>
    </cfRule>
  </conditionalFormatting>
  <conditionalFormatting sqref="S45:S54">
    <cfRule type="cellIs" dxfId="582" priority="14" stopIfTrue="1" operator="lessThan">
      <formula>0</formula>
    </cfRule>
    <cfRule type="cellIs" dxfId="581" priority="15" operator="equal">
      <formula>MIN($E$21:$E$30)</formula>
    </cfRule>
  </conditionalFormatting>
  <conditionalFormatting sqref="T45:T54">
    <cfRule type="cellIs" dxfId="580" priority="13" operator="equal">
      <formula>MAX($T$21:$T$30)</formula>
    </cfRule>
  </conditionalFormatting>
  <conditionalFormatting sqref="S21:S30">
    <cfRule type="cellIs" dxfId="579" priority="11" stopIfTrue="1" operator="lessThan">
      <formula>0</formula>
    </cfRule>
    <cfRule type="cellIs" dxfId="578" priority="12" operator="equal">
      <formula>MIN($E$21:$E$30)</formula>
    </cfRule>
  </conditionalFormatting>
  <conditionalFormatting sqref="U7:U16">
    <cfRule type="cellIs" dxfId="577" priority="7" operator="lessThanOrEqual">
      <formula>0</formula>
    </cfRule>
    <cfRule type="cellIs" dxfId="576" priority="8" operator="greaterThan">
      <formula>0</formula>
    </cfRule>
  </conditionalFormatting>
  <conditionalFormatting sqref="S7:T16">
    <cfRule type="cellIs" dxfId="575" priority="1" operator="lessThanOrEqual">
      <formula>0</formula>
    </cfRule>
    <cfRule type="cellIs" dxfId="57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0.99999999999999989</v>
      </c>
    </row>
    <row r="2" spans="1:23" x14ac:dyDescent="0.2">
      <c r="A2" t="s">
        <v>40</v>
      </c>
      <c r="B2" s="149" t="s">
        <v>125</v>
      </c>
      <c r="C2" s="155">
        <f>Analysis!B30</f>
        <v>0.4880176677522694</v>
      </c>
      <c r="D2" s="149" t="s">
        <v>126</v>
      </c>
      <c r="E2" s="155">
        <f>Analysis!K30</f>
        <v>0.51198233224773049</v>
      </c>
      <c r="F2" s="149" t="s">
        <v>47</v>
      </c>
      <c r="G2" s="155">
        <f>Analysis!S30</f>
        <v>8.6934902122677666</v>
      </c>
      <c r="H2" t="s">
        <v>155</v>
      </c>
      <c r="I2" s="169">
        <f>Analysis!T30</f>
        <v>-9.2023940902038088</v>
      </c>
      <c r="J2" t="s">
        <v>48</v>
      </c>
      <c r="K2" s="169">
        <f>C2*G2+E2*I2</f>
        <v>-0.46888637054718174</v>
      </c>
      <c r="L2" t="s">
        <v>47</v>
      </c>
      <c r="M2" s="176">
        <v>2</v>
      </c>
      <c r="N2" t="s">
        <v>155</v>
      </c>
      <c r="O2" s="176">
        <v>7</v>
      </c>
    </row>
    <row r="4" spans="1:23" x14ac:dyDescent="0.2">
      <c r="A4" t="s">
        <v>123</v>
      </c>
      <c r="B4">
        <f>$C$2</f>
        <v>0.4880176677522694</v>
      </c>
      <c r="C4" t="s">
        <v>124</v>
      </c>
      <c r="D4">
        <f>$E$2</f>
        <v>0.51198233224773049</v>
      </c>
      <c r="E4" t="s">
        <v>47</v>
      </c>
      <c r="F4">
        <f>G2</f>
        <v>8.6934902122677666</v>
      </c>
      <c r="G4" t="s">
        <v>155</v>
      </c>
      <c r="H4">
        <f>I2</f>
        <v>-9.2023940902038088</v>
      </c>
      <c r="I4" t="s">
        <v>48</v>
      </c>
      <c r="J4">
        <f>K2</f>
        <v>-0.46888637054718174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263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0.4880176677522694</v>
      </c>
      <c r="C7" s="95">
        <v>1</v>
      </c>
      <c r="D7" s="22">
        <f>C7*D4</f>
        <v>0.51198233224773049</v>
      </c>
      <c r="E7" s="2"/>
      <c r="F7" s="2"/>
      <c r="G7" s="2"/>
      <c r="H7" s="2"/>
      <c r="I7" s="2"/>
      <c r="J7" s="2"/>
      <c r="K7" s="2"/>
      <c r="L7" s="2"/>
      <c r="M7" s="256"/>
      <c r="N7" s="96">
        <f>B7+D7</f>
        <v>0.99999999999999989</v>
      </c>
      <c r="R7" s="296">
        <f>B7-D7</f>
        <v>-2.3964664495461085E-2</v>
      </c>
      <c r="S7" s="297">
        <f>SUM(C7)*B4*F4*POWER(O2,A7-1)</f>
        <v>4.2425768180180965</v>
      </c>
      <c r="T7" s="276">
        <f>SUM(C7)*D4*H4*POWER(O2,A7-1)</f>
        <v>-4.7114631885652782</v>
      </c>
      <c r="U7" s="294">
        <f>S7+T7</f>
        <v>-0.46888637054718174</v>
      </c>
      <c r="V7" s="109">
        <f>(U7+W7*D7)/B7</f>
        <v>8.830819978104848E-2</v>
      </c>
      <c r="W7" s="57">
        <f>COUNT(D7:M7)</f>
        <v>1</v>
      </c>
    </row>
    <row r="8" spans="1:23" x14ac:dyDescent="0.2">
      <c r="A8" s="99">
        <v>2</v>
      </c>
      <c r="B8" s="97">
        <f>C8*B4</f>
        <v>0.65056568259693492</v>
      </c>
      <c r="C8" s="97">
        <f>1/(1-B4*D4)</f>
        <v>1.3330781354563155</v>
      </c>
      <c r="D8" s="144">
        <f>C8*D4</f>
        <v>0.68251245285938034</v>
      </c>
      <c r="E8" s="1">
        <f>D8*D4</f>
        <v>0.34943431740306474</v>
      </c>
      <c r="F8" s="1"/>
      <c r="G8" s="1"/>
      <c r="H8" s="1"/>
      <c r="I8" s="1"/>
      <c r="J8" s="1"/>
      <c r="K8" s="1"/>
      <c r="L8" s="1"/>
      <c r="M8" s="257"/>
      <c r="N8" s="97">
        <f>B8+E8</f>
        <v>0.99999999999999967</v>
      </c>
      <c r="R8" s="298">
        <f>B8-E8</f>
        <v>0.30113136519387018</v>
      </c>
      <c r="S8" s="299">
        <f>SUM(C8:D8)*B4*F4*POWER(O2,A8-1)</f>
        <v>59.859085332225391</v>
      </c>
      <c r="T8" s="277">
        <f>SUM(C8:D8)*D4*H4*POWER(O2,A8-1)</f>
        <v>-66.474666020476235</v>
      </c>
      <c r="U8" s="295">
        <f>S8+T8+U7</f>
        <v>-7.0844670587980261</v>
      </c>
      <c r="V8" s="93">
        <f>(U8+W8*E8)/B8</f>
        <v>-9.8154553718569932</v>
      </c>
      <c r="W8" s="9">
        <f>COUNT(D8:M8)</f>
        <v>2</v>
      </c>
    </row>
    <row r="9" spans="1:23" x14ac:dyDescent="0.2">
      <c r="A9" s="99">
        <v>3</v>
      </c>
      <c r="B9" s="97">
        <f>C9*B4</f>
        <v>0.73174639143998765</v>
      </c>
      <c r="C9" s="97">
        <f>1/(1-D4*B4/(1-D4*B4))</f>
        <v>1.4994260244927062</v>
      </c>
      <c r="D9" s="144">
        <f>C9*D4*C8</f>
        <v>1.0233769338577063</v>
      </c>
      <c r="E9" s="1">
        <f>D9*(D4)</f>
        <v>0.52395090936499988</v>
      </c>
      <c r="F9" s="1">
        <f>E9*D4</f>
        <v>0.2682536085600119</v>
      </c>
      <c r="G9" s="1"/>
      <c r="H9" s="1"/>
      <c r="I9" s="1"/>
      <c r="J9" s="1"/>
      <c r="K9" s="1"/>
      <c r="L9" s="1"/>
      <c r="M9" s="257"/>
      <c r="N9" s="97">
        <f>B9+F9</f>
        <v>0.99999999999999956</v>
      </c>
      <c r="R9" s="298">
        <f>B9-F9</f>
        <v>0.46349278287997575</v>
      </c>
      <c r="S9" s="299">
        <f>SUM(C9:E9)*B4*F4*POWER(O2,A9-1)</f>
        <v>633.37827913944295</v>
      </c>
      <c r="T9" s="277">
        <f>SUM(C9:E9)*D4*H4*POWER(O2,A9-1)</f>
        <v>-703.3787659256426</v>
      </c>
      <c r="U9" s="295">
        <f t="shared" ref="U9:U16" si="0">S9+T9+U8</f>
        <v>-77.084953844997671</v>
      </c>
      <c r="V9" s="93">
        <f>(U9+W9*F9)/B9</f>
        <v>-104.24403032477895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0.78038029777787432</v>
      </c>
      <c r="C10" s="97">
        <f>1/(1-D4*B4/(1-D4*B4/(1-D4*B4)))</f>
        <v>1.5990820606396896</v>
      </c>
      <c r="D10" s="144">
        <f>C10*D4*C9</f>
        <v>1.2275827295330617</v>
      </c>
      <c r="E10" s="1">
        <f>D10*D4*C8</f>
        <v>0.83784049982142328</v>
      </c>
      <c r="F10" s="1">
        <f>E10*D4</f>
        <v>0.42895953315017649</v>
      </c>
      <c r="G10" s="1">
        <f>F10*D4</f>
        <v>0.21961970222212501</v>
      </c>
      <c r="H10" s="1"/>
      <c r="I10" s="1"/>
      <c r="J10" s="1"/>
      <c r="K10" s="1"/>
      <c r="L10" s="1"/>
      <c r="M10" s="257"/>
      <c r="N10" s="97">
        <f>B10+G10</f>
        <v>0.99999999999999933</v>
      </c>
      <c r="R10" s="298">
        <f>B10-G10</f>
        <v>0.56076059555574931</v>
      </c>
      <c r="S10" s="299">
        <f>SUM(C10:F10)*B4*F4*POWER(O2,A10-1)</f>
        <v>5956.8257646673565</v>
      </c>
      <c r="T10" s="277">
        <f>SUM(C10:F10)*D4*H4*POWER(O2,A10-1)</f>
        <v>-6615.1696279804992</v>
      </c>
      <c r="U10" s="295">
        <f t="shared" si="0"/>
        <v>-735.42881715814042</v>
      </c>
      <c r="V10" s="93">
        <f>(U10+W10*G10)/B10</f>
        <v>-941.27227512134425</v>
      </c>
      <c r="W10" s="9">
        <f t="shared" si="1"/>
        <v>4</v>
      </c>
    </row>
    <row r="11" spans="1:23" x14ac:dyDescent="0.2">
      <c r="A11" s="99">
        <v>5</v>
      </c>
      <c r="B11" s="97">
        <f>C11*B4</f>
        <v>0.81274093104204681</v>
      </c>
      <c r="C11" s="97">
        <f>1/(1-D4*B4/(1-D4*B4/(1-D4*B4/(1-D4*B4))))</f>
        <v>1.6653924329940766</v>
      </c>
      <c r="D11" s="144">
        <f>C11*D4*C10</f>
        <v>1.3634597207489778</v>
      </c>
      <c r="E11" s="1">
        <f>D11*D4*C9</f>
        <v>1.0467002581067373</v>
      </c>
      <c r="F11" s="1">
        <f>E11*D4*C8</f>
        <v>0.71438596056897574</v>
      </c>
      <c r="G11" s="1">
        <f>F11*D4</f>
        <v>0.36575299021713942</v>
      </c>
      <c r="H11" s="1">
        <f>G11*D4</f>
        <v>0.18725906895795238</v>
      </c>
      <c r="I11" s="1"/>
      <c r="J11" s="1"/>
      <c r="K11" s="1"/>
      <c r="L11" s="1"/>
      <c r="M11" s="257"/>
      <c r="N11" s="97">
        <f>B11+H11</f>
        <v>0.99999999999999922</v>
      </c>
      <c r="R11" s="298">
        <f>B11-H11</f>
        <v>0.6254818620840944</v>
      </c>
      <c r="S11" s="299">
        <f>SUM(C11:G11)*B4*F4*POWER(O2,A11-1)</f>
        <v>52518.073390996527</v>
      </c>
      <c r="T11" s="277">
        <f>SUM(C11:G11)*D4*H4*POWER(O2,A11-1)</f>
        <v>-58322.331010057933</v>
      </c>
      <c r="U11" s="295">
        <f t="shared" si="0"/>
        <v>-6539.6864362195456</v>
      </c>
      <c r="V11" s="93">
        <f>(U11+W11*H11)/B11</f>
        <v>-8045.3068021210274</v>
      </c>
      <c r="W11" s="9">
        <f t="shared" si="1"/>
        <v>5</v>
      </c>
    </row>
    <row r="12" spans="1:23" x14ac:dyDescent="0.2">
      <c r="A12" s="99">
        <v>6</v>
      </c>
      <c r="B12" s="97">
        <f>C12*B4</f>
        <v>0.83580268503750799</v>
      </c>
      <c r="C12" s="97">
        <f>1/(1-D4*B4/(1-D4*B4/(1-D4*B4/(1-D4*B4/(1-D4*B4)))))</f>
        <v>1.7126484147327703</v>
      </c>
      <c r="D12" s="144">
        <f>C12*D4*C11</f>
        <v>1.460292243137659</v>
      </c>
      <c r="E12" s="1">
        <f>D12*D4*C10</f>
        <v>1.1955438337502358</v>
      </c>
      <c r="F12" s="1">
        <f>E12*D4*C9</f>
        <v>0.91779465159182116</v>
      </c>
      <c r="G12" s="1">
        <f>F12*D4*C8</f>
        <v>0.62640627887915423</v>
      </c>
      <c r="H12" s="1">
        <f>G12*D4</f>
        <v>0.32070894759517166</v>
      </c>
      <c r="I12" s="1">
        <f>H12*D4</f>
        <v>0.16419731496249115</v>
      </c>
      <c r="J12" s="1"/>
      <c r="K12" s="1"/>
      <c r="L12" s="1"/>
      <c r="M12" s="257"/>
      <c r="N12" s="97">
        <f>B12+I12</f>
        <v>0.99999999999999911</v>
      </c>
      <c r="R12" s="298">
        <f>B12-I12</f>
        <v>0.67160537007501686</v>
      </c>
      <c r="S12" s="299">
        <f>SUM(C12:H12)*B4*F4*POWER(O2,A12-1)</f>
        <v>444472.11434783571</v>
      </c>
      <c r="T12" s="277">
        <f>SUM(C12:H12)*D4*H4*POWER(O2,A12-1)</f>
        <v>-493594.83514829131</v>
      </c>
      <c r="U12" s="295">
        <f t="shared" si="0"/>
        <v>-55662.40723667515</v>
      </c>
      <c r="V12" s="93">
        <f>(U12+W12*I12)/B12</f>
        <v>-66596.36664159254</v>
      </c>
      <c r="W12" s="9">
        <f t="shared" si="1"/>
        <v>6</v>
      </c>
    </row>
    <row r="13" spans="1:23" x14ac:dyDescent="0.2">
      <c r="A13" s="99">
        <v>7</v>
      </c>
      <c r="B13" s="97">
        <f>C13*B4</f>
        <v>0.85305277751860797</v>
      </c>
      <c r="C13" s="97">
        <f>1/(1-D4*B4/(1-D4*B4/(1-D4*B4/(1-D4*B4/(1-D4*B4/(1-D4*B4))))))</f>
        <v>1.7479956851718736</v>
      </c>
      <c r="D13" s="144">
        <f>C13*D4*C12</f>
        <v>1.5327225520687013</v>
      </c>
      <c r="E13" s="1">
        <f>D13*D4*C11</f>
        <v>1.3068781860971259</v>
      </c>
      <c r="F13" s="1">
        <f>E13*D4*C10</f>
        <v>1.069943474803368</v>
      </c>
      <c r="G13" s="1">
        <f>F13*D4*C9</f>
        <v>0.82137381412420007</v>
      </c>
      <c r="H13" s="1">
        <f>G13*D4*C8</f>
        <v>0.5605978565923726</v>
      </c>
      <c r="I13" s="1">
        <f>H13*D4</f>
        <v>0.28701619807124168</v>
      </c>
      <c r="J13" s="1">
        <f>I13*D4</f>
        <v>0.14694722248139089</v>
      </c>
      <c r="K13" s="1"/>
      <c r="L13" s="1"/>
      <c r="M13" s="257"/>
      <c r="N13" s="97">
        <f>B13+J13</f>
        <v>0.99999999999999889</v>
      </c>
      <c r="R13" s="298">
        <f>B13-J13</f>
        <v>0.70610555503721706</v>
      </c>
      <c r="S13" s="299">
        <f>SUM(C13:I13)*B4*F4*POWER(O2,A13-1)</f>
        <v>3656925.8512854795</v>
      </c>
      <c r="T13" s="277">
        <f>SUM(C13:I13)*D4*H4*POWER(O2,A13-1)</f>
        <v>-4061086.5213969084</v>
      </c>
      <c r="U13" s="295">
        <f t="shared" si="0"/>
        <v>-459823.0773481041</v>
      </c>
      <c r="V13" s="93">
        <f>(U13+W13*J13)/B13</f>
        <v>-539031.18404361152</v>
      </c>
      <c r="W13" s="9">
        <f t="shared" si="1"/>
        <v>7</v>
      </c>
    </row>
    <row r="14" spans="1:23" x14ac:dyDescent="0.2">
      <c r="A14" s="99">
        <v>8</v>
      </c>
      <c r="B14" s="97">
        <f>C14*B4</f>
        <v>0.86642857001810358</v>
      </c>
      <c r="C14" s="97">
        <f>1/(1-D4*B4/(1-D4*B4/(1-D4*B4/(1-D4*B4/(1-D4*B4/(1-D4*B4/(1-D4*B4)))))))</f>
        <v>1.7754041037258625</v>
      </c>
      <c r="D14" s="144">
        <f>C14*D4*C13</f>
        <v>1.5888853108479633</v>
      </c>
      <c r="E14" s="1">
        <f>D14*D4*C12</f>
        <v>1.3932072997925657</v>
      </c>
      <c r="F14" s="1">
        <f>E14*D4*C11</f>
        <v>1.1879202966986628</v>
      </c>
      <c r="G14" s="1">
        <f>F14*D4*C10</f>
        <v>0.97255244104652561</v>
      </c>
      <c r="H14" s="1">
        <f>G14*D4*C9</f>
        <v>0.74660870106712229</v>
      </c>
      <c r="I14" s="1">
        <f>H14*D4*C8</f>
        <v>0.50956973589147747</v>
      </c>
      <c r="J14" s="1">
        <f>I14*D4</f>
        <v>0.26089070182457869</v>
      </c>
      <c r="K14" s="1">
        <f>J14*D4</f>
        <v>0.13357142998189503</v>
      </c>
      <c r="L14" s="1"/>
      <c r="M14" s="257"/>
      <c r="N14" s="97">
        <f>B14+K14</f>
        <v>0.99999999999999867</v>
      </c>
      <c r="R14" s="298">
        <f>B14-K14</f>
        <v>0.7328571400362085</v>
      </c>
      <c r="S14" s="299">
        <f>SUM(C14:J14)*B4*F4*POWER(O2,A14-1)</f>
        <v>29471556.189562686</v>
      </c>
      <c r="T14" s="277">
        <f>SUM(C14:J14)*D4*H4*POWER(O2,A14-1)</f>
        <v>-32728730.215832122</v>
      </c>
      <c r="U14" s="295">
        <f t="shared" si="0"/>
        <v>-3716997.1036175401</v>
      </c>
      <c r="V14" s="93">
        <f>(U14+W14*K14)/B14</f>
        <v>-4290020.1628490109</v>
      </c>
      <c r="W14" s="9">
        <f t="shared" si="1"/>
        <v>8</v>
      </c>
    </row>
    <row r="15" spans="1:23" x14ac:dyDescent="0.2">
      <c r="A15" s="99">
        <v>9</v>
      </c>
      <c r="B15" s="97">
        <f>C15*B4</f>
        <v>0.87709249575276227</v>
      </c>
      <c r="C15" s="97">
        <f>1/(1-D4*B4/(1-D4*B4/(1-D4*B4/(1-D4*B4/(1-D4*B4/(1-D4*B4/(1-D4*B4/(1-D4*B4))))))))</f>
        <v>1.797255619437937</v>
      </c>
      <c r="D15" s="144">
        <f>C15*D4*C14</f>
        <v>1.6336613858878672</v>
      </c>
      <c r="E15" s="1">
        <f>D15*D4*C13</f>
        <v>1.4620336708073514</v>
      </c>
      <c r="F15" s="1">
        <f>E15*D4*C12</f>
        <v>1.2819779809181147</v>
      </c>
      <c r="G15" s="1">
        <f>F15*D4*C11</f>
        <v>1.0930804508992606</v>
      </c>
      <c r="H15" s="1">
        <f>G15*D4*C10</f>
        <v>0.89490689210101226</v>
      </c>
      <c r="I15" s="1">
        <f>H15*D4*C9</f>
        <v>0.68700179454445376</v>
      </c>
      <c r="J15" s="1">
        <f>I15*D4*C8</f>
        <v>0.46888727991333123</v>
      </c>
      <c r="K15" s="1">
        <f>J15*D4</f>
        <v>0.24006200313132176</v>
      </c>
      <c r="L15" s="1">
        <f>K15*D4</f>
        <v>0.12290750424723609</v>
      </c>
      <c r="M15" s="257"/>
      <c r="N15" s="97">
        <f>B15+L15</f>
        <v>0.99999999999999833</v>
      </c>
      <c r="R15" s="298">
        <f>B15-L15</f>
        <v>0.7541849915055262</v>
      </c>
      <c r="S15" s="299">
        <f>SUM(C15:K15)*B4*F4*POWER(O2,A15-1)</f>
        <v>233787053.37986451</v>
      </c>
      <c r="T15" s="277">
        <f>SUM(C15:K15)*D4*H4*POWER(O2,A15-1)</f>
        <v>-259625021.11557031</v>
      </c>
      <c r="U15" s="295">
        <f t="shared" si="0"/>
        <v>-29554964.839323334</v>
      </c>
      <c r="V15" s="93">
        <f>(U15+W15*L15)/B15</f>
        <v>-33696518.755174533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0.88578429955739102</v>
      </c>
      <c r="C16" s="145">
        <f>1/(1-D4*B4/(1-D4*B4/(1-D4*B4/(1-D4*B4/(1-D4*B4/(1-D4*B4/(1-D4*B4/(1-D4*B4/(1-D4*B4)))))))))</f>
        <v>1.8150660479920133</v>
      </c>
      <c r="D16" s="153">
        <f>C16*D4*C15</f>
        <v>1.6701568444152359</v>
      </c>
      <c r="E16" s="111">
        <f>D16*D4*C14</f>
        <v>1.5181317090280051</v>
      </c>
      <c r="F16" s="111">
        <f>E16*D4*C13</f>
        <v>1.3586412058781441</v>
      </c>
      <c r="G16" s="111">
        <f>F16*D4*C12</f>
        <v>1.191318739562272</v>
      </c>
      <c r="H16" s="111">
        <f>G16*D4*C11</f>
        <v>1.0157797125913699</v>
      </c>
      <c r="I16" s="111">
        <f>H16*D4*C10</f>
        <v>0.83162064137782243</v>
      </c>
      <c r="J16" s="111">
        <f>I16*D4*C9</f>
        <v>0.63841822881199306</v>
      </c>
      <c r="K16" s="111">
        <f>J16*D4*C8</f>
        <v>0.4357283912966145</v>
      </c>
      <c r="L16" s="111">
        <f>K16*D4</f>
        <v>0.22308523800259242</v>
      </c>
      <c r="M16" s="259">
        <f>L16*D4</f>
        <v>0.1142157004426073</v>
      </c>
      <c r="N16" s="145">
        <f>B16+M16</f>
        <v>0.99999999999999833</v>
      </c>
      <c r="R16" s="300">
        <f>B16-M16</f>
        <v>0.7715685991147837</v>
      </c>
      <c r="S16" s="301">
        <f>SUM(C16:L16)*B4*F4*POWER(O2,A16-1)</f>
        <v>1831523548.5268698</v>
      </c>
      <c r="T16" s="278">
        <f>SUM(C16:L16)*D4*H4*POWER(O2,A16-1)</f>
        <v>-2033942141.3012567</v>
      </c>
      <c r="U16" s="295">
        <f t="shared" si="0"/>
        <v>-231973557.61371022</v>
      </c>
      <c r="V16" s="94">
        <f>(U16+W16*M16)/B16</f>
        <v>-261884926.82413295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7</v>
      </c>
      <c r="D21" s="57">
        <f>SUM($C$21:C21)</f>
        <v>7</v>
      </c>
      <c r="E21" s="57">
        <f t="shared" ref="E21:E30" si="3">D21/R7</f>
        <v>-292.09672438042276</v>
      </c>
      <c r="F21" s="8">
        <f t="shared" ref="F21:F30" si="4">U7/E21</f>
        <v>1.6052435080939509E-3</v>
      </c>
      <c r="G21" s="281">
        <f>E21*U7</f>
        <v>136.96017294345691</v>
      </c>
      <c r="O21" s="101">
        <v>1</v>
      </c>
      <c r="P21" s="109">
        <v>1</v>
      </c>
      <c r="Q21" s="110">
        <f>P21*7+21</f>
        <v>28</v>
      </c>
      <c r="R21" s="57">
        <f>SUM($Q$21)</f>
        <v>28</v>
      </c>
      <c r="S21" s="276">
        <f>R21/R7</f>
        <v>-1168.386897521691</v>
      </c>
      <c r="T21" s="8">
        <f>U7/S21</f>
        <v>4.0131087702348773E-4</v>
      </c>
      <c r="U21" s="281">
        <f>S21*U7</f>
        <v>547.84069177382764</v>
      </c>
    </row>
    <row r="22" spans="1:21" x14ac:dyDescent="0.2">
      <c r="A22" s="97">
        <v>2</v>
      </c>
      <c r="B22" s="93">
        <f>C21</f>
        <v>7</v>
      </c>
      <c r="C22" s="1">
        <f t="shared" si="2"/>
        <v>49</v>
      </c>
      <c r="D22" s="9">
        <f>SUM($C$21:C22)</f>
        <v>56</v>
      </c>
      <c r="E22" s="9">
        <f t="shared" si="3"/>
        <v>185.96535091569376</v>
      </c>
      <c r="F22" s="9">
        <f t="shared" si="4"/>
        <v>-3.8095629233693785E-2</v>
      </c>
      <c r="G22" s="282">
        <f t="shared" ref="G22:G30" si="5">E22*U8</f>
        <v>-1317.4654026400478</v>
      </c>
      <c r="O22" s="99">
        <v>2</v>
      </c>
      <c r="P22" s="93">
        <f>Q21</f>
        <v>28</v>
      </c>
      <c r="Q22" s="1">
        <f t="shared" ref="Q22:Q30" si="6">P22*7+21</f>
        <v>217</v>
      </c>
      <c r="R22" s="9">
        <f>SUM($Q$21:Q22)</f>
        <v>245</v>
      </c>
      <c r="S22" s="277">
        <f t="shared" ref="S22:S30" si="7">R22/R8</f>
        <v>813.59841025616026</v>
      </c>
      <c r="T22" s="9">
        <f>U8/S22</f>
        <v>-8.7075723962728637E-3</v>
      </c>
      <c r="U22" s="282">
        <f t="shared" ref="U22:U30" si="8">S22*U8</f>
        <v>-5763.9111365502094</v>
      </c>
    </row>
    <row r="23" spans="1:21" x14ac:dyDescent="0.2">
      <c r="A23" s="97">
        <v>3</v>
      </c>
      <c r="B23" s="93">
        <f t="shared" ref="B23:B30" si="9">C22</f>
        <v>49</v>
      </c>
      <c r="C23" s="1">
        <f t="shared" si="2"/>
        <v>343</v>
      </c>
      <c r="D23" s="9">
        <f>SUM($C$21:C23)</f>
        <v>399</v>
      </c>
      <c r="E23" s="9">
        <f t="shared" si="3"/>
        <v>860.85482824729002</v>
      </c>
      <c r="F23" s="9">
        <f t="shared" si="4"/>
        <v>-8.9544661092211666E-2</v>
      </c>
      <c r="G23" s="282">
        <f t="shared" si="5"/>
        <v>-66358.954702685747</v>
      </c>
      <c r="O23" s="99">
        <v>3</v>
      </c>
      <c r="P23" s="93">
        <f t="shared" ref="P23:P30" si="10">Q22</f>
        <v>217</v>
      </c>
      <c r="Q23" s="1">
        <f t="shared" si="6"/>
        <v>1540</v>
      </c>
      <c r="R23" s="9">
        <f>SUM($Q$21:Q23)</f>
        <v>1785</v>
      </c>
      <c r="S23" s="277">
        <f t="shared" si="7"/>
        <v>3851.1926526852449</v>
      </c>
      <c r="T23" s="9">
        <f t="shared" ref="T23:T30" si="11">U9/S23</f>
        <v>-2.0015865420612022E-2</v>
      </c>
      <c r="U23" s="282">
        <f t="shared" si="8"/>
        <v>-296869.00788043626</v>
      </c>
    </row>
    <row r="24" spans="1:21" x14ac:dyDescent="0.2">
      <c r="A24" s="97">
        <v>4</v>
      </c>
      <c r="B24" s="93">
        <f t="shared" si="9"/>
        <v>343</v>
      </c>
      <c r="C24" s="1">
        <f t="shared" si="2"/>
        <v>2401</v>
      </c>
      <c r="D24" s="9">
        <f>SUM($C$21:C24)</f>
        <v>2800</v>
      </c>
      <c r="E24" s="9">
        <f t="shared" si="3"/>
        <v>4993.2181793640875</v>
      </c>
      <c r="F24" s="9">
        <f t="shared" si="4"/>
        <v>-0.14728553624944968</v>
      </c>
      <c r="G24" s="282">
        <f t="shared" si="5"/>
        <v>-3672156.5394622544</v>
      </c>
      <c r="O24" s="99">
        <v>4</v>
      </c>
      <c r="P24" s="93">
        <f t="shared" si="10"/>
        <v>1540</v>
      </c>
      <c r="Q24" s="1">
        <f t="shared" si="6"/>
        <v>10801</v>
      </c>
      <c r="R24" s="9">
        <f>SUM($Q$21:Q24)</f>
        <v>12586</v>
      </c>
      <c r="S24" s="277">
        <f t="shared" si="7"/>
        <v>22444.515716241574</v>
      </c>
      <c r="T24" s="9">
        <f t="shared" si="11"/>
        <v>-3.2766526418120057E-2</v>
      </c>
      <c r="U24" s="282">
        <f t="shared" si="8"/>
        <v>-16506343.644882834</v>
      </c>
    </row>
    <row r="25" spans="1:21" x14ac:dyDescent="0.2">
      <c r="A25" s="97">
        <v>5</v>
      </c>
      <c r="B25" s="93">
        <f t="shared" si="9"/>
        <v>2401</v>
      </c>
      <c r="C25" s="1">
        <f t="shared" si="2"/>
        <v>16807</v>
      </c>
      <c r="D25" s="9">
        <f>SUM($C$21:C25)</f>
        <v>19607</v>
      </c>
      <c r="E25" s="9">
        <f t="shared" si="3"/>
        <v>31347.03208606214</v>
      </c>
      <c r="F25" s="9">
        <f t="shared" si="4"/>
        <v>-0.20862218848231226</v>
      </c>
      <c r="G25" s="282">
        <f t="shared" si="5"/>
        <v>-204999760.54895946</v>
      </c>
      <c r="O25" s="99">
        <v>5</v>
      </c>
      <c r="P25" s="93">
        <f t="shared" si="10"/>
        <v>10801</v>
      </c>
      <c r="Q25" s="1">
        <f t="shared" si="6"/>
        <v>75628</v>
      </c>
      <c r="R25" s="9">
        <f>SUM($Q$21:Q25)</f>
        <v>88214</v>
      </c>
      <c r="S25" s="277">
        <f t="shared" si="7"/>
        <v>141033.66595807034</v>
      </c>
      <c r="T25" s="9">
        <f t="shared" si="11"/>
        <v>-4.6369683378745967E-2</v>
      </c>
      <c r="U25" s="282">
        <f t="shared" si="8"/>
        <v>-922315952.31631088</v>
      </c>
    </row>
    <row r="26" spans="1:21" x14ac:dyDescent="0.2">
      <c r="A26" s="97">
        <v>6</v>
      </c>
      <c r="B26" s="93">
        <f t="shared" si="9"/>
        <v>16807</v>
      </c>
      <c r="C26" s="1">
        <f t="shared" si="2"/>
        <v>117649</v>
      </c>
      <c r="D26" s="9">
        <f>SUM($C$21:C26)</f>
        <v>137256</v>
      </c>
      <c r="E26" s="9">
        <f t="shared" si="3"/>
        <v>204370.01566063834</v>
      </c>
      <c r="F26" s="9">
        <f t="shared" si="4"/>
        <v>-0.27236092856744704</v>
      </c>
      <c r="G26" s="282">
        <f t="shared" si="5"/>
        <v>-11375727038.668129</v>
      </c>
      <c r="O26" s="99">
        <v>6</v>
      </c>
      <c r="P26" s="93">
        <f t="shared" si="10"/>
        <v>75628</v>
      </c>
      <c r="Q26" s="1">
        <f t="shared" si="6"/>
        <v>529417</v>
      </c>
      <c r="R26" s="9">
        <f>SUM($Q$21:Q26)</f>
        <v>617631</v>
      </c>
      <c r="S26" s="277">
        <f t="shared" si="7"/>
        <v>919633.80211062334</v>
      </c>
      <c r="T26" s="9">
        <f t="shared" si="11"/>
        <v>-6.0526708684398141E-2</v>
      </c>
      <c r="U26" s="282">
        <f t="shared" si="8"/>
        <v>-51189031201.693443</v>
      </c>
    </row>
    <row r="27" spans="1:21" x14ac:dyDescent="0.2">
      <c r="A27" s="97">
        <v>7</v>
      </c>
      <c r="B27" s="93">
        <f t="shared" si="9"/>
        <v>117649</v>
      </c>
      <c r="C27" s="1">
        <f t="shared" si="2"/>
        <v>823543</v>
      </c>
      <c r="D27" s="9">
        <f>SUM($C$21:C27)</f>
        <v>960799</v>
      </c>
      <c r="E27" s="9">
        <f t="shared" si="3"/>
        <v>1360701.6587617111</v>
      </c>
      <c r="F27" s="9">
        <f t="shared" si="4"/>
        <v>-0.33793085676588364</v>
      </c>
      <c r="G27" s="282">
        <f t="shared" si="5"/>
        <v>-625682024084.47986</v>
      </c>
      <c r="O27" s="99">
        <v>7</v>
      </c>
      <c r="P27" s="93">
        <f t="shared" si="10"/>
        <v>529417</v>
      </c>
      <c r="Q27" s="1">
        <f t="shared" si="6"/>
        <v>3705940</v>
      </c>
      <c r="R27" s="9">
        <f>SUM($Q$21:Q27)</f>
        <v>4323571</v>
      </c>
      <c r="S27" s="277">
        <f t="shared" si="7"/>
        <v>6123122.7670657756</v>
      </c>
      <c r="T27" s="9">
        <f t="shared" si="11"/>
        <v>-7.5096171486441238E-2</v>
      </c>
      <c r="U27" s="282">
        <f t="shared" si="8"/>
        <v>-2815553153732.4233</v>
      </c>
    </row>
    <row r="28" spans="1:21" x14ac:dyDescent="0.2">
      <c r="A28" s="97">
        <v>8</v>
      </c>
      <c r="B28" s="93">
        <f t="shared" si="9"/>
        <v>823543</v>
      </c>
      <c r="C28" s="1">
        <f t="shared" si="2"/>
        <v>5764801</v>
      </c>
      <c r="D28" s="9">
        <f>SUM($C$21:C28)</f>
        <v>6725600</v>
      </c>
      <c r="E28" s="9">
        <f t="shared" si="3"/>
        <v>9177232.0041361768</v>
      </c>
      <c r="F28" s="9">
        <f t="shared" si="4"/>
        <v>-0.40502376990603378</v>
      </c>
      <c r="G28" s="282">
        <f t="shared" si="5"/>
        <v>-34111744778600.363</v>
      </c>
      <c r="O28" s="99">
        <v>8</v>
      </c>
      <c r="P28" s="93">
        <f t="shared" si="10"/>
        <v>3705940</v>
      </c>
      <c r="Q28" s="1">
        <f t="shared" si="6"/>
        <v>25941601</v>
      </c>
      <c r="R28" s="9">
        <f>SUM($Q$21:Q28)</f>
        <v>30265172</v>
      </c>
      <c r="S28" s="277">
        <f t="shared" si="7"/>
        <v>41297505.811984964</v>
      </c>
      <c r="T28" s="9">
        <f t="shared" si="11"/>
        <v>-9.0005365470251453E-2</v>
      </c>
      <c r="U28" s="282">
        <f t="shared" si="8"/>
        <v>-153502709489776.62</v>
      </c>
    </row>
    <row r="29" spans="1:21" x14ac:dyDescent="0.2">
      <c r="A29" s="97">
        <v>9</v>
      </c>
      <c r="B29" s="93">
        <f t="shared" si="9"/>
        <v>5764801</v>
      </c>
      <c r="C29" s="1">
        <f t="shared" si="2"/>
        <v>40353607</v>
      </c>
      <c r="D29" s="9">
        <f>SUM($C$21:C29)</f>
        <v>47079207</v>
      </c>
      <c r="E29" s="9">
        <f t="shared" si="3"/>
        <v>62423951.060096152</v>
      </c>
      <c r="F29" s="9">
        <f t="shared" si="4"/>
        <v>-0.47345553008764985</v>
      </c>
      <c r="G29" s="282">
        <f t="shared" si="5"/>
        <v>-1844937678712782.2</v>
      </c>
      <c r="O29" s="99">
        <v>9</v>
      </c>
      <c r="P29" s="93">
        <f t="shared" si="10"/>
        <v>25941601</v>
      </c>
      <c r="Q29" s="1">
        <f t="shared" si="6"/>
        <v>181591228</v>
      </c>
      <c r="R29" s="9">
        <f>SUM($Q$21:Q29)</f>
        <v>211856400</v>
      </c>
      <c r="S29" s="277">
        <f t="shared" si="7"/>
        <v>280907738.00349176</v>
      </c>
      <c r="T29" s="9">
        <f t="shared" si="11"/>
        <v>-0.10521235566303964</v>
      </c>
      <c r="U29" s="282">
        <f t="shared" si="8"/>
        <v>-8302218319787050</v>
      </c>
    </row>
    <row r="30" spans="1:21" ht="17" thickBot="1" x14ac:dyDescent="0.25">
      <c r="A30" s="145">
        <v>10</v>
      </c>
      <c r="B30" s="94">
        <f t="shared" si="9"/>
        <v>40353607</v>
      </c>
      <c r="C30" s="111">
        <f t="shared" si="2"/>
        <v>282475249</v>
      </c>
      <c r="D30" s="10">
        <f>SUM($C$21:C30)</f>
        <v>329554456</v>
      </c>
      <c r="E30" s="10">
        <f t="shared" si="3"/>
        <v>427122690.55285037</v>
      </c>
      <c r="F30" s="10">
        <f t="shared" si="4"/>
        <v>-0.54310754905915448</v>
      </c>
      <c r="G30" s="283">
        <f t="shared" si="5"/>
        <v>-9.908117006508456E+16</v>
      </c>
      <c r="O30" s="100">
        <v>10</v>
      </c>
      <c r="P30" s="94">
        <f t="shared" si="10"/>
        <v>181591228</v>
      </c>
      <c r="Q30" s="111">
        <f t="shared" si="6"/>
        <v>1271138617</v>
      </c>
      <c r="R30" s="10">
        <f>SUM($Q$21:Q30)</f>
        <v>1482995017</v>
      </c>
      <c r="S30" s="278">
        <f t="shared" si="7"/>
        <v>1922052062.1256902</v>
      </c>
      <c r="T30" s="10">
        <f t="shared" si="11"/>
        <v>-0.12069056930599448</v>
      </c>
      <c r="U30" s="283">
        <f t="shared" si="8"/>
        <v>-4.4586525477006432E+17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7</v>
      </c>
      <c r="D33" s="57">
        <f>SUM($C$33:C33)</f>
        <v>7</v>
      </c>
      <c r="E33" s="9">
        <f t="shared" ref="E33:E42" si="13">D33/R7</f>
        <v>-292.09672438042276</v>
      </c>
      <c r="F33" s="8">
        <f t="shared" ref="F33:F42" si="14">U7/E33</f>
        <v>1.6052435080939509E-3</v>
      </c>
      <c r="G33" s="284">
        <f>E33*U7</f>
        <v>136.96017294345691</v>
      </c>
      <c r="O33" s="101">
        <v>1</v>
      </c>
      <c r="P33" s="109">
        <v>1</v>
      </c>
      <c r="Q33" s="110">
        <f>P33*7+21</f>
        <v>28</v>
      </c>
      <c r="R33" s="57">
        <f>SUM($Q$21)</f>
        <v>28</v>
      </c>
      <c r="S33" s="276">
        <f>R33/R7</f>
        <v>-1168.386897521691</v>
      </c>
      <c r="T33" s="8">
        <f>U7/S33</f>
        <v>4.0131087702348773E-4</v>
      </c>
      <c r="U33" s="284">
        <f>S33*U7</f>
        <v>547.84069177382764</v>
      </c>
    </row>
    <row r="34" spans="1:21" x14ac:dyDescent="0.2">
      <c r="A34" s="97">
        <v>2</v>
      </c>
      <c r="B34" s="93">
        <f t="shared" ref="B34:B42" si="15">B33*($O$2+1)</f>
        <v>8</v>
      </c>
      <c r="C34" s="1">
        <f t="shared" si="12"/>
        <v>56</v>
      </c>
      <c r="D34" s="9">
        <f>SUM($C$33:C34)</f>
        <v>63</v>
      </c>
      <c r="E34" s="9">
        <f t="shared" si="13"/>
        <v>209.21101978015548</v>
      </c>
      <c r="F34" s="9">
        <f t="shared" si="14"/>
        <v>-3.3862781541061142E-2</v>
      </c>
      <c r="G34" s="282">
        <f t="shared" ref="G34:G42" si="16">E34*U8</f>
        <v>-1482.1485779700538</v>
      </c>
      <c r="O34" s="99">
        <v>2</v>
      </c>
      <c r="P34" s="93">
        <f>Q33+1</f>
        <v>29</v>
      </c>
      <c r="Q34" s="1">
        <f t="shared" ref="Q34:Q42" si="17">P34*7+21</f>
        <v>224</v>
      </c>
      <c r="R34" s="9">
        <f>SUM($Q$33:Q34)</f>
        <v>252</v>
      </c>
      <c r="S34" s="277">
        <f>R34/R8</f>
        <v>836.84407912062193</v>
      </c>
      <c r="T34" s="9">
        <f t="shared" ref="T34:T42" si="18">U8/S34</f>
        <v>-8.4656953852652855E-3</v>
      </c>
      <c r="U34" s="282">
        <f t="shared" ref="U34:U42" si="19">S34*U8</f>
        <v>-5928.5943118802152</v>
      </c>
    </row>
    <row r="35" spans="1:21" x14ac:dyDescent="0.2">
      <c r="A35" s="97">
        <v>3</v>
      </c>
      <c r="B35" s="93">
        <f t="shared" si="15"/>
        <v>64</v>
      </c>
      <c r="C35" s="1">
        <f t="shared" si="12"/>
        <v>448</v>
      </c>
      <c r="D35" s="9">
        <f>SUM($C$33:C35)</f>
        <v>511</v>
      </c>
      <c r="E35" s="9">
        <f t="shared" si="13"/>
        <v>1102.4982888079328</v>
      </c>
      <c r="F35" s="9">
        <f t="shared" si="14"/>
        <v>-6.9918434003507751E-2</v>
      </c>
      <c r="G35" s="282">
        <f t="shared" si="16"/>
        <v>-84986.029706948408</v>
      </c>
      <c r="O35" s="99">
        <v>3</v>
      </c>
      <c r="P35" s="93">
        <f t="shared" ref="P35:P42" si="20">Q34+1</f>
        <v>225</v>
      </c>
      <c r="Q35" s="1">
        <f t="shared" si="17"/>
        <v>1596</v>
      </c>
      <c r="R35" s="9">
        <f>SUM($Q$33:Q35)</f>
        <v>1848</v>
      </c>
      <c r="S35" s="277">
        <f t="shared" ref="S35:S42" si="21">R35/R9</f>
        <v>3987.1170992506063</v>
      </c>
      <c r="T35" s="9">
        <f t="shared" si="18"/>
        <v>-1.9333506372182067E-2</v>
      </c>
      <c r="U35" s="282">
        <f t="shared" si="19"/>
        <v>-307346.73757033399</v>
      </c>
    </row>
    <row r="36" spans="1:21" x14ac:dyDescent="0.2">
      <c r="A36" s="97">
        <v>4</v>
      </c>
      <c r="B36" s="93">
        <f t="shared" si="15"/>
        <v>512</v>
      </c>
      <c r="C36" s="1">
        <f t="shared" si="12"/>
        <v>3584</v>
      </c>
      <c r="D36" s="9">
        <f>SUM($C$33:C36)</f>
        <v>4095</v>
      </c>
      <c r="E36" s="9">
        <f t="shared" si="13"/>
        <v>7302.5815873199781</v>
      </c>
      <c r="F36" s="9">
        <f t="shared" si="14"/>
        <v>-0.10070805897398268</v>
      </c>
      <c r="G36" s="282">
        <f t="shared" si="16"/>
        <v>-5370528.9389635473</v>
      </c>
      <c r="O36" s="99">
        <v>4</v>
      </c>
      <c r="P36" s="93">
        <f t="shared" si="20"/>
        <v>1597</v>
      </c>
      <c r="Q36" s="1">
        <f t="shared" si="17"/>
        <v>11200</v>
      </c>
      <c r="R36" s="9">
        <f>SUM($Q$33:Q36)</f>
        <v>13048</v>
      </c>
      <c r="S36" s="277">
        <f t="shared" si="21"/>
        <v>23268.396715836647</v>
      </c>
      <c r="T36" s="9">
        <f t="shared" si="18"/>
        <v>-3.1606338250954866E-2</v>
      </c>
      <c r="U36" s="282">
        <f t="shared" si="19"/>
        <v>-17112249.473894104</v>
      </c>
    </row>
    <row r="37" spans="1:21" x14ac:dyDescent="0.2">
      <c r="A37" s="97">
        <v>5</v>
      </c>
      <c r="B37" s="93">
        <f t="shared" si="15"/>
        <v>4096</v>
      </c>
      <c r="C37" s="1">
        <f t="shared" si="12"/>
        <v>28672</v>
      </c>
      <c r="D37" s="9">
        <f>SUM($C$33:C37)</f>
        <v>32767</v>
      </c>
      <c r="E37" s="9">
        <f t="shared" si="13"/>
        <v>52386.810851430513</v>
      </c>
      <c r="F37" s="9">
        <f t="shared" si="14"/>
        <v>-0.12483459729522681</v>
      </c>
      <c r="G37" s="282">
        <f t="shared" si="16"/>
        <v>-342593316.36189902</v>
      </c>
      <c r="O37" s="99">
        <v>5</v>
      </c>
      <c r="P37" s="93">
        <f t="shared" si="20"/>
        <v>11201</v>
      </c>
      <c r="Q37" s="1">
        <f t="shared" si="17"/>
        <v>78428</v>
      </c>
      <c r="R37" s="9">
        <f>SUM($Q$33:Q37)</f>
        <v>91476</v>
      </c>
      <c r="S37" s="277">
        <f t="shared" si="21"/>
        <v>146248.84516267761</v>
      </c>
      <c r="T37" s="9">
        <f t="shared" si="18"/>
        <v>-4.4716157785350222E-2</v>
      </c>
      <c r="U37" s="282">
        <f t="shared" si="19"/>
        <v>-956421589.0231353</v>
      </c>
    </row>
    <row r="38" spans="1:21" x14ac:dyDescent="0.2">
      <c r="A38" s="97">
        <v>6</v>
      </c>
      <c r="B38" s="93">
        <f t="shared" si="15"/>
        <v>32768</v>
      </c>
      <c r="C38" s="1">
        <f t="shared" si="12"/>
        <v>229376</v>
      </c>
      <c r="D38" s="9">
        <f>SUM($C$33:C38)</f>
        <v>262143</v>
      </c>
      <c r="E38" s="9">
        <f t="shared" si="13"/>
        <v>390322.96595650987</v>
      </c>
      <c r="F38" s="9">
        <f t="shared" si="14"/>
        <v>-0.14260602652542126</v>
      </c>
      <c r="G38" s="282">
        <f t="shared" si="16"/>
        <v>-21726315884.898144</v>
      </c>
      <c r="O38" s="99">
        <v>6</v>
      </c>
      <c r="P38" s="93">
        <f t="shared" si="20"/>
        <v>78429</v>
      </c>
      <c r="Q38" s="1">
        <f t="shared" si="17"/>
        <v>549024</v>
      </c>
      <c r="R38" s="9">
        <f>SUM($Q$33:Q38)</f>
        <v>640500</v>
      </c>
      <c r="S38" s="277">
        <f t="shared" si="21"/>
        <v>953685.04859997996</v>
      </c>
      <c r="T38" s="9">
        <f t="shared" si="18"/>
        <v>-5.8365607512027344E-2</v>
      </c>
      <c r="U38" s="282">
        <f t="shared" si="19"/>
        <v>-53084405550.700417</v>
      </c>
    </row>
    <row r="39" spans="1:21" x14ac:dyDescent="0.2">
      <c r="A39" s="97">
        <v>7</v>
      </c>
      <c r="B39" s="93">
        <f t="shared" si="15"/>
        <v>262144</v>
      </c>
      <c r="C39" s="1">
        <f t="shared" si="12"/>
        <v>1835008</v>
      </c>
      <c r="D39" s="9">
        <f>SUM($C$33:C39)</f>
        <v>2097151</v>
      </c>
      <c r="E39" s="9">
        <f t="shared" si="13"/>
        <v>2970024.7860101657</v>
      </c>
      <c r="F39" s="9">
        <f t="shared" si="14"/>
        <v>-0.15482129291109903</v>
      </c>
      <c r="G39" s="282">
        <f t="shared" si="16"/>
        <v>-1365685936903.3386</v>
      </c>
      <c r="O39" s="99">
        <v>7</v>
      </c>
      <c r="P39" s="93">
        <f t="shared" si="20"/>
        <v>549025</v>
      </c>
      <c r="Q39" s="1">
        <f t="shared" si="17"/>
        <v>3843196</v>
      </c>
      <c r="R39" s="9">
        <f>SUM($Q$33:Q39)</f>
        <v>4483696</v>
      </c>
      <c r="S39" s="277">
        <f t="shared" si="21"/>
        <v>6349894.811072086</v>
      </c>
      <c r="T39" s="9">
        <f t="shared" si="18"/>
        <v>-7.2414282602969574E-2</v>
      </c>
      <c r="U39" s="282">
        <f t="shared" si="19"/>
        <v>-2919828172863.9248</v>
      </c>
    </row>
    <row r="40" spans="1:21" x14ac:dyDescent="0.2">
      <c r="A40" s="97">
        <v>8</v>
      </c>
      <c r="B40" s="93">
        <f t="shared" si="15"/>
        <v>2097152</v>
      </c>
      <c r="C40" s="1">
        <f t="shared" si="12"/>
        <v>14680064</v>
      </c>
      <c r="D40" s="9">
        <f>SUM($C$33:C40)</f>
        <v>16777215</v>
      </c>
      <c r="E40" s="9">
        <f t="shared" si="13"/>
        <v>22892886.053032223</v>
      </c>
      <c r="F40" s="9">
        <f t="shared" si="14"/>
        <v>-0.16236472304134034</v>
      </c>
      <c r="G40" s="282">
        <f t="shared" si="16"/>
        <v>-85092791152567.156</v>
      </c>
      <c r="O40" s="99">
        <v>8</v>
      </c>
      <c r="P40" s="93">
        <f t="shared" si="20"/>
        <v>3843197</v>
      </c>
      <c r="Q40" s="1">
        <f t="shared" si="17"/>
        <v>26902400</v>
      </c>
      <c r="R40" s="9">
        <f>SUM($Q$33:Q40)</f>
        <v>31386096</v>
      </c>
      <c r="S40" s="277">
        <f t="shared" si="21"/>
        <v>42827031.743798383</v>
      </c>
      <c r="T40" s="9">
        <f t="shared" si="18"/>
        <v>-8.6790911073490032E-2</v>
      </c>
      <c r="U40" s="282">
        <f t="shared" si="19"/>
        <v>-159187952948235.03</v>
      </c>
    </row>
    <row r="41" spans="1:21" x14ac:dyDescent="0.2">
      <c r="A41" s="97">
        <v>9</v>
      </c>
      <c r="B41" s="93">
        <f t="shared" si="15"/>
        <v>16777216</v>
      </c>
      <c r="C41" s="1">
        <f t="shared" si="12"/>
        <v>117440512</v>
      </c>
      <c r="D41" s="9">
        <f>SUM($C$33:C41)</f>
        <v>134217727</v>
      </c>
      <c r="E41" s="9">
        <f t="shared" si="13"/>
        <v>177963932.60501066</v>
      </c>
      <c r="F41" s="9">
        <f t="shared" si="14"/>
        <v>-0.16607277894291261</v>
      </c>
      <c r="G41" s="282">
        <f t="shared" si="16"/>
        <v>-5259717770808798</v>
      </c>
      <c r="O41" s="99">
        <v>9</v>
      </c>
      <c r="P41" s="93">
        <f t="shared" si="20"/>
        <v>26902401</v>
      </c>
      <c r="Q41" s="1">
        <f t="shared" si="17"/>
        <v>188316828</v>
      </c>
      <c r="R41" s="9">
        <f>SUM($Q$33:Q41)</f>
        <v>219702924</v>
      </c>
      <c r="S41" s="277">
        <f t="shared" si="21"/>
        <v>291311715.92452747</v>
      </c>
      <c r="T41" s="9">
        <f t="shared" si="18"/>
        <v>-0.10145477584217856</v>
      </c>
      <c r="U41" s="282">
        <f t="shared" si="19"/>
        <v>-8609707521432357</v>
      </c>
    </row>
    <row r="42" spans="1:21" ht="17" thickBot="1" x14ac:dyDescent="0.25">
      <c r="A42" s="145">
        <v>10</v>
      </c>
      <c r="B42" s="94">
        <f t="shared" si="15"/>
        <v>134217728</v>
      </c>
      <c r="C42" s="111">
        <f t="shared" si="12"/>
        <v>939524096</v>
      </c>
      <c r="D42" s="10">
        <f>SUM($C$33:C42)</f>
        <v>1073741823</v>
      </c>
      <c r="E42" s="9">
        <f t="shared" si="13"/>
        <v>1391634942.417172</v>
      </c>
      <c r="F42" s="10">
        <f t="shared" si="14"/>
        <v>-0.16669138618407245</v>
      </c>
      <c r="G42" s="283">
        <f t="shared" si="16"/>
        <v>-3.2282250849206214E+17</v>
      </c>
      <c r="O42" s="100">
        <v>10</v>
      </c>
      <c r="P42" s="94">
        <f t="shared" si="20"/>
        <v>188316829</v>
      </c>
      <c r="Q42" s="111">
        <f t="shared" si="17"/>
        <v>1318217824</v>
      </c>
      <c r="R42" s="10">
        <f>SUM($Q$33:Q42)</f>
        <v>1537920748</v>
      </c>
      <c r="S42" s="278">
        <f t="shared" si="21"/>
        <v>1993239162.0971198</v>
      </c>
      <c r="T42" s="10">
        <f t="shared" si="18"/>
        <v>-0.11638019261554496</v>
      </c>
      <c r="U42" s="283">
        <f t="shared" si="19"/>
        <v>-4.6237877960663974E+17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7</v>
      </c>
      <c r="D45" s="57">
        <f>SUM(C45:C45)</f>
        <v>7</v>
      </c>
      <c r="E45" s="57">
        <f t="shared" ref="E45:E54" si="23">D45/R7</f>
        <v>-292.09672438042276</v>
      </c>
      <c r="F45" s="8">
        <f t="shared" ref="F45:F54" si="24">U7/E45</f>
        <v>1.6052435080939509E-3</v>
      </c>
      <c r="G45" s="281">
        <f>E45*U7</f>
        <v>136.96017294345691</v>
      </c>
      <c r="O45" s="101">
        <v>1</v>
      </c>
      <c r="P45" s="109">
        <v>1</v>
      </c>
      <c r="Q45" s="110">
        <f>P45*7+21</f>
        <v>28</v>
      </c>
      <c r="R45" s="57">
        <f>SUM($Q$21)</f>
        <v>28</v>
      </c>
      <c r="S45" s="276">
        <f>R45/R7</f>
        <v>-1168.386897521691</v>
      </c>
      <c r="T45" s="8">
        <f>U7/S45</f>
        <v>4.0131087702348773E-4</v>
      </c>
      <c r="U45" s="284">
        <f>S45*U7</f>
        <v>547.84069177382764</v>
      </c>
    </row>
    <row r="46" spans="1:21" x14ac:dyDescent="0.2">
      <c r="A46" s="97">
        <v>2</v>
      </c>
      <c r="B46" s="93">
        <f t="shared" ref="B46:B54" si="25">B45*$O$2*2</f>
        <v>14</v>
      </c>
      <c r="C46" s="1">
        <f t="shared" si="22"/>
        <v>98</v>
      </c>
      <c r="D46" s="9">
        <f>SUM($C$45:C46)</f>
        <v>105</v>
      </c>
      <c r="E46" s="9">
        <f t="shared" si="23"/>
        <v>348.6850329669258</v>
      </c>
      <c r="F46" s="9">
        <f t="shared" si="24"/>
        <v>-2.0317668924636684E-2</v>
      </c>
      <c r="G46" s="282">
        <f t="shared" ref="G46:G54" si="26">E46*U8</f>
        <v>-2470.2476299500895</v>
      </c>
      <c r="O46" s="99">
        <v>2</v>
      </c>
      <c r="P46" s="93">
        <f>Q45*2</f>
        <v>56</v>
      </c>
      <c r="Q46" s="1">
        <f t="shared" ref="Q46:Q54" si="27">P46*7+21</f>
        <v>413</v>
      </c>
      <c r="R46" s="9">
        <f>SUM($Q$45:Q46)</f>
        <v>441</v>
      </c>
      <c r="S46" s="277">
        <f t="shared" ref="S46:S54" si="28">R46/R8</f>
        <v>1464.4771384610883</v>
      </c>
      <c r="T46" s="9">
        <f t="shared" ref="T46:T54" si="29">U8/S46</f>
        <v>-4.8375402201515918E-3</v>
      </c>
      <c r="U46" s="282">
        <f t="shared" ref="U46:U54" si="30">S46*U8</f>
        <v>-10375.040045790376</v>
      </c>
    </row>
    <row r="47" spans="1:21" x14ac:dyDescent="0.2">
      <c r="A47" s="97">
        <v>3</v>
      </c>
      <c r="B47" s="93">
        <f t="shared" si="25"/>
        <v>196</v>
      </c>
      <c r="C47" s="1">
        <f t="shared" si="22"/>
        <v>1372</v>
      </c>
      <c r="D47" s="9">
        <f>SUM($C$45:C47)</f>
        <v>1477</v>
      </c>
      <c r="E47" s="9">
        <f t="shared" si="23"/>
        <v>3186.6731361434772</v>
      </c>
      <c r="F47" s="9">
        <f t="shared" si="24"/>
        <v>-2.4189789963298885E-2</v>
      </c>
      <c r="G47" s="282">
        <f t="shared" si="26"/>
        <v>-245644.55161871391</v>
      </c>
      <c r="O47" s="99">
        <v>3</v>
      </c>
      <c r="P47" s="93">
        <f t="shared" ref="P47:P54" si="31">Q46*2</f>
        <v>826</v>
      </c>
      <c r="Q47" s="1">
        <f t="shared" si="27"/>
        <v>5803</v>
      </c>
      <c r="R47" s="9">
        <f>SUM($Q$45:Q47)</f>
        <v>6244</v>
      </c>
      <c r="S47" s="277">
        <f t="shared" si="28"/>
        <v>13471.622926255837</v>
      </c>
      <c r="T47" s="9">
        <f t="shared" si="29"/>
        <v>-5.7220243074619561E-3</v>
      </c>
      <c r="U47" s="282">
        <f t="shared" si="30"/>
        <v>-1038459.4314876436</v>
      </c>
    </row>
    <row r="48" spans="1:21" x14ac:dyDescent="0.2">
      <c r="A48" s="97">
        <v>4</v>
      </c>
      <c r="B48" s="93">
        <f t="shared" si="25"/>
        <v>2744</v>
      </c>
      <c r="C48" s="1">
        <f t="shared" si="22"/>
        <v>19208</v>
      </c>
      <c r="D48" s="9">
        <f>SUM($C$45:C48)</f>
        <v>20685</v>
      </c>
      <c r="E48" s="9">
        <f t="shared" si="23"/>
        <v>36887.399300052195</v>
      </c>
      <c r="F48" s="9">
        <f t="shared" si="24"/>
        <v>-1.9937128426321445E-2</v>
      </c>
      <c r="G48" s="282">
        <f t="shared" si="26"/>
        <v>-27128056.435277402</v>
      </c>
      <c r="O48" s="99">
        <v>4</v>
      </c>
      <c r="P48" s="93">
        <f t="shared" si="31"/>
        <v>11606</v>
      </c>
      <c r="Q48" s="1">
        <f t="shared" si="27"/>
        <v>81263</v>
      </c>
      <c r="R48" s="9">
        <f>SUM($Q$45:Q48)</f>
        <v>87507</v>
      </c>
      <c r="S48" s="277">
        <f t="shared" si="28"/>
        <v>156050.55115057615</v>
      </c>
      <c r="T48" s="9">
        <f t="shared" si="29"/>
        <v>-4.712760139171256E-3</v>
      </c>
      <c r="U48" s="282">
        <f t="shared" si="30"/>
        <v>-114764072.24954411</v>
      </c>
    </row>
    <row r="49" spans="1:21" x14ac:dyDescent="0.2">
      <c r="A49" s="97">
        <v>5</v>
      </c>
      <c r="B49" s="93">
        <f t="shared" si="25"/>
        <v>38416</v>
      </c>
      <c r="C49" s="1">
        <f t="shared" si="22"/>
        <v>268912</v>
      </c>
      <c r="D49" s="9">
        <f>SUM($C$45:C49)</f>
        <v>289597</v>
      </c>
      <c r="E49" s="9">
        <f t="shared" si="23"/>
        <v>462998.23792662501</v>
      </c>
      <c r="F49" s="9">
        <f t="shared" si="24"/>
        <v>-1.4124646490028201E-2</v>
      </c>
      <c r="G49" s="282">
        <f t="shared" si="26"/>
        <v>-3027863296.5622997</v>
      </c>
      <c r="O49" s="99">
        <v>5</v>
      </c>
      <c r="P49" s="93">
        <f t="shared" si="31"/>
        <v>162526</v>
      </c>
      <c r="Q49" s="1">
        <f t="shared" si="27"/>
        <v>1137703</v>
      </c>
      <c r="R49" s="9">
        <f>SUM($Q$45:Q49)</f>
        <v>1225210</v>
      </c>
      <c r="S49" s="277">
        <f t="shared" si="28"/>
        <v>1958825.7857991632</v>
      </c>
      <c r="T49" s="9">
        <f t="shared" si="29"/>
        <v>-3.3385748153971126E-3</v>
      </c>
      <c r="U49" s="282">
        <f t="shared" si="30"/>
        <v>-12810106422.30788</v>
      </c>
    </row>
    <row r="50" spans="1:21" x14ac:dyDescent="0.2">
      <c r="A50" s="97">
        <v>6</v>
      </c>
      <c r="B50" s="93">
        <f t="shared" si="25"/>
        <v>537824</v>
      </c>
      <c r="C50" s="1">
        <f t="shared" si="22"/>
        <v>3764768</v>
      </c>
      <c r="D50" s="9">
        <f>SUM($C$45:C50)</f>
        <v>4054365</v>
      </c>
      <c r="E50" s="9">
        <f t="shared" si="23"/>
        <v>6036826.3576378729</v>
      </c>
      <c r="F50" s="9">
        <f t="shared" si="24"/>
        <v>-9.2204751203834659E-3</v>
      </c>
      <c r="G50" s="282">
        <f t="shared" si="26"/>
        <v>-336024287135.93359</v>
      </c>
      <c r="O50" s="99">
        <v>6</v>
      </c>
      <c r="P50" s="93">
        <f t="shared" si="31"/>
        <v>2275406</v>
      </c>
      <c r="Q50" s="1">
        <f t="shared" si="27"/>
        <v>15927863</v>
      </c>
      <c r="R50" s="9">
        <f>SUM($Q$45:Q50)</f>
        <v>17153073</v>
      </c>
      <c r="S50" s="277">
        <f t="shared" si="28"/>
        <v>25540404.773839194</v>
      </c>
      <c r="T50" s="9">
        <f t="shared" si="29"/>
        <v>-2.1793862599111839E-3</v>
      </c>
      <c r="U50" s="282">
        <f t="shared" si="30"/>
        <v>-1421640411510.9592</v>
      </c>
    </row>
    <row r="51" spans="1:21" x14ac:dyDescent="0.2">
      <c r="A51" s="97">
        <v>7</v>
      </c>
      <c r="B51" s="93">
        <f t="shared" si="25"/>
        <v>7529536</v>
      </c>
      <c r="C51" s="1">
        <f t="shared" si="22"/>
        <v>52706752</v>
      </c>
      <c r="D51" s="9">
        <f>SUM($C$45:C51)</f>
        <v>56761117</v>
      </c>
      <c r="E51" s="9">
        <f t="shared" si="23"/>
        <v>80386164.072888881</v>
      </c>
      <c r="F51" s="9">
        <f t="shared" si="24"/>
        <v>-5.7201768818221851E-3</v>
      </c>
      <c r="G51" s="282">
        <f t="shared" si="26"/>
        <v>-36963413340205.367</v>
      </c>
      <c r="O51" s="99">
        <v>7</v>
      </c>
      <c r="P51" s="93">
        <f t="shared" si="31"/>
        <v>31855726</v>
      </c>
      <c r="Q51" s="1">
        <f t="shared" si="27"/>
        <v>222990103</v>
      </c>
      <c r="R51" s="9">
        <f>SUM($Q$45:Q51)</f>
        <v>240143176</v>
      </c>
      <c r="S51" s="277">
        <f t="shared" si="28"/>
        <v>340095293.52497822</v>
      </c>
      <c r="T51" s="9">
        <f t="shared" si="29"/>
        <v>-1.3520418720946884E-3</v>
      </c>
      <c r="U51" s="282">
        <f t="shared" si="30"/>
        <v>-156383664460262.22</v>
      </c>
    </row>
    <row r="52" spans="1:21" x14ac:dyDescent="0.2">
      <c r="A52" s="97">
        <v>8</v>
      </c>
      <c r="B52" s="93">
        <f t="shared" si="25"/>
        <v>105413504</v>
      </c>
      <c r="C52" s="1">
        <f t="shared" si="22"/>
        <v>737894528</v>
      </c>
      <c r="D52" s="9">
        <f>SUM($C$45:C52)</f>
        <v>794655645</v>
      </c>
      <c r="E52" s="9">
        <f t="shared" si="23"/>
        <v>1084325445.694284</v>
      </c>
      <c r="F52" s="9">
        <f t="shared" si="24"/>
        <v>-3.4279349602808406E-3</v>
      </c>
      <c r="G52" s="282">
        <f t="shared" si="26"/>
        <v>-4030434541024452</v>
      </c>
      <c r="O52" s="99">
        <v>8</v>
      </c>
      <c r="P52" s="93">
        <f t="shared" si="31"/>
        <v>445980206</v>
      </c>
      <c r="Q52" s="1">
        <f t="shared" si="27"/>
        <v>3121861463</v>
      </c>
      <c r="R52" s="9">
        <f>SUM($Q$45:Q52)</f>
        <v>3362004639</v>
      </c>
      <c r="S52" s="277">
        <f t="shared" si="28"/>
        <v>4587530714.1496801</v>
      </c>
      <c r="T52" s="9">
        <f t="shared" si="29"/>
        <v>-8.1023917554446333E-4</v>
      </c>
      <c r="U52" s="282">
        <f t="shared" si="30"/>
        <v>-1.7051838377250866E+16</v>
      </c>
    </row>
    <row r="53" spans="1:21" x14ac:dyDescent="0.2">
      <c r="A53" s="97">
        <v>9</v>
      </c>
      <c r="B53" s="93">
        <f t="shared" si="25"/>
        <v>1475789056</v>
      </c>
      <c r="C53" s="1">
        <f t="shared" si="22"/>
        <v>10330523392</v>
      </c>
      <c r="D53" s="9">
        <f>SUM($C$45:C53)</f>
        <v>11125179037</v>
      </c>
      <c r="E53" s="9">
        <f t="shared" si="23"/>
        <v>14751260184.575659</v>
      </c>
      <c r="F53" s="9">
        <f t="shared" si="24"/>
        <v>-2.0035552535522935E-3</v>
      </c>
      <c r="G53" s="282">
        <f t="shared" si="26"/>
        <v>-4.3597297609084384E+17</v>
      </c>
      <c r="O53" s="99">
        <v>9</v>
      </c>
      <c r="P53" s="93">
        <f t="shared" si="31"/>
        <v>6243722926</v>
      </c>
      <c r="Q53" s="1">
        <f t="shared" si="27"/>
        <v>43706060503</v>
      </c>
      <c r="R53" s="9">
        <f>SUM($Q$45:Q53)</f>
        <v>47068065142</v>
      </c>
      <c r="S53" s="277">
        <f t="shared" si="28"/>
        <v>62409177684.696892</v>
      </c>
      <c r="T53" s="9">
        <f t="shared" si="29"/>
        <v>-4.7356760553136386E-4</v>
      </c>
      <c r="U53" s="282">
        <f t="shared" si="30"/>
        <v>-1.8445010521222991E+18</v>
      </c>
    </row>
    <row r="54" spans="1:21" ht="17" thickBot="1" x14ac:dyDescent="0.25">
      <c r="A54" s="145">
        <v>10</v>
      </c>
      <c r="B54" s="94">
        <f t="shared" si="25"/>
        <v>20661046784</v>
      </c>
      <c r="C54" s="111">
        <f t="shared" si="22"/>
        <v>144627327488</v>
      </c>
      <c r="D54" s="10">
        <f>SUM($C$45:C54)</f>
        <v>155752506525</v>
      </c>
      <c r="E54" s="10">
        <f t="shared" si="23"/>
        <v>201864755387.5235</v>
      </c>
      <c r="F54" s="10">
        <f t="shared" si="24"/>
        <v>-1.1491533386716582E-3</v>
      </c>
      <c r="G54" s="283">
        <f t="shared" si="26"/>
        <v>-4.6827285464065204E+19</v>
      </c>
      <c r="O54" s="100">
        <v>10</v>
      </c>
      <c r="P54" s="94">
        <f t="shared" si="31"/>
        <v>87412121006</v>
      </c>
      <c r="Q54" s="111">
        <f t="shared" si="27"/>
        <v>611884847063</v>
      </c>
      <c r="R54" s="10">
        <f>SUM($Q$45:Q54)</f>
        <v>658952912205</v>
      </c>
      <c r="S54" s="278">
        <f t="shared" si="28"/>
        <v>854043195849.35535</v>
      </c>
      <c r="T54" s="10">
        <f t="shared" si="29"/>
        <v>-2.7161806187450503E-4</v>
      </c>
      <c r="U54" s="283">
        <f t="shared" si="30"/>
        <v>-1.9811543849695763E+20</v>
      </c>
    </row>
  </sheetData>
  <mergeCells count="2">
    <mergeCell ref="A18:F18"/>
    <mergeCell ref="O18:T18"/>
  </mergeCells>
  <conditionalFormatting sqref="F45:F54">
    <cfRule type="cellIs" dxfId="573" priority="63" operator="equal">
      <formula>MAX($F$45:$F$54)</formula>
    </cfRule>
  </conditionalFormatting>
  <conditionalFormatting sqref="F21:F30">
    <cfRule type="cellIs" dxfId="572" priority="61" operator="equal">
      <formula>MAX($F$21:$F$30)</formula>
    </cfRule>
  </conditionalFormatting>
  <conditionalFormatting sqref="F33:F42">
    <cfRule type="cellIs" dxfId="571" priority="42" operator="lessThanOrEqual">
      <formula>0</formula>
    </cfRule>
    <cfRule type="cellIs" dxfId="570" priority="59" operator="equal">
      <formula>MAX($F$33:$F$42)</formula>
    </cfRule>
  </conditionalFormatting>
  <conditionalFormatting sqref="E33:E42">
    <cfRule type="cellIs" dxfId="569" priority="57" stopIfTrue="1" operator="lessThan">
      <formula>0</formula>
    </cfRule>
    <cfRule type="cellIs" dxfId="568" priority="58" operator="equal">
      <formula>MIN($E$33:$E$42)</formula>
    </cfRule>
  </conditionalFormatting>
  <conditionalFormatting sqref="E21:E30">
    <cfRule type="cellIs" dxfId="567" priority="53" stopIfTrue="1" operator="lessThan">
      <formula>0</formula>
    </cfRule>
    <cfRule type="cellIs" dxfId="566" priority="54" operator="equal">
      <formula>MIN($E$21:$E$30)</formula>
    </cfRule>
  </conditionalFormatting>
  <conditionalFormatting sqref="E45:E54">
    <cfRule type="cellIs" dxfId="565" priority="49" stopIfTrue="1" operator="lessThan">
      <formula>0</formula>
    </cfRule>
    <cfRule type="cellIs" dxfId="564" priority="50" operator="equal">
      <formula>MIN($E$45:$E$54)</formula>
    </cfRule>
  </conditionalFormatting>
  <conditionalFormatting sqref="R7:R16">
    <cfRule type="cellIs" dxfId="563" priority="27" operator="lessThanOrEqual">
      <formula>0</formula>
    </cfRule>
    <cfRule type="cellIs" dxfId="562" priority="28" operator="greaterThan">
      <formula>0</formula>
    </cfRule>
  </conditionalFormatting>
  <conditionalFormatting sqref="T21:T30">
    <cfRule type="cellIs" dxfId="561" priority="19" operator="equal">
      <formula>MAX($T$21:$T$30)</formula>
    </cfRule>
  </conditionalFormatting>
  <conditionalFormatting sqref="S33:S42">
    <cfRule type="cellIs" dxfId="560" priority="17" stopIfTrue="1" operator="lessThan">
      <formula>0</formula>
    </cfRule>
    <cfRule type="cellIs" dxfId="559" priority="18" operator="equal">
      <formula>MIN($E$21:$E$30)</formula>
    </cfRule>
  </conditionalFormatting>
  <conditionalFormatting sqref="T33:T42">
    <cfRule type="cellIs" dxfId="558" priority="16" operator="equal">
      <formula>MAX($T$21:$T$30)</formula>
    </cfRule>
  </conditionalFormatting>
  <conditionalFormatting sqref="S45:S54">
    <cfRule type="cellIs" dxfId="557" priority="14" stopIfTrue="1" operator="lessThan">
      <formula>0</formula>
    </cfRule>
    <cfRule type="cellIs" dxfId="556" priority="15" operator="equal">
      <formula>MIN($E$21:$E$30)</formula>
    </cfRule>
  </conditionalFormatting>
  <conditionalFormatting sqref="T45:T54">
    <cfRule type="cellIs" dxfId="555" priority="13" operator="equal">
      <formula>MAX($T$21:$T$30)</formula>
    </cfRule>
  </conditionalFormatting>
  <conditionalFormatting sqref="S21:S30">
    <cfRule type="cellIs" dxfId="554" priority="11" stopIfTrue="1" operator="lessThan">
      <formula>0</formula>
    </cfRule>
    <cfRule type="cellIs" dxfId="553" priority="12" operator="equal">
      <formula>MIN($E$21:$E$30)</formula>
    </cfRule>
  </conditionalFormatting>
  <conditionalFormatting sqref="U7:U16">
    <cfRule type="cellIs" dxfId="552" priority="7" operator="lessThanOrEqual">
      <formula>0</formula>
    </cfRule>
    <cfRule type="cellIs" dxfId="551" priority="8" operator="greaterThan">
      <formula>0</formula>
    </cfRule>
  </conditionalFormatting>
  <conditionalFormatting sqref="S7:T16">
    <cfRule type="cellIs" dxfId="550" priority="1" operator="lessThanOrEqual">
      <formula>0</formula>
    </cfRule>
    <cfRule type="cellIs" dxfId="549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49" t="s">
        <v>125</v>
      </c>
      <c r="C2" s="155">
        <f>Analysis!B31</f>
        <v>0.49551644622748425</v>
      </c>
      <c r="D2" s="149" t="s">
        <v>126</v>
      </c>
      <c r="E2" s="155">
        <f>Analysis!L31</f>
        <v>0.50448355377251575</v>
      </c>
      <c r="F2" s="149" t="s">
        <v>47</v>
      </c>
      <c r="G2" s="155">
        <f>Analysis!S31</f>
        <v>10.150253809320054</v>
      </c>
      <c r="H2" t="s">
        <v>155</v>
      </c>
      <c r="I2" s="169">
        <f>Analysis!T31</f>
        <v>-10.744434443274043</v>
      </c>
      <c r="J2" t="s">
        <v>48</v>
      </c>
      <c r="K2" s="169">
        <f>C2*G2+E2*I2</f>
        <v>-0.39077277531745391</v>
      </c>
      <c r="L2" t="s">
        <v>47</v>
      </c>
      <c r="M2" s="176">
        <v>2</v>
      </c>
      <c r="N2" t="s">
        <v>155</v>
      </c>
      <c r="O2" s="176">
        <v>8</v>
      </c>
    </row>
    <row r="4" spans="1:23" x14ac:dyDescent="0.2">
      <c r="A4" t="s">
        <v>123</v>
      </c>
      <c r="B4">
        <f>$C$2</f>
        <v>0.49551644622748425</v>
      </c>
      <c r="C4" t="s">
        <v>124</v>
      </c>
      <c r="D4">
        <f>$E$2</f>
        <v>0.50448355377251575</v>
      </c>
      <c r="E4" t="s">
        <v>47</v>
      </c>
      <c r="F4">
        <f>G2</f>
        <v>10.150253809320054</v>
      </c>
      <c r="G4" t="s">
        <v>155</v>
      </c>
      <c r="H4">
        <f>I2</f>
        <v>-10.744434443274043</v>
      </c>
      <c r="I4" t="s">
        <v>48</v>
      </c>
      <c r="J4">
        <f>K2</f>
        <v>-0.39077277531745391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263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0.49551644622748425</v>
      </c>
      <c r="C7" s="95">
        <v>1</v>
      </c>
      <c r="D7" s="22">
        <f>C7*D4</f>
        <v>0.50448355377251575</v>
      </c>
      <c r="E7" s="2"/>
      <c r="F7" s="2"/>
      <c r="G7" s="2"/>
      <c r="H7" s="2"/>
      <c r="I7" s="2"/>
      <c r="J7" s="2"/>
      <c r="K7" s="2"/>
      <c r="L7" s="2"/>
      <c r="M7" s="256"/>
      <c r="N7" s="96">
        <f>B7+D7</f>
        <v>1</v>
      </c>
      <c r="R7" s="296">
        <f>B7-D7</f>
        <v>-8.9671075450314941E-3</v>
      </c>
      <c r="S7" s="297">
        <f>SUM(C7)*B4*F4*POWER(O2,A7-1)</f>
        <v>5.0296176959012575</v>
      </c>
      <c r="T7" s="276">
        <f>SUM(C7)*D4*H4*POWER(O2,A7-1)</f>
        <v>-5.4203904712187114</v>
      </c>
      <c r="U7" s="294">
        <f>S7+T7</f>
        <v>-0.39077277531745391</v>
      </c>
      <c r="V7" s="109">
        <f>(U7+W7*D7)/B7</f>
        <v>0.22947932267591961</v>
      </c>
      <c r="W7" s="57">
        <f>COUNT(D7:M7)</f>
        <v>1</v>
      </c>
    </row>
    <row r="8" spans="1:23" x14ac:dyDescent="0.2">
      <c r="A8" s="99">
        <v>2</v>
      </c>
      <c r="B8" s="97">
        <f>C8*B4</f>
        <v>0.66067088700429133</v>
      </c>
      <c r="C8" s="97">
        <f>1/(1-B4*D4)</f>
        <v>1.333297596949965</v>
      </c>
      <c r="D8" s="144">
        <f>C8*D4</f>
        <v>0.67262670994567364</v>
      </c>
      <c r="E8" s="1">
        <f>D8*D4</f>
        <v>0.33932911299570861</v>
      </c>
      <c r="F8" s="1"/>
      <c r="G8" s="1"/>
      <c r="H8" s="1"/>
      <c r="I8" s="1"/>
      <c r="J8" s="1"/>
      <c r="K8" s="1"/>
      <c r="L8" s="1"/>
      <c r="M8" s="257"/>
      <c r="N8" s="97">
        <f>B8+E8</f>
        <v>1</v>
      </c>
      <c r="R8" s="298">
        <f>B8-E8</f>
        <v>0.32134177400858271</v>
      </c>
      <c r="S8" s="299">
        <f>SUM(C8:D8)*B4*F4*POWER(O2,A8-1)</f>
        <v>80.712259124806152</v>
      </c>
      <c r="T8" s="277">
        <f>SUM(C8:D8)*D4*H4*POWER(O2,A8-1)</f>
        <v>-86.983143992664935</v>
      </c>
      <c r="U8" s="295">
        <f>S8+T8+U7</f>
        <v>-6.6616576431762367</v>
      </c>
      <c r="V8" s="93">
        <f>(U8+W8*E8)/B8</f>
        <v>-9.0559453048003871</v>
      </c>
      <c r="W8" s="9">
        <f>COUNT(D8:M8)</f>
        <v>2</v>
      </c>
    </row>
    <row r="9" spans="1:23" x14ac:dyDescent="0.2">
      <c r="A9" s="99">
        <v>3</v>
      </c>
      <c r="B9" s="97">
        <f>C9*B4</f>
        <v>0.74323482855407752</v>
      </c>
      <c r="C9" s="97">
        <f>1/(1-D4*B4/(1-D4*B4))</f>
        <v>1.499919597447366</v>
      </c>
      <c r="D9" s="144">
        <f>C9*D4*C8</f>
        <v>1.0088859840140612</v>
      </c>
      <c r="E9" s="1">
        <f>D9*(D4)</f>
        <v>0.50896638656669513</v>
      </c>
      <c r="F9" s="1">
        <f>E9*D4</f>
        <v>0.25676517144592237</v>
      </c>
      <c r="G9" s="1"/>
      <c r="H9" s="1"/>
      <c r="I9" s="1"/>
      <c r="J9" s="1"/>
      <c r="K9" s="1"/>
      <c r="L9" s="1"/>
      <c r="M9" s="257"/>
      <c r="N9" s="97">
        <f>B9+F9</f>
        <v>0.99999999999999989</v>
      </c>
      <c r="R9" s="298">
        <f>B9-F9</f>
        <v>0.48646965710815515</v>
      </c>
      <c r="S9" s="299">
        <f>SUM(C9:E9)*B4*F4*POWER(O2,A9-1)</f>
        <v>971.40731472569655</v>
      </c>
      <c r="T9" s="277">
        <f>SUM(C9:E9)*D4*H4*POWER(O2,A9-1)</f>
        <v>-1046.8801548678766</v>
      </c>
      <c r="U9" s="295">
        <f t="shared" ref="U9:U16" si="0">S9+T9+U8</f>
        <v>-82.134497785356317</v>
      </c>
      <c r="V9" s="93">
        <f>(U9+W9*F9)/B9</f>
        <v>-109.47307519119917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0.7927625728044323</v>
      </c>
      <c r="C10" s="97">
        <f>1/(1-D4*B4/(1-D4*B4/(1-D4*B4)))</f>
        <v>1.5998713641897706</v>
      </c>
      <c r="D10" s="144">
        <f>C10*D4*C9</f>
        <v>1.2105982934709267</v>
      </c>
      <c r="E10" s="1">
        <f>D10*D4*C8</f>
        <v>0.81428074720319654</v>
      </c>
      <c r="F10" s="1">
        <f>E10*D4</f>
        <v>0.41079124511760812</v>
      </c>
      <c r="G10" s="1">
        <f>F10*D4</f>
        <v>0.20723742719556756</v>
      </c>
      <c r="H10" s="1"/>
      <c r="I10" s="1"/>
      <c r="J10" s="1"/>
      <c r="K10" s="1"/>
      <c r="L10" s="1"/>
      <c r="M10" s="257"/>
      <c r="N10" s="97">
        <f>B10+G10</f>
        <v>0.99999999999999989</v>
      </c>
      <c r="R10" s="298">
        <f>B10-G10</f>
        <v>0.58552514560886471</v>
      </c>
      <c r="S10" s="299">
        <f>SUM(C10:F10)*B4*F4*POWER(O2,A10-1)</f>
        <v>10392.182627990283</v>
      </c>
      <c r="T10" s="277">
        <f>SUM(C10:F10)*D4*H4*POWER(O2,A10-1)</f>
        <v>-11199.596290952175</v>
      </c>
      <c r="U10" s="295">
        <f t="shared" si="0"/>
        <v>-889.54816074724783</v>
      </c>
      <c r="V10" s="93">
        <f>(U10+W10*G10)/B10</f>
        <v>-1121.0408280181321</v>
      </c>
      <c r="W10" s="9">
        <f t="shared" si="1"/>
        <v>4</v>
      </c>
    </row>
    <row r="11" spans="1:23" x14ac:dyDescent="0.2">
      <c r="A11" s="99">
        <v>5</v>
      </c>
      <c r="B11" s="97">
        <f>C11*B4</f>
        <v>0.82577222096647629</v>
      </c>
      <c r="C11" s="97">
        <f>1/(1-D4*B4/(1-D4*B4/(1-D4*B4/(1-D4*B4))))</f>
        <v>1.6664880192238392</v>
      </c>
      <c r="D11" s="144">
        <f>C11*D4*C10</f>
        <v>1.3450371310538991</v>
      </c>
      <c r="E11" s="1">
        <f>D11*D4*C9</f>
        <v>1.0177691106644113</v>
      </c>
      <c r="F11" s="1">
        <f>E11*D4*C8</f>
        <v>0.68457868839053726</v>
      </c>
      <c r="G11" s="1">
        <f>F11*D4</f>
        <v>0.34535868955618593</v>
      </c>
      <c r="H11" s="1">
        <f>G11*D4</f>
        <v>0.17422777903352368</v>
      </c>
      <c r="I11" s="1"/>
      <c r="J11" s="1"/>
      <c r="K11" s="1"/>
      <c r="L11" s="1"/>
      <c r="M11" s="257"/>
      <c r="N11" s="97">
        <f>B11+H11</f>
        <v>1</v>
      </c>
      <c r="R11" s="298">
        <f>B11-H11</f>
        <v>0.65154444193295258</v>
      </c>
      <c r="S11" s="299">
        <f>SUM(C11:G11)*B4*F4*POWER(O2,A11-1)</f>
        <v>104226.82000842341</v>
      </c>
      <c r="T11" s="277">
        <f>SUM(C11:G11)*D4*H4*POWER(O2,A11-1)</f>
        <v>-112324.65292132954</v>
      </c>
      <c r="U11" s="295">
        <f t="shared" si="0"/>
        <v>-8987.3810736533796</v>
      </c>
      <c r="V11" s="93">
        <f>(U11+W11*H11)/B11</f>
        <v>-10882.552968711498</v>
      </c>
      <c r="W11" s="9">
        <f t="shared" si="1"/>
        <v>5</v>
      </c>
    </row>
    <row r="12" spans="1:23" x14ac:dyDescent="0.2">
      <c r="A12" s="99">
        <v>6</v>
      </c>
      <c r="B12" s="97">
        <f>C12*B4</f>
        <v>0.84934295976040597</v>
      </c>
      <c r="C12" s="97">
        <f>1/(1-D4*B4/(1-D4*B4/(1-D4*B4/(1-D4*B4/(1-D4*B4)))))</f>
        <v>1.714056044409241</v>
      </c>
      <c r="D12" s="144">
        <f>C12*D4*C11</f>
        <v>1.4410339956333731</v>
      </c>
      <c r="E12" s="1">
        <f>D12*D4*C10</f>
        <v>1.1630712065608366</v>
      </c>
      <c r="F12" s="1">
        <f>E12*D4*C9</f>
        <v>0.8800782671429247</v>
      </c>
      <c r="G12" s="1">
        <f>F12*D4*C8</f>
        <v>0.59196414932303509</v>
      </c>
      <c r="H12" s="1">
        <f>G12*D4</f>
        <v>0.29863617775640894</v>
      </c>
      <c r="I12" s="1">
        <f>H12*D4</f>
        <v>0.15065704023959389</v>
      </c>
      <c r="J12" s="1"/>
      <c r="K12" s="1"/>
      <c r="L12" s="1"/>
      <c r="M12" s="257"/>
      <c r="N12" s="97">
        <f>B12+I12</f>
        <v>0.99999999999999989</v>
      </c>
      <c r="R12" s="298">
        <f>B12-I12</f>
        <v>0.69868591952081205</v>
      </c>
      <c r="S12" s="299">
        <f>SUM(C12:H12)*B4*F4*POWER(O2,A12-1)</f>
        <v>1003504.8156668276</v>
      </c>
      <c r="T12" s="277">
        <f>SUM(C12:H12)*D4*H4*POWER(O2,A12-1)</f>
        <v>-1081471.4496283156</v>
      </c>
      <c r="U12" s="295">
        <f t="shared" si="0"/>
        <v>-86954.015035141405</v>
      </c>
      <c r="V12" s="93">
        <f>(U12+W12*I12)/B12</f>
        <v>-102376.9139352481</v>
      </c>
      <c r="W12" s="9">
        <f t="shared" si="1"/>
        <v>6</v>
      </c>
    </row>
    <row r="13" spans="1:23" x14ac:dyDescent="0.2">
      <c r="A13" s="99">
        <v>7</v>
      </c>
      <c r="B13" s="97">
        <f>C13*B4</f>
        <v>0.86701438297178368</v>
      </c>
      <c r="C13" s="97">
        <f>1/(1-D4*B4/(1-D4*B4/(1-D4*B4/(1-D4*B4/(1-D4*B4/(1-D4*B4))))))</f>
        <v>1.7497186815344374</v>
      </c>
      <c r="D13" s="144">
        <f>C13*D4*C12</f>
        <v>1.5130046383773359</v>
      </c>
      <c r="E13" s="1">
        <f>D13*D4*C11</f>
        <v>1.2720069023204947</v>
      </c>
      <c r="F13" s="1">
        <f>E13*D4*C10</f>
        <v>1.0266479535657025</v>
      </c>
      <c r="G13" s="1">
        <f>F13*D4*C9</f>
        <v>0.77684886947863108</v>
      </c>
      <c r="H13" s="1">
        <f>G13*D4*C8</f>
        <v>0.52252929920242774</v>
      </c>
      <c r="I13" s="1">
        <f>H13*D4</f>
        <v>0.26360743781190293</v>
      </c>
      <c r="J13" s="1">
        <f>I13*D4</f>
        <v>0.13298561702821624</v>
      </c>
      <c r="K13" s="1"/>
      <c r="L13" s="1"/>
      <c r="M13" s="257"/>
      <c r="N13" s="97">
        <f>B13+J13</f>
        <v>0.99999999999999989</v>
      </c>
      <c r="R13" s="298">
        <f>B13-J13</f>
        <v>0.73402876594356747</v>
      </c>
      <c r="S13" s="299">
        <f>SUM(C13:I13)*B4*F4*POWER(O2,A13-1)</f>
        <v>9393360.378645312</v>
      </c>
      <c r="T13" s="277">
        <f>SUM(C13:I13)*D4*H4*POWER(O2,A13-1)</f>
        <v>-10123171.216497172</v>
      </c>
      <c r="U13" s="295">
        <f t="shared" si="0"/>
        <v>-816764.85288700101</v>
      </c>
      <c r="V13" s="93">
        <f>(U13+W13*J13)/B13</f>
        <v>-942041.95227781218</v>
      </c>
      <c r="W13" s="9">
        <f t="shared" si="1"/>
        <v>7</v>
      </c>
    </row>
    <row r="14" spans="1:23" x14ac:dyDescent="0.2">
      <c r="A14" s="99">
        <v>8</v>
      </c>
      <c r="B14" s="97">
        <f>C14*B4</f>
        <v>0.88075293197021254</v>
      </c>
      <c r="C14" s="97">
        <f>1/(1-D4*B4/(1-D4*B4/(1-D4*B4/(1-D4*B4/(1-D4*B4/(1-D4*B4/(1-D4*B4)))))))</f>
        <v>1.7774443990217672</v>
      </c>
      <c r="D14" s="144">
        <f>C14*D4*C13</f>
        <v>1.5689578114726266</v>
      </c>
      <c r="E14" s="1">
        <f>D14*D4*C12</f>
        <v>1.3566983488423803</v>
      </c>
      <c r="F14" s="1">
        <f>E14*D4*C11</f>
        <v>1.1405977353414678</v>
      </c>
      <c r="G14" s="1">
        <f>F14*D4*C10</f>
        <v>0.92058645962830599</v>
      </c>
      <c r="H14" s="1">
        <f>G14*D4*C9</f>
        <v>0.69659375245013533</v>
      </c>
      <c r="I14" s="1">
        <f>H14*D4*C8</f>
        <v>0.46854756387924557</v>
      </c>
      <c r="J14" s="1">
        <f>I14*D4</f>
        <v>0.23637454013725664</v>
      </c>
      <c r="K14" s="1">
        <f>J14*D4</f>
        <v>0.11924706802978739</v>
      </c>
      <c r="L14" s="1"/>
      <c r="M14" s="257"/>
      <c r="N14" s="97">
        <f>B14+K14</f>
        <v>0.99999999999999989</v>
      </c>
      <c r="R14" s="298">
        <f>B14-K14</f>
        <v>0.76150586394042519</v>
      </c>
      <c r="S14" s="299">
        <f>SUM(C14:J14)*B4*F4*POWER(O2,A14-1)</f>
        <v>86131826.235845879</v>
      </c>
      <c r="T14" s="277">
        <f>SUM(C14:J14)*D4*H4*POWER(O2,A14-1)</f>
        <v>-92823780.737431705</v>
      </c>
      <c r="U14" s="295">
        <f t="shared" si="0"/>
        <v>-7508719.3544728272</v>
      </c>
      <c r="V14" s="93">
        <f>(U14+W14*K14)/B14</f>
        <v>-8525340.2264577765</v>
      </c>
      <c r="W14" s="9">
        <f t="shared" si="1"/>
        <v>8</v>
      </c>
    </row>
    <row r="15" spans="1:23" x14ac:dyDescent="0.2">
      <c r="A15" s="99">
        <v>9</v>
      </c>
      <c r="B15" s="97">
        <f>C15*B4</f>
        <v>0.89173847191673006</v>
      </c>
      <c r="C15" s="97">
        <f>1/(1-D4*B4/(1-D4*B4/(1-D4*B4/(1-D4*B4/(1-D4*B4/(1-D4*B4/(1-D4*B4/(1-D4*B4))))))))</f>
        <v>1.7996142786093241</v>
      </c>
      <c r="D15" s="144">
        <f>C15*D4*C14</f>
        <v>1.6136987676131198</v>
      </c>
      <c r="E15" s="1">
        <f>D15*D4*C13</f>
        <v>1.4244188387573578</v>
      </c>
      <c r="F15" s="1">
        <f>E15*D4*C12</f>
        <v>1.2317136078937863</v>
      </c>
      <c r="G15" s="1">
        <f>F15*D4*C11</f>
        <v>1.0355210890848812</v>
      </c>
      <c r="H15" s="1">
        <f>G15*D4*C10</f>
        <v>0.83577817466532756</v>
      </c>
      <c r="I15" s="1">
        <f>H15*D4*C9</f>
        <v>0.63242061494268786</v>
      </c>
      <c r="J15" s="1">
        <f>I15*D4*C8</f>
        <v>0.42538299753071984</v>
      </c>
      <c r="K15" s="1">
        <f>J15*D4</f>
        <v>0.21459872630870283</v>
      </c>
      <c r="L15" s="1">
        <f>K15*D4</f>
        <v>0.10826152808326987</v>
      </c>
      <c r="M15" s="257"/>
      <c r="N15" s="97">
        <f>B15+L15</f>
        <v>0.99999999999999989</v>
      </c>
      <c r="R15" s="298">
        <f>B15-L15</f>
        <v>0.78347694383346023</v>
      </c>
      <c r="S15" s="299">
        <f>SUM(C15:K15)*B4*F4*POWER(O2,A15-1)</f>
        <v>777432829.9516511</v>
      </c>
      <c r="T15" s="277">
        <f>SUM(C15:K15)*D4*H4*POWER(O2,A15-1)</f>
        <v>-837834952.52861786</v>
      </c>
      <c r="U15" s="295">
        <f t="shared" si="0"/>
        <v>-67910841.931439593</v>
      </c>
      <c r="V15" s="93">
        <f>(U15+W15*L15)/B15</f>
        <v>-76155558.042837605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0.90072182640346166</v>
      </c>
      <c r="C16" s="145">
        <f>1/(1-D4*B4/(1-D4*B4/(1-D4*B4/(1-D4*B4/(1-D4*B4/(1-D4*B4/(1-D4*B4/(1-D4*B4/(1-D4*B4)))))))))</f>
        <v>1.8177435547516694</v>
      </c>
      <c r="D16" s="153">
        <f>C16*D4*C15</f>
        <v>1.6502853961304353</v>
      </c>
      <c r="E16" s="111">
        <f>D16*D4*C14</f>
        <v>1.4797968329099562</v>
      </c>
      <c r="F16" s="111">
        <f>E16*D4*C13</f>
        <v>1.3062230254090195</v>
      </c>
      <c r="G16" s="111">
        <f>F16*D4*C12</f>
        <v>1.1295081415407668</v>
      </c>
      <c r="H16" s="111">
        <f>G16*D4*C11</f>
        <v>0.94959533885363623</v>
      </c>
      <c r="I16" s="111">
        <f>H16*D4*C10</f>
        <v>0.76642674624730911</v>
      </c>
      <c r="J16" s="111">
        <f>I16*D4*C9</f>
        <v>0.57994344535778009</v>
      </c>
      <c r="K16" s="111">
        <f>J16*D4*C8</f>
        <v>0.39008545160556218</v>
      </c>
      <c r="L16" s="111">
        <f>K16*D4</f>
        <v>0.19679169490093071</v>
      </c>
      <c r="M16" s="259">
        <f>L16*D4</f>
        <v>9.9278173596538191E-2</v>
      </c>
      <c r="N16" s="145">
        <f>B16+M16</f>
        <v>0.99999999999999989</v>
      </c>
      <c r="R16" s="300">
        <f>B16-M16</f>
        <v>0.80144365280692342</v>
      </c>
      <c r="S16" s="301">
        <f>SUM(C16:L16)*B4*F4*POWER(O2,A16-1)</f>
        <v>6930475359.4678078</v>
      </c>
      <c r="T16" s="278">
        <f>SUM(C16:L16)*D4*H4*POWER(O2,A16-1)</f>
        <v>-7468933996.7307272</v>
      </c>
      <c r="U16" s="295">
        <f t="shared" si="0"/>
        <v>-606369479.19435906</v>
      </c>
      <c r="V16" s="94">
        <f>(U16+W16*M16)/B16</f>
        <v>-673203935.3623538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8</v>
      </c>
      <c r="D21" s="57">
        <f>SUM($C$21:C21)</f>
        <v>8</v>
      </c>
      <c r="E21" s="57">
        <f t="shared" ref="E21:E30" si="3">D21/R7</f>
        <v>-892.14944281923442</v>
      </c>
      <c r="F21" s="8">
        <f t="shared" ref="F21:F30" si="4">U7/E21</f>
        <v>4.3801268774275472E-4</v>
      </c>
      <c r="G21" s="281">
        <f>E21*U7</f>
        <v>348.62771376839237</v>
      </c>
      <c r="O21" s="101">
        <v>1</v>
      </c>
      <c r="P21" s="109">
        <v>1</v>
      </c>
      <c r="Q21" s="110">
        <f>P21*8+28</f>
        <v>36</v>
      </c>
      <c r="R21" s="57">
        <f>SUM($Q$21)</f>
        <v>36</v>
      </c>
      <c r="S21" s="276">
        <f>R21/R7</f>
        <v>-4014.6724926865545</v>
      </c>
      <c r="T21" s="8">
        <f>U7/S21</f>
        <v>9.7336152831723274E-5</v>
      </c>
      <c r="U21" s="281">
        <f>S21*U7</f>
        <v>1568.8247119577657</v>
      </c>
    </row>
    <row r="22" spans="1:21" x14ac:dyDescent="0.2">
      <c r="A22" s="97">
        <v>2</v>
      </c>
      <c r="B22" s="93">
        <f>C21</f>
        <v>8</v>
      </c>
      <c r="C22" s="1">
        <f t="shared" si="2"/>
        <v>64</v>
      </c>
      <c r="D22" s="9">
        <f>SUM($C$21:C22)</f>
        <v>72</v>
      </c>
      <c r="E22" s="9">
        <f t="shared" si="3"/>
        <v>224.06050449599172</v>
      </c>
      <c r="F22" s="9">
        <f t="shared" si="4"/>
        <v>-2.9731512290223416E-2</v>
      </c>
      <c r="G22" s="282">
        <f t="shared" ref="G22:G30" si="5">E22*U8</f>
        <v>-1492.6143723096468</v>
      </c>
      <c r="O22" s="99">
        <v>2</v>
      </c>
      <c r="P22" s="93">
        <f>Q21</f>
        <v>36</v>
      </c>
      <c r="Q22" s="1">
        <f t="shared" ref="Q22:Q30" si="6">P22*8+28</f>
        <v>316</v>
      </c>
      <c r="R22" s="9">
        <f>SUM($Q$21:Q22)</f>
        <v>352</v>
      </c>
      <c r="S22" s="277">
        <f t="shared" ref="S22:S30" si="7">R22/R8</f>
        <v>1095.4069108692929</v>
      </c>
      <c r="T22" s="9">
        <f>U8/S22</f>
        <v>-6.0814456957275168E-3</v>
      </c>
      <c r="U22" s="282">
        <f t="shared" ref="U22:U30" si="8">S22*U8</f>
        <v>-7297.2258201804962</v>
      </c>
    </row>
    <row r="23" spans="1:21" x14ac:dyDescent="0.2">
      <c r="A23" s="97">
        <v>3</v>
      </c>
      <c r="B23" s="93">
        <f t="shared" ref="B23:B30" si="9">C22</f>
        <v>64</v>
      </c>
      <c r="C23" s="1">
        <f t="shared" si="2"/>
        <v>512</v>
      </c>
      <c r="D23" s="9">
        <f>SUM($C$21:C23)</f>
        <v>584</v>
      </c>
      <c r="E23" s="9">
        <f t="shared" si="3"/>
        <v>1200.485973722635</v>
      </c>
      <c r="F23" s="9">
        <f t="shared" si="4"/>
        <v>-6.841770714793291E-2</v>
      </c>
      <c r="G23" s="282">
        <f t="shared" si="5"/>
        <v>-98601.312550073082</v>
      </c>
      <c r="O23" s="99">
        <v>3</v>
      </c>
      <c r="P23" s="93">
        <f t="shared" ref="P23:P30" si="10">Q22</f>
        <v>316</v>
      </c>
      <c r="Q23" s="1">
        <f t="shared" si="6"/>
        <v>2556</v>
      </c>
      <c r="R23" s="9">
        <f>SUM($Q$21:Q23)</f>
        <v>2908</v>
      </c>
      <c r="S23" s="277">
        <f t="shared" si="7"/>
        <v>5977.7623486051752</v>
      </c>
      <c r="T23" s="9">
        <f t="shared" ref="T23:T30" si="11">U9/S23</f>
        <v>-1.3740007212652276E-2</v>
      </c>
      <c r="U23" s="282">
        <f t="shared" si="8"/>
        <v>-490980.50838289812</v>
      </c>
    </row>
    <row r="24" spans="1:21" x14ac:dyDescent="0.2">
      <c r="A24" s="97">
        <v>4</v>
      </c>
      <c r="B24" s="93">
        <f t="shared" si="9"/>
        <v>512</v>
      </c>
      <c r="C24" s="1">
        <f t="shared" si="2"/>
        <v>4096</v>
      </c>
      <c r="D24" s="9">
        <f>SUM($C$21:C24)</f>
        <v>4680</v>
      </c>
      <c r="E24" s="9">
        <f t="shared" si="3"/>
        <v>7992.8249625102799</v>
      </c>
      <c r="F24" s="9">
        <f t="shared" si="4"/>
        <v>-0.11129333682641668</v>
      </c>
      <c r="G24" s="282">
        <f t="shared" si="5"/>
        <v>-7110002.74457571</v>
      </c>
      <c r="O24" s="99">
        <v>4</v>
      </c>
      <c r="P24" s="93">
        <f t="shared" si="10"/>
        <v>2556</v>
      </c>
      <c r="Q24" s="1">
        <f t="shared" si="6"/>
        <v>20476</v>
      </c>
      <c r="R24" s="9">
        <f>SUM($Q$21:Q24)</f>
        <v>23384</v>
      </c>
      <c r="S24" s="277">
        <f t="shared" si="7"/>
        <v>39936.798915243671</v>
      </c>
      <c r="T24" s="9">
        <f t="shared" si="11"/>
        <v>-2.2273897380586299E-2</v>
      </c>
      <c r="U24" s="282">
        <f t="shared" si="8"/>
        <v>-35525706.021187693</v>
      </c>
    </row>
    <row r="25" spans="1:21" x14ac:dyDescent="0.2">
      <c r="A25" s="97">
        <v>5</v>
      </c>
      <c r="B25" s="93">
        <f t="shared" si="9"/>
        <v>4096</v>
      </c>
      <c r="C25" s="1">
        <f t="shared" si="2"/>
        <v>32768</v>
      </c>
      <c r="D25" s="9">
        <f>SUM($C$21:C25)</f>
        <v>37448</v>
      </c>
      <c r="E25" s="9">
        <f t="shared" si="3"/>
        <v>57475.741622324516</v>
      </c>
      <c r="F25" s="9">
        <f t="shared" si="4"/>
        <v>-0.15636824893378207</v>
      </c>
      <c r="G25" s="282">
        <f t="shared" si="5"/>
        <v>-516556392.45067114</v>
      </c>
      <c r="O25" s="99">
        <v>5</v>
      </c>
      <c r="P25" s="93">
        <f t="shared" si="10"/>
        <v>20476</v>
      </c>
      <c r="Q25" s="1">
        <f t="shared" si="6"/>
        <v>163836</v>
      </c>
      <c r="R25" s="9">
        <f>SUM($Q$21:Q25)</f>
        <v>187220</v>
      </c>
      <c r="S25" s="277">
        <f t="shared" si="7"/>
        <v>287348.0118172291</v>
      </c>
      <c r="T25" s="9">
        <f t="shared" si="11"/>
        <v>-3.1276990631728833E-2</v>
      </c>
      <c r="U25" s="282">
        <f t="shared" si="8"/>
        <v>-2582506082.9580927</v>
      </c>
    </row>
    <row r="26" spans="1:21" x14ac:dyDescent="0.2">
      <c r="A26" s="97">
        <v>6</v>
      </c>
      <c r="B26" s="93">
        <f t="shared" si="9"/>
        <v>32768</v>
      </c>
      <c r="C26" s="1">
        <f t="shared" si="2"/>
        <v>262144</v>
      </c>
      <c r="D26" s="9">
        <f>SUM($C$21:C26)</f>
        <v>299592</v>
      </c>
      <c r="E26" s="9">
        <f t="shared" si="3"/>
        <v>428793.52743429079</v>
      </c>
      <c r="F26" s="9">
        <f t="shared" si="4"/>
        <v>-0.20278761098712345</v>
      </c>
      <c r="G26" s="282">
        <f t="shared" si="5"/>
        <v>-37285318831.492638</v>
      </c>
      <c r="O26" s="99">
        <v>6</v>
      </c>
      <c r="P26" s="93">
        <f t="shared" si="10"/>
        <v>163836</v>
      </c>
      <c r="Q26" s="1">
        <f t="shared" si="6"/>
        <v>1310716</v>
      </c>
      <c r="R26" s="9">
        <f>SUM($Q$21:Q26)</f>
        <v>1497936</v>
      </c>
      <c r="S26" s="277">
        <f t="shared" si="7"/>
        <v>2143933.2869729893</v>
      </c>
      <c r="T26" s="9">
        <f t="shared" si="11"/>
        <v>-4.0558172011924597E-2</v>
      </c>
      <c r="U26" s="282">
        <f t="shared" si="8"/>
        <v>-186423607269.78946</v>
      </c>
    </row>
    <row r="27" spans="1:21" x14ac:dyDescent="0.2">
      <c r="A27" s="97">
        <v>7</v>
      </c>
      <c r="B27" s="93">
        <f t="shared" si="9"/>
        <v>262144</v>
      </c>
      <c r="C27" s="1">
        <f t="shared" si="2"/>
        <v>2097152</v>
      </c>
      <c r="D27" s="9">
        <f>SUM($C$21:C27)</f>
        <v>2396744</v>
      </c>
      <c r="E27" s="9">
        <f t="shared" si="3"/>
        <v>3265190.8361099064</v>
      </c>
      <c r="F27" s="9">
        <f t="shared" si="4"/>
        <v>-0.25014306785819629</v>
      </c>
      <c r="G27" s="282">
        <f t="shared" si="5"/>
        <v>-2666893112903.2915</v>
      </c>
      <c r="O27" s="99">
        <v>7</v>
      </c>
      <c r="P27" s="93">
        <f t="shared" si="10"/>
        <v>1310716</v>
      </c>
      <c r="Q27" s="1">
        <f t="shared" si="6"/>
        <v>10485756</v>
      </c>
      <c r="R27" s="9">
        <f>SUM($Q$21:Q27)</f>
        <v>11983692</v>
      </c>
      <c r="S27" s="277">
        <f t="shared" si="7"/>
        <v>16325916.034905521</v>
      </c>
      <c r="T27" s="9">
        <f t="shared" si="11"/>
        <v>-5.0028730463927543E-2</v>
      </c>
      <c r="U27" s="282">
        <f t="shared" si="8"/>
        <v>-13334434408495.139</v>
      </c>
    </row>
    <row r="28" spans="1:21" x14ac:dyDescent="0.2">
      <c r="A28" s="97">
        <v>8</v>
      </c>
      <c r="B28" s="93">
        <f t="shared" si="9"/>
        <v>2097152</v>
      </c>
      <c r="C28" s="1">
        <f t="shared" si="2"/>
        <v>16777216</v>
      </c>
      <c r="D28" s="9">
        <f>SUM($C$21:C28)</f>
        <v>19173960</v>
      </c>
      <c r="E28" s="9">
        <f t="shared" si="3"/>
        <v>25179005.058193531</v>
      </c>
      <c r="F28" s="9">
        <f t="shared" si="4"/>
        <v>-0.2982135051452085</v>
      </c>
      <c r="G28" s="282">
        <f t="shared" si="5"/>
        <v>-189062082606826.97</v>
      </c>
      <c r="O28" s="99">
        <v>8</v>
      </c>
      <c r="P28" s="93">
        <f t="shared" si="10"/>
        <v>10485756</v>
      </c>
      <c r="Q28" s="1">
        <f t="shared" si="6"/>
        <v>83886076</v>
      </c>
      <c r="R28" s="9">
        <f>SUM($Q$21:Q28)</f>
        <v>95869768</v>
      </c>
      <c r="S28" s="277">
        <f t="shared" si="7"/>
        <v>125894983.26896688</v>
      </c>
      <c r="T28" s="9">
        <f t="shared" si="11"/>
        <v>-5.9642720936948779E-2</v>
      </c>
      <c r="U28" s="282">
        <f t="shared" si="8"/>
        <v>-945310097502724.38</v>
      </c>
    </row>
    <row r="29" spans="1:21" x14ac:dyDescent="0.2">
      <c r="A29" s="97">
        <v>9</v>
      </c>
      <c r="B29" s="93">
        <f t="shared" si="9"/>
        <v>16777216</v>
      </c>
      <c r="C29" s="1">
        <f t="shared" si="2"/>
        <v>134217728</v>
      </c>
      <c r="D29" s="9">
        <f>SUM($C$21:C29)</f>
        <v>153391688</v>
      </c>
      <c r="E29" s="9">
        <f t="shared" si="3"/>
        <v>195783282.72108757</v>
      </c>
      <c r="F29" s="9">
        <f t="shared" si="4"/>
        <v>-0.34686741884998029</v>
      </c>
      <c r="G29" s="282">
        <f t="shared" si="5"/>
        <v>-1.3295807565690126E+16</v>
      </c>
      <c r="O29" s="99">
        <v>9</v>
      </c>
      <c r="P29" s="93">
        <f t="shared" si="10"/>
        <v>83886076</v>
      </c>
      <c r="Q29" s="1">
        <f t="shared" si="6"/>
        <v>671088636</v>
      </c>
      <c r="R29" s="9">
        <f>SUM($Q$21:Q29)</f>
        <v>766958404</v>
      </c>
      <c r="S29" s="277">
        <f t="shared" si="7"/>
        <v>978916367.6564151</v>
      </c>
      <c r="T29" s="9">
        <f t="shared" si="11"/>
        <v>-6.9373487026294436E-2</v>
      </c>
      <c r="U29" s="282">
        <f t="shared" si="8"/>
        <v>-6.6479034708013816E+16</v>
      </c>
    </row>
    <row r="30" spans="1:21" ht="17" thickBot="1" x14ac:dyDescent="0.25">
      <c r="A30" s="145">
        <v>10</v>
      </c>
      <c r="B30" s="94">
        <f t="shared" si="9"/>
        <v>134217728</v>
      </c>
      <c r="C30" s="111">
        <f t="shared" si="2"/>
        <v>1073741824</v>
      </c>
      <c r="D30" s="10">
        <f>SUM($C$21:C30)</f>
        <v>1227133512</v>
      </c>
      <c r="E30" s="10">
        <f t="shared" si="3"/>
        <v>1531153821.8590522</v>
      </c>
      <c r="F30" s="10">
        <f t="shared" si="4"/>
        <v>-0.39602126875674376</v>
      </c>
      <c r="G30" s="283">
        <f t="shared" si="5"/>
        <v>-9.2844494552712589E+17</v>
      </c>
      <c r="O30" s="100">
        <v>10</v>
      </c>
      <c r="P30" s="94">
        <f t="shared" si="10"/>
        <v>671088636</v>
      </c>
      <c r="Q30" s="111">
        <f t="shared" si="6"/>
        <v>5368709116</v>
      </c>
      <c r="R30" s="10">
        <f>SUM($Q$21:Q30)</f>
        <v>6135667520</v>
      </c>
      <c r="S30" s="278">
        <f t="shared" si="7"/>
        <v>7655769059.3853264</v>
      </c>
      <c r="T30" s="10">
        <f t="shared" si="11"/>
        <v>-7.9204254267701724E-2</v>
      </c>
      <c r="U30" s="283">
        <f t="shared" si="8"/>
        <v>-4.6422246973717688E+18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8</v>
      </c>
      <c r="D33" s="57">
        <f>SUM($C$33:C33)</f>
        <v>8</v>
      </c>
      <c r="E33" s="9">
        <f t="shared" ref="E33:E42" si="13">D33/R7</f>
        <v>-892.14944281923442</v>
      </c>
      <c r="F33" s="8">
        <f t="shared" ref="F33:F42" si="14">U7/E33</f>
        <v>4.3801268774275472E-4</v>
      </c>
      <c r="G33" s="284">
        <f>E33*U7</f>
        <v>348.62771376839237</v>
      </c>
      <c r="O33" s="101">
        <v>1</v>
      </c>
      <c r="P33" s="109">
        <v>1</v>
      </c>
      <c r="Q33" s="110">
        <f>P33*8+28</f>
        <v>36</v>
      </c>
      <c r="R33" s="57">
        <f>SUM($Q$21)</f>
        <v>36</v>
      </c>
      <c r="S33" s="276">
        <f>R33/R7</f>
        <v>-4014.6724926865545</v>
      </c>
      <c r="T33" s="8">
        <f>U7/S33</f>
        <v>9.7336152831723274E-5</v>
      </c>
      <c r="U33" s="284">
        <f>S33*U7</f>
        <v>1568.8247119577657</v>
      </c>
    </row>
    <row r="34" spans="1:21" x14ac:dyDescent="0.2">
      <c r="A34" s="97">
        <v>2</v>
      </c>
      <c r="B34" s="93">
        <f t="shared" ref="B34:B42" si="15">B33*($O$2+1)</f>
        <v>9</v>
      </c>
      <c r="C34" s="1">
        <f t="shared" si="12"/>
        <v>72</v>
      </c>
      <c r="D34" s="9">
        <f>SUM($C$33:C34)</f>
        <v>80</v>
      </c>
      <c r="E34" s="9">
        <f t="shared" si="13"/>
        <v>248.95611610665745</v>
      </c>
      <c r="F34" s="9">
        <f t="shared" si="14"/>
        <v>-2.6758361061201077E-2</v>
      </c>
      <c r="G34" s="282">
        <f t="shared" ref="G34:G42" si="16">E34*U8</f>
        <v>-1658.4604136773851</v>
      </c>
      <c r="O34" s="99">
        <v>2</v>
      </c>
      <c r="P34" s="93">
        <f>Q33+1</f>
        <v>37</v>
      </c>
      <c r="Q34" s="1">
        <f t="shared" ref="Q34:Q42" si="17">P34*8+28</f>
        <v>324</v>
      </c>
      <c r="R34" s="9">
        <f>SUM($Q$33:Q34)</f>
        <v>360</v>
      </c>
      <c r="S34" s="277">
        <f>R34/R8</f>
        <v>1120.3025224799585</v>
      </c>
      <c r="T34" s="9">
        <f t="shared" ref="T34:T42" si="18">U8/S34</f>
        <v>-5.9463024580446834E-3</v>
      </c>
      <c r="U34" s="282">
        <f t="shared" ref="U34:U42" si="19">S34*U8</f>
        <v>-7463.0718615482328</v>
      </c>
    </row>
    <row r="35" spans="1:21" x14ac:dyDescent="0.2">
      <c r="A35" s="97">
        <v>3</v>
      </c>
      <c r="B35" s="93">
        <f t="shared" si="15"/>
        <v>81</v>
      </c>
      <c r="C35" s="1">
        <f t="shared" si="12"/>
        <v>648</v>
      </c>
      <c r="D35" s="9">
        <f>SUM($C$33:C35)</f>
        <v>728</v>
      </c>
      <c r="E35" s="9">
        <f t="shared" si="13"/>
        <v>1496.4962138186272</v>
      </c>
      <c r="F35" s="9">
        <f t="shared" si="14"/>
        <v>-5.4884534305484636E-2</v>
      </c>
      <c r="G35" s="282">
        <f t="shared" si="16"/>
        <v>-122913.96495968015</v>
      </c>
      <c r="O35" s="99">
        <v>3</v>
      </c>
      <c r="P35" s="93">
        <f t="shared" ref="P35:P42" si="20">Q34+1</f>
        <v>325</v>
      </c>
      <c r="Q35" s="1">
        <f t="shared" si="17"/>
        <v>2628</v>
      </c>
      <c r="R35" s="9">
        <f>SUM($Q$33:Q35)</f>
        <v>2988</v>
      </c>
      <c r="S35" s="277">
        <f t="shared" ref="S35:S42" si="21">R35/R9</f>
        <v>6142.2124819918381</v>
      </c>
      <c r="T35" s="9">
        <f t="shared" si="18"/>
        <v>-1.3372135533598666E-2</v>
      </c>
      <c r="U35" s="282">
        <f t="shared" si="19"/>
        <v>-504487.53749934654</v>
      </c>
    </row>
    <row r="36" spans="1:21" x14ac:dyDescent="0.2">
      <c r="A36" s="97">
        <v>4</v>
      </c>
      <c r="B36" s="93">
        <f t="shared" si="15"/>
        <v>729</v>
      </c>
      <c r="C36" s="1">
        <f t="shared" si="12"/>
        <v>5832</v>
      </c>
      <c r="D36" s="9">
        <f>SUM($C$33:C36)</f>
        <v>6560</v>
      </c>
      <c r="E36" s="9">
        <f t="shared" si="13"/>
        <v>11203.617896168254</v>
      </c>
      <c r="F36" s="9">
        <f t="shared" si="14"/>
        <v>-7.9398295174943609E-2</v>
      </c>
      <c r="G36" s="282">
        <f t="shared" si="16"/>
        <v>-9966157.6932514217</v>
      </c>
      <c r="O36" s="99">
        <v>4</v>
      </c>
      <c r="P36" s="93">
        <f t="shared" si="20"/>
        <v>2629</v>
      </c>
      <c r="Q36" s="1">
        <f t="shared" si="17"/>
        <v>21060</v>
      </c>
      <c r="R36" s="9">
        <f>SUM($Q$33:Q36)</f>
        <v>24048</v>
      </c>
      <c r="S36" s="277">
        <f t="shared" si="21"/>
        <v>41070.823653514359</v>
      </c>
      <c r="T36" s="9">
        <f t="shared" si="18"/>
        <v>-2.1658882915320612E-2</v>
      </c>
      <c r="U36" s="282">
        <f t="shared" si="19"/>
        <v>-36534475.641358256</v>
      </c>
    </row>
    <row r="37" spans="1:21" x14ac:dyDescent="0.2">
      <c r="A37" s="97">
        <v>5</v>
      </c>
      <c r="B37" s="93">
        <f t="shared" si="15"/>
        <v>6561</v>
      </c>
      <c r="C37" s="1">
        <f t="shared" si="12"/>
        <v>52488</v>
      </c>
      <c r="D37" s="9">
        <f>SUM($C$33:C37)</f>
        <v>59048</v>
      </c>
      <c r="E37" s="9">
        <f t="shared" si="13"/>
        <v>90627.739567267083</v>
      </c>
      <c r="F37" s="9">
        <f t="shared" si="14"/>
        <v>-9.9168103679587311E-2</v>
      </c>
      <c r="G37" s="282">
        <f t="shared" si="16"/>
        <v>-814506031.33484375</v>
      </c>
      <c r="O37" s="99">
        <v>5</v>
      </c>
      <c r="P37" s="93">
        <f t="shared" si="20"/>
        <v>21061</v>
      </c>
      <c r="Q37" s="1">
        <f t="shared" si="17"/>
        <v>168516</v>
      </c>
      <c r="R37" s="9">
        <f>SUM($Q$33:Q37)</f>
        <v>192564</v>
      </c>
      <c r="S37" s="277">
        <f t="shared" si="21"/>
        <v>295550.06167916307</v>
      </c>
      <c r="T37" s="9">
        <f t="shared" si="18"/>
        <v>-3.0408997455766761E-2</v>
      </c>
      <c r="U37" s="282">
        <f t="shared" si="19"/>
        <v>-2656221030.6523991</v>
      </c>
    </row>
    <row r="38" spans="1:21" x14ac:dyDescent="0.2">
      <c r="A38" s="97">
        <v>6</v>
      </c>
      <c r="B38" s="93">
        <f t="shared" si="15"/>
        <v>59049</v>
      </c>
      <c r="C38" s="1">
        <f t="shared" si="12"/>
        <v>472392</v>
      </c>
      <c r="D38" s="9">
        <f>SUM($C$33:C38)</f>
        <v>531440</v>
      </c>
      <c r="E38" s="9">
        <f t="shared" si="13"/>
        <v>760627.89466901484</v>
      </c>
      <c r="F38" s="9">
        <f t="shared" si="14"/>
        <v>-0.11431873014988388</v>
      </c>
      <c r="G38" s="282">
        <f t="shared" si="16"/>
        <v>-66139649389.197472</v>
      </c>
      <c r="O38" s="99">
        <v>6</v>
      </c>
      <c r="P38" s="93">
        <f t="shared" si="20"/>
        <v>168517</v>
      </c>
      <c r="Q38" s="1">
        <f t="shared" si="17"/>
        <v>1348164</v>
      </c>
      <c r="R38" s="9">
        <f>SUM($Q$33:Q38)</f>
        <v>1540728</v>
      </c>
      <c r="S38" s="277">
        <f t="shared" si="21"/>
        <v>2205179.6908354694</v>
      </c>
      <c r="T38" s="9">
        <f t="shared" si="18"/>
        <v>-3.9431714066891943E-2</v>
      </c>
      <c r="U38" s="282">
        <f t="shared" si="19"/>
        <v>-191749227992.09589</v>
      </c>
    </row>
    <row r="39" spans="1:21" x14ac:dyDescent="0.2">
      <c r="A39" s="97">
        <v>7</v>
      </c>
      <c r="B39" s="93">
        <f t="shared" si="15"/>
        <v>531441</v>
      </c>
      <c r="C39" s="1">
        <f t="shared" si="12"/>
        <v>4251528</v>
      </c>
      <c r="D39" s="9">
        <f>SUM($C$33:C39)</f>
        <v>4782968</v>
      </c>
      <c r="E39" s="9">
        <f t="shared" si="13"/>
        <v>6516049.8088268619</v>
      </c>
      <c r="F39" s="9">
        <f t="shared" si="14"/>
        <v>-0.12534662515633072</v>
      </c>
      <c r="G39" s="282">
        <f t="shared" si="16"/>
        <v>-5322080463510.8428</v>
      </c>
      <c r="O39" s="99">
        <v>7</v>
      </c>
      <c r="P39" s="93">
        <f t="shared" si="20"/>
        <v>1348165</v>
      </c>
      <c r="Q39" s="1">
        <f t="shared" si="17"/>
        <v>10785348</v>
      </c>
      <c r="R39" s="9">
        <f>SUM($Q$33:Q39)</f>
        <v>12326076</v>
      </c>
      <c r="S39" s="277">
        <f t="shared" si="21"/>
        <v>16792360.969880074</v>
      </c>
      <c r="T39" s="9">
        <f t="shared" si="18"/>
        <v>-4.8639071917999273E-2</v>
      </c>
      <c r="U39" s="282">
        <f t="shared" si="19"/>
        <v>-13715410237189.516</v>
      </c>
    </row>
    <row r="40" spans="1:21" x14ac:dyDescent="0.2">
      <c r="A40" s="97">
        <v>8</v>
      </c>
      <c r="B40" s="93">
        <f t="shared" si="15"/>
        <v>4782969</v>
      </c>
      <c r="C40" s="1">
        <f t="shared" si="12"/>
        <v>38263752</v>
      </c>
      <c r="D40" s="9">
        <f>SUM($C$33:C40)</f>
        <v>43046720</v>
      </c>
      <c r="E40" s="9">
        <f t="shared" si="13"/>
        <v>56528415.654285319</v>
      </c>
      <c r="F40" s="9">
        <f t="shared" si="14"/>
        <v>-0.13283088279697089</v>
      </c>
      <c r="G40" s="282">
        <f t="shared" si="16"/>
        <v>-424456008701016.94</v>
      </c>
      <c r="O40" s="99">
        <v>8</v>
      </c>
      <c r="P40" s="93">
        <f t="shared" si="20"/>
        <v>10785349</v>
      </c>
      <c r="Q40" s="1">
        <f t="shared" si="17"/>
        <v>86282820</v>
      </c>
      <c r="R40" s="9">
        <f>SUM($Q$33:Q40)</f>
        <v>98608896</v>
      </c>
      <c r="S40" s="277">
        <f t="shared" si="21"/>
        <v>129491971.98528002</v>
      </c>
      <c r="T40" s="9">
        <f t="shared" si="18"/>
        <v>-5.7985983527429633E-2</v>
      </c>
      <c r="U40" s="282">
        <f t="shared" si="19"/>
        <v>-972318876294725.25</v>
      </c>
    </row>
    <row r="41" spans="1:21" x14ac:dyDescent="0.2">
      <c r="A41" s="97">
        <v>9</v>
      </c>
      <c r="B41" s="93">
        <f t="shared" si="15"/>
        <v>43046721</v>
      </c>
      <c r="C41" s="1">
        <f t="shared" si="12"/>
        <v>344373768</v>
      </c>
      <c r="D41" s="9">
        <f>SUM($C$33:C41)</f>
        <v>387420488</v>
      </c>
      <c r="E41" s="9">
        <f t="shared" si="13"/>
        <v>494488690.50874335</v>
      </c>
      <c r="F41" s="9">
        <f t="shared" si="14"/>
        <v>-0.13733548053762581</v>
      </c>
      <c r="G41" s="282">
        <f t="shared" si="16"/>
        <v>-3.3581143298023824E+16</v>
      </c>
      <c r="O41" s="99">
        <v>9</v>
      </c>
      <c r="P41" s="93">
        <f t="shared" si="20"/>
        <v>86282821</v>
      </c>
      <c r="Q41" s="1">
        <f t="shared" si="17"/>
        <v>690262596</v>
      </c>
      <c r="R41" s="9">
        <f>SUM($Q$33:Q41)</f>
        <v>788871492</v>
      </c>
      <c r="S41" s="277">
        <f t="shared" si="21"/>
        <v>1006885394.9168496</v>
      </c>
      <c r="T41" s="9">
        <f t="shared" si="18"/>
        <v>-6.7446446511469943E-2</v>
      </c>
      <c r="U41" s="282">
        <f t="shared" si="19"/>
        <v>-6.8378434897273304E+16</v>
      </c>
    </row>
    <row r="42" spans="1:21" ht="17" thickBot="1" x14ac:dyDescent="0.25">
      <c r="A42" s="145">
        <v>10</v>
      </c>
      <c r="B42" s="94">
        <f t="shared" si="15"/>
        <v>387420489</v>
      </c>
      <c r="C42" s="111">
        <f t="shared" si="12"/>
        <v>3099363912</v>
      </c>
      <c r="D42" s="10">
        <f>SUM($C$33:C42)</f>
        <v>3486784400</v>
      </c>
      <c r="E42" s="9">
        <f t="shared" si="13"/>
        <v>4350629501.8846502</v>
      </c>
      <c r="F42" s="10">
        <f t="shared" si="14"/>
        <v>-0.13937511317194115</v>
      </c>
      <c r="G42" s="283">
        <f t="shared" si="16"/>
        <v>-2.638088945225409E+18</v>
      </c>
      <c r="O42" s="100">
        <v>10</v>
      </c>
      <c r="P42" s="94">
        <f t="shared" si="20"/>
        <v>690262597</v>
      </c>
      <c r="Q42" s="111">
        <f t="shared" si="17"/>
        <v>5522100804</v>
      </c>
      <c r="R42" s="10">
        <f>SUM($Q$33:Q42)</f>
        <v>6310972296</v>
      </c>
      <c r="S42" s="278">
        <f t="shared" si="21"/>
        <v>7874505305.3909235</v>
      </c>
      <c r="T42" s="10">
        <f t="shared" si="18"/>
        <v>-7.7004136219101363E-2</v>
      </c>
      <c r="U42" s="283">
        <f t="shared" si="19"/>
        <v>-4.7748596809431112E+18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8</v>
      </c>
      <c r="D45" s="57">
        <f>SUM(C45:C45)</f>
        <v>8</v>
      </c>
      <c r="E45" s="57">
        <f t="shared" ref="E45:E54" si="23">D45/R7</f>
        <v>-892.14944281923442</v>
      </c>
      <c r="F45" s="8">
        <f t="shared" ref="F45:F54" si="24">U7/E45</f>
        <v>4.3801268774275472E-4</v>
      </c>
      <c r="G45" s="281">
        <f>E45*U7</f>
        <v>348.62771376839237</v>
      </c>
      <c r="O45" s="101">
        <v>1</v>
      </c>
      <c r="P45" s="109">
        <v>1</v>
      </c>
      <c r="Q45" s="110">
        <f>P45*8+28</f>
        <v>36</v>
      </c>
      <c r="R45" s="57">
        <f>SUM($Q$21)</f>
        <v>36</v>
      </c>
      <c r="S45" s="276">
        <f>R45/R7</f>
        <v>-4014.6724926865545</v>
      </c>
      <c r="T45" s="8">
        <f>U7/S45</f>
        <v>9.7336152831723274E-5</v>
      </c>
      <c r="U45" s="284">
        <f>S45*U7</f>
        <v>1568.8247119577657</v>
      </c>
    </row>
    <row r="46" spans="1:21" x14ac:dyDescent="0.2">
      <c r="A46" s="97">
        <v>2</v>
      </c>
      <c r="B46" s="93">
        <f t="shared" ref="B46:B54" si="25">B45*$O$2*2</f>
        <v>16</v>
      </c>
      <c r="C46" s="1">
        <f t="shared" si="22"/>
        <v>128</v>
      </c>
      <c r="D46" s="9">
        <f>SUM($C$45:C46)</f>
        <v>136</v>
      </c>
      <c r="E46" s="9">
        <f t="shared" si="23"/>
        <v>423.22539738131769</v>
      </c>
      <c r="F46" s="9">
        <f t="shared" si="24"/>
        <v>-1.5740212388941809E-2</v>
      </c>
      <c r="G46" s="282">
        <f t="shared" ref="G46:G54" si="26">E46*U8</f>
        <v>-2819.3827032515551</v>
      </c>
      <c r="O46" s="99">
        <v>2</v>
      </c>
      <c r="P46" s="93">
        <f>Q45*2</f>
        <v>72</v>
      </c>
      <c r="Q46" s="1">
        <f t="shared" ref="Q46:Q54" si="27">P46*8+28</f>
        <v>604</v>
      </c>
      <c r="R46" s="9">
        <f>SUM($Q$45:Q46)</f>
        <v>640</v>
      </c>
      <c r="S46" s="277">
        <f t="shared" ref="S46:S54" si="28">R46/R8</f>
        <v>1991.6489288532596</v>
      </c>
      <c r="T46" s="9">
        <f t="shared" ref="T46:T54" si="29">U8/S46</f>
        <v>-3.3447951326501346E-3</v>
      </c>
      <c r="U46" s="282">
        <f t="shared" ref="U46:U54" si="30">S46*U8</f>
        <v>-13267.683309419081</v>
      </c>
    </row>
    <row r="47" spans="1:21" x14ac:dyDescent="0.2">
      <c r="A47" s="97">
        <v>3</v>
      </c>
      <c r="B47" s="93">
        <f t="shared" si="25"/>
        <v>256</v>
      </c>
      <c r="C47" s="1">
        <f t="shared" si="22"/>
        <v>2048</v>
      </c>
      <c r="D47" s="9">
        <f>SUM($C$45:C47)</f>
        <v>2184</v>
      </c>
      <c r="E47" s="9">
        <f t="shared" si="23"/>
        <v>4489.4886414558814</v>
      </c>
      <c r="F47" s="9">
        <f t="shared" si="24"/>
        <v>-1.829484476849488E-2</v>
      </c>
      <c r="G47" s="282">
        <f t="shared" si="26"/>
        <v>-368741.89487904042</v>
      </c>
      <c r="O47" s="99">
        <v>3</v>
      </c>
      <c r="P47" s="93">
        <f t="shared" ref="P47:P54" si="31">Q46*2</f>
        <v>1208</v>
      </c>
      <c r="Q47" s="1">
        <f t="shared" si="27"/>
        <v>9692</v>
      </c>
      <c r="R47" s="9">
        <f>SUM($Q$45:Q47)</f>
        <v>10332</v>
      </c>
      <c r="S47" s="277">
        <f t="shared" si="28"/>
        <v>21238.73472688744</v>
      </c>
      <c r="T47" s="9">
        <f t="shared" si="29"/>
        <v>-3.8672029591940394E-3</v>
      </c>
      <c r="U47" s="282">
        <f t="shared" si="30"/>
        <v>-1744432.8103893066</v>
      </c>
    </row>
    <row r="48" spans="1:21" x14ac:dyDescent="0.2">
      <c r="A48" s="97">
        <v>4</v>
      </c>
      <c r="B48" s="93">
        <f t="shared" si="25"/>
        <v>4096</v>
      </c>
      <c r="C48" s="1">
        <f t="shared" si="22"/>
        <v>32768</v>
      </c>
      <c r="D48" s="9">
        <f>SUM($C$45:C48)</f>
        <v>34952</v>
      </c>
      <c r="E48" s="9">
        <f t="shared" si="23"/>
        <v>59693.422668730615</v>
      </c>
      <c r="F48" s="9">
        <f t="shared" si="24"/>
        <v>-1.4901945993008415E-2</v>
      </c>
      <c r="G48" s="282">
        <f t="shared" si="26"/>
        <v>-53100174.343677387</v>
      </c>
      <c r="O48" s="99">
        <v>4</v>
      </c>
      <c r="P48" s="93">
        <f t="shared" si="31"/>
        <v>19384</v>
      </c>
      <c r="Q48" s="1">
        <f t="shared" si="27"/>
        <v>155100</v>
      </c>
      <c r="R48" s="9">
        <f>SUM($Q$45:Q48)</f>
        <v>165432</v>
      </c>
      <c r="S48" s="277">
        <f t="shared" si="28"/>
        <v>282536.11521324801</v>
      </c>
      <c r="T48" s="9">
        <f t="shared" si="29"/>
        <v>-3.1484405456479402E-3</v>
      </c>
      <c r="U48" s="282">
        <f t="shared" si="30"/>
        <v>-251329481.63261726</v>
      </c>
    </row>
    <row r="49" spans="1:21" x14ac:dyDescent="0.2">
      <c r="A49" s="97">
        <v>5</v>
      </c>
      <c r="B49" s="93">
        <f t="shared" si="25"/>
        <v>65536</v>
      </c>
      <c r="C49" s="1">
        <f t="shared" si="22"/>
        <v>524288</v>
      </c>
      <c r="D49" s="9">
        <f>SUM($C$45:C49)</f>
        <v>559240</v>
      </c>
      <c r="E49" s="9">
        <f t="shared" si="23"/>
        <v>858329.78383007797</v>
      </c>
      <c r="F49" s="9">
        <f t="shared" si="24"/>
        <v>-1.0470778531707803E-2</v>
      </c>
      <c r="G49" s="282">
        <f t="shared" si="26"/>
        <v>-7714136854.147439</v>
      </c>
      <c r="O49" s="99">
        <v>5</v>
      </c>
      <c r="P49" s="93">
        <f t="shared" si="31"/>
        <v>310200</v>
      </c>
      <c r="Q49" s="1">
        <f t="shared" si="27"/>
        <v>2481628</v>
      </c>
      <c r="R49" s="9">
        <f>SUM($Q$45:Q49)</f>
        <v>2647060</v>
      </c>
      <c r="S49" s="277">
        <f t="shared" si="28"/>
        <v>4062746.6518583191</v>
      </c>
      <c r="T49" s="9">
        <f t="shared" si="29"/>
        <v>-2.2121441093410315E-3</v>
      </c>
      <c r="U49" s="282">
        <f t="shared" si="30"/>
        <v>-36513452365.960091</v>
      </c>
    </row>
    <row r="50" spans="1:21" x14ac:dyDescent="0.2">
      <c r="A50" s="97">
        <v>6</v>
      </c>
      <c r="B50" s="93">
        <f t="shared" si="25"/>
        <v>1048576</v>
      </c>
      <c r="C50" s="1">
        <f t="shared" si="22"/>
        <v>8388608</v>
      </c>
      <c r="D50" s="9">
        <f>SUM($C$45:C50)</f>
        <v>8947848</v>
      </c>
      <c r="E50" s="9">
        <f t="shared" si="23"/>
        <v>12806681.442982001</v>
      </c>
      <c r="F50" s="9">
        <f t="shared" si="24"/>
        <v>-6.7897382645362653E-3</v>
      </c>
      <c r="G50" s="282">
        <f t="shared" si="26"/>
        <v>-1113592370743.3232</v>
      </c>
      <c r="O50" s="99">
        <v>6</v>
      </c>
      <c r="P50" s="93">
        <f t="shared" si="31"/>
        <v>4963256</v>
      </c>
      <c r="Q50" s="1">
        <f t="shared" si="27"/>
        <v>39706076</v>
      </c>
      <c r="R50" s="9">
        <f>SUM($Q$45:Q50)</f>
        <v>42353136</v>
      </c>
      <c r="S50" s="277">
        <f t="shared" si="28"/>
        <v>60618276.133355528</v>
      </c>
      <c r="T50" s="9">
        <f t="shared" si="29"/>
        <v>-1.4344521253598385E-3</v>
      </c>
      <c r="U50" s="282">
        <f t="shared" si="30"/>
        <v>-5271002494304.1504</v>
      </c>
    </row>
    <row r="51" spans="1:21" x14ac:dyDescent="0.2">
      <c r="A51" s="97">
        <v>7</v>
      </c>
      <c r="B51" s="93">
        <f t="shared" si="25"/>
        <v>16777216</v>
      </c>
      <c r="C51" s="1">
        <f t="shared" si="22"/>
        <v>134217728</v>
      </c>
      <c r="D51" s="9">
        <f>SUM($C$45:C51)</f>
        <v>143165576</v>
      </c>
      <c r="E51" s="9">
        <f t="shared" si="23"/>
        <v>195040824.88642773</v>
      </c>
      <c r="F51" s="9">
        <f t="shared" si="24"/>
        <v>-4.1876609851429986E-3</v>
      </c>
      <c r="G51" s="282">
        <f t="shared" si="26"/>
        <v>-159302490645322.47</v>
      </c>
      <c r="O51" s="99">
        <v>7</v>
      </c>
      <c r="P51" s="93">
        <f t="shared" si="31"/>
        <v>79412152</v>
      </c>
      <c r="Q51" s="1">
        <f t="shared" si="27"/>
        <v>635297244</v>
      </c>
      <c r="R51" s="9">
        <f>SUM($Q$45:Q51)</f>
        <v>677650380</v>
      </c>
      <c r="S51" s="277">
        <f t="shared" si="28"/>
        <v>923193219.99445748</v>
      </c>
      <c r="T51" s="9">
        <f t="shared" si="29"/>
        <v>-8.847171265966452E-4</v>
      </c>
      <c r="U51" s="282">
        <f t="shared" si="30"/>
        <v>-754031774515049.88</v>
      </c>
    </row>
    <row r="52" spans="1:21" x14ac:dyDescent="0.2">
      <c r="A52" s="97">
        <v>8</v>
      </c>
      <c r="B52" s="93">
        <f t="shared" si="25"/>
        <v>268435456</v>
      </c>
      <c r="C52" s="1">
        <f t="shared" si="22"/>
        <v>2147483648</v>
      </c>
      <c r="D52" s="9">
        <f>SUM($C$45:C52)</f>
        <v>2290649224</v>
      </c>
      <c r="E52" s="9">
        <f t="shared" si="23"/>
        <v>3008051982.8790236</v>
      </c>
      <c r="F52" s="9">
        <f t="shared" si="24"/>
        <v>-2.4962066470959683E-3</v>
      </c>
      <c r="G52" s="282">
        <f t="shared" si="26"/>
        <v>-2.2586618143104088E+16</v>
      </c>
      <c r="O52" s="99">
        <v>8</v>
      </c>
      <c r="P52" s="93">
        <f t="shared" si="31"/>
        <v>1270594488</v>
      </c>
      <c r="Q52" s="1">
        <f t="shared" si="27"/>
        <v>10164755932</v>
      </c>
      <c r="R52" s="9">
        <f>SUM($Q$45:Q52)</f>
        <v>10842406312</v>
      </c>
      <c r="S52" s="277">
        <f t="shared" si="28"/>
        <v>14238112699.350445</v>
      </c>
      <c r="T52" s="9">
        <f t="shared" si="29"/>
        <v>-5.2736760222549587E-4</v>
      </c>
      <c r="U52" s="282">
        <f t="shared" si="30"/>
        <v>-1.0690999239677803E+17</v>
      </c>
    </row>
    <row r="53" spans="1:21" x14ac:dyDescent="0.2">
      <c r="A53" s="97">
        <v>9</v>
      </c>
      <c r="B53" s="93">
        <f t="shared" si="25"/>
        <v>4294967296</v>
      </c>
      <c r="C53" s="1">
        <f t="shared" si="22"/>
        <v>34359738368</v>
      </c>
      <c r="D53" s="9">
        <f>SUM($C$45:C53)</f>
        <v>36650387592</v>
      </c>
      <c r="E53" s="9">
        <f t="shared" si="23"/>
        <v>46779152699.342979</v>
      </c>
      <c r="F53" s="9">
        <f t="shared" si="24"/>
        <v>-1.4517330480078024E-3</v>
      </c>
      <c r="G53" s="282">
        <f t="shared" si="26"/>
        <v>-3.1768116446517571E+18</v>
      </c>
      <c r="O53" s="99">
        <v>9</v>
      </c>
      <c r="P53" s="93">
        <f t="shared" si="31"/>
        <v>20329511864</v>
      </c>
      <c r="Q53" s="1">
        <f t="shared" si="27"/>
        <v>162636094940</v>
      </c>
      <c r="R53" s="9">
        <f>SUM($Q$45:Q53)</f>
        <v>173478501252</v>
      </c>
      <c r="S53" s="277">
        <f t="shared" si="28"/>
        <v>221421322755.44724</v>
      </c>
      <c r="T53" s="9">
        <f t="shared" si="29"/>
        <v>-3.0670416510177273E-4</v>
      </c>
      <c r="U53" s="282">
        <f t="shared" si="30"/>
        <v>-1.5036908449895447E+19</v>
      </c>
    </row>
    <row r="54" spans="1:21" ht="17" thickBot="1" x14ac:dyDescent="0.25">
      <c r="A54" s="145">
        <v>10</v>
      </c>
      <c r="B54" s="94">
        <f t="shared" si="25"/>
        <v>68719476736</v>
      </c>
      <c r="C54" s="111">
        <f t="shared" si="22"/>
        <v>549755813888</v>
      </c>
      <c r="D54" s="10">
        <f>SUM($C$45:C54)</f>
        <v>586406201480</v>
      </c>
      <c r="E54" s="10">
        <f t="shared" si="23"/>
        <v>731687373686.48389</v>
      </c>
      <c r="F54" s="10">
        <f t="shared" si="24"/>
        <v>-8.2872754266520728E-4</v>
      </c>
      <c r="G54" s="283">
        <f t="shared" si="26"/>
        <v>-4.4367289171536164E+20</v>
      </c>
      <c r="O54" s="100">
        <v>10</v>
      </c>
      <c r="P54" s="94">
        <f t="shared" si="31"/>
        <v>325272189880</v>
      </c>
      <c r="Q54" s="111">
        <f t="shared" si="27"/>
        <v>2602177519068</v>
      </c>
      <c r="R54" s="10">
        <f>SUM($Q$45:Q54)</f>
        <v>2775656020320</v>
      </c>
      <c r="S54" s="278">
        <f t="shared" si="28"/>
        <v>3463320235426.0654</v>
      </c>
      <c r="T54" s="10">
        <f t="shared" si="29"/>
        <v>-1.75083283662841E-4</v>
      </c>
      <c r="U54" s="283">
        <f t="shared" si="30"/>
        <v>-2.1000516874385883E+21</v>
      </c>
    </row>
  </sheetData>
  <mergeCells count="2">
    <mergeCell ref="A18:F18"/>
    <mergeCell ref="O18:T18"/>
  </mergeCells>
  <conditionalFormatting sqref="F45:F54">
    <cfRule type="cellIs" dxfId="548" priority="63" operator="equal">
      <formula>MAX($F$45:$F$54)</formula>
    </cfRule>
  </conditionalFormatting>
  <conditionalFormatting sqref="F21:F30">
    <cfRule type="cellIs" dxfId="547" priority="61" operator="equal">
      <formula>MAX($F$21:$F$30)</formula>
    </cfRule>
  </conditionalFormatting>
  <conditionalFormatting sqref="F33:F42">
    <cfRule type="cellIs" dxfId="546" priority="42" operator="lessThanOrEqual">
      <formula>0</formula>
    </cfRule>
    <cfRule type="cellIs" dxfId="545" priority="59" operator="equal">
      <formula>MAX($F$33:$F$42)</formula>
    </cfRule>
  </conditionalFormatting>
  <conditionalFormatting sqref="E33:E42">
    <cfRule type="cellIs" dxfId="544" priority="57" stopIfTrue="1" operator="lessThan">
      <formula>0</formula>
    </cfRule>
    <cfRule type="cellIs" dxfId="543" priority="58" operator="equal">
      <formula>MIN($E$33:$E$42)</formula>
    </cfRule>
  </conditionalFormatting>
  <conditionalFormatting sqref="E21:E30">
    <cfRule type="cellIs" dxfId="542" priority="53" stopIfTrue="1" operator="lessThan">
      <formula>0</formula>
    </cfRule>
    <cfRule type="cellIs" dxfId="541" priority="54" operator="equal">
      <formula>MIN($E$21:$E$30)</formula>
    </cfRule>
  </conditionalFormatting>
  <conditionalFormatting sqref="E45:E54">
    <cfRule type="cellIs" dxfId="540" priority="49" stopIfTrue="1" operator="lessThan">
      <formula>0</formula>
    </cfRule>
    <cfRule type="cellIs" dxfId="539" priority="50" operator="equal">
      <formula>MIN($E$45:$E$54)</formula>
    </cfRule>
  </conditionalFormatting>
  <conditionalFormatting sqref="R7:R16">
    <cfRule type="cellIs" dxfId="538" priority="27" operator="lessThanOrEqual">
      <formula>0</formula>
    </cfRule>
    <cfRule type="cellIs" dxfId="537" priority="28" operator="greaterThan">
      <formula>0</formula>
    </cfRule>
  </conditionalFormatting>
  <conditionalFormatting sqref="T21:T30">
    <cfRule type="cellIs" dxfId="536" priority="19" operator="equal">
      <formula>MAX($T$21:$T$30)</formula>
    </cfRule>
  </conditionalFormatting>
  <conditionalFormatting sqref="S33:S42">
    <cfRule type="cellIs" dxfId="535" priority="17" stopIfTrue="1" operator="lessThan">
      <formula>0</formula>
    </cfRule>
    <cfRule type="cellIs" dxfId="534" priority="18" operator="equal">
      <formula>MIN($E$21:$E$30)</formula>
    </cfRule>
  </conditionalFormatting>
  <conditionalFormatting sqref="T33:T42">
    <cfRule type="cellIs" dxfId="533" priority="16" operator="equal">
      <formula>MAX($T$21:$T$30)</formula>
    </cfRule>
  </conditionalFormatting>
  <conditionalFormatting sqref="S45:S54">
    <cfRule type="cellIs" dxfId="532" priority="14" stopIfTrue="1" operator="lessThan">
      <formula>0</formula>
    </cfRule>
    <cfRule type="cellIs" dxfId="531" priority="15" operator="equal">
      <formula>MIN($E$21:$E$30)</formula>
    </cfRule>
  </conditionalFormatting>
  <conditionalFormatting sqref="T45:T54">
    <cfRule type="cellIs" dxfId="530" priority="13" operator="equal">
      <formula>MAX($T$21:$T$30)</formula>
    </cfRule>
  </conditionalFormatting>
  <conditionalFormatting sqref="S21:S30">
    <cfRule type="cellIs" dxfId="529" priority="11" stopIfTrue="1" operator="lessThan">
      <formula>0</formula>
    </cfRule>
    <cfRule type="cellIs" dxfId="528" priority="12" operator="equal">
      <formula>MIN($E$21:$E$30)</formula>
    </cfRule>
  </conditionalFormatting>
  <conditionalFormatting sqref="U7:U16">
    <cfRule type="cellIs" dxfId="527" priority="7" operator="lessThanOrEqual">
      <formula>0</formula>
    </cfRule>
    <cfRule type="cellIs" dxfId="526" priority="8" operator="greaterThan">
      <formula>0</formula>
    </cfRule>
  </conditionalFormatting>
  <conditionalFormatting sqref="S7:T16">
    <cfRule type="cellIs" dxfId="525" priority="1" operator="lessThanOrEqual">
      <formula>0</formula>
    </cfRule>
    <cfRule type="cellIs" dxfId="52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0.99999999999999956</v>
      </c>
    </row>
    <row r="2" spans="1:23" x14ac:dyDescent="0.2">
      <c r="A2" t="s">
        <v>40</v>
      </c>
      <c r="B2" s="149" t="s">
        <v>125</v>
      </c>
      <c r="C2" s="155">
        <f>Analysis!B32</f>
        <v>0.50075646139666463</v>
      </c>
      <c r="D2" s="149" t="s">
        <v>126</v>
      </c>
      <c r="E2" s="155">
        <f>Analysis!M32</f>
        <v>0.49924353860333492</v>
      </c>
      <c r="F2" s="149" t="s">
        <v>47</v>
      </c>
      <c r="G2" s="155">
        <f>Analysis!S32</f>
        <v>11.639849465299823</v>
      </c>
      <c r="H2" t="s">
        <v>155</v>
      </c>
      <c r="I2" s="169">
        <f>Analysis!T32</f>
        <v>-12.32122879475761</v>
      </c>
      <c r="J2" t="s">
        <v>48</v>
      </c>
      <c r="K2" s="169">
        <f>C2*G2+E2*I2</f>
        <v>-0.32256403400269473</v>
      </c>
      <c r="L2" t="s">
        <v>47</v>
      </c>
      <c r="M2" s="176">
        <v>2</v>
      </c>
      <c r="N2" t="s">
        <v>155</v>
      </c>
      <c r="O2" s="176">
        <v>9</v>
      </c>
    </row>
    <row r="4" spans="1:23" x14ac:dyDescent="0.2">
      <c r="A4" t="s">
        <v>123</v>
      </c>
      <c r="B4">
        <f>$C$2</f>
        <v>0.50075646139666463</v>
      </c>
      <c r="C4" t="s">
        <v>124</v>
      </c>
      <c r="D4">
        <f>$E$2</f>
        <v>0.49924353860333492</v>
      </c>
      <c r="E4" t="s">
        <v>47</v>
      </c>
      <c r="F4">
        <f>G2</f>
        <v>11.639849465299823</v>
      </c>
      <c r="G4" t="s">
        <v>155</v>
      </c>
      <c r="H4">
        <f>I2</f>
        <v>-12.32122879475761</v>
      </c>
      <c r="I4" t="s">
        <v>48</v>
      </c>
      <c r="J4">
        <f>K2</f>
        <v>-0.32256403400269473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263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0.50075646139666463</v>
      </c>
      <c r="C7" s="95">
        <v>1</v>
      </c>
      <c r="D7" s="22">
        <f>C7*D4</f>
        <v>0.49924353860333492</v>
      </c>
      <c r="E7" s="2"/>
      <c r="F7" s="2"/>
      <c r="G7" s="2"/>
      <c r="H7" s="2"/>
      <c r="I7" s="2"/>
      <c r="J7" s="2"/>
      <c r="K7" s="2"/>
      <c r="L7" s="2"/>
      <c r="M7" s="256"/>
      <c r="N7" s="96">
        <f>B7+D7</f>
        <v>0.99999999999999956</v>
      </c>
      <c r="R7" s="296">
        <f>B7-D7</f>
        <v>1.5129227933297074E-3</v>
      </c>
      <c r="S7" s="297">
        <f>SUM(C7)*B4*F4*POWER(O2,A7-1)</f>
        <v>5.8287298294333985</v>
      </c>
      <c r="T7" s="276">
        <f>SUM(C7)*D4*H4*POWER(O2,A7-1)</f>
        <v>-6.1512938634360932</v>
      </c>
      <c r="U7" s="294">
        <f>S7+T7</f>
        <v>-0.32256403400269473</v>
      </c>
      <c r="V7" s="109">
        <f>(U7+W7*D7)/B7</f>
        <v>0.35282521189614147</v>
      </c>
      <c r="W7" s="57">
        <f>COUNT(D7:M7)</f>
        <v>1</v>
      </c>
    </row>
    <row r="8" spans="1:23" x14ac:dyDescent="0.2">
      <c r="A8" s="99">
        <v>2</v>
      </c>
      <c r="B8" s="97">
        <f>C8*B4</f>
        <v>0.66767477244074991</v>
      </c>
      <c r="C8" s="97">
        <f>1/(1-B4*D4)</f>
        <v>1.3333323160294963</v>
      </c>
      <c r="D8" s="144">
        <f>C8*D4</f>
        <v>0.66565754358874585</v>
      </c>
      <c r="E8" s="1">
        <f>D8*D4</f>
        <v>0.33232522755924915</v>
      </c>
      <c r="F8" s="1"/>
      <c r="G8" s="1"/>
      <c r="H8" s="1"/>
      <c r="I8" s="1"/>
      <c r="J8" s="1"/>
      <c r="K8" s="1"/>
      <c r="L8" s="1"/>
      <c r="M8" s="257"/>
      <c r="N8" s="97">
        <f>B8+E8</f>
        <v>0.99999999999999911</v>
      </c>
      <c r="R8" s="298">
        <f>B8-E8</f>
        <v>0.33534954488150076</v>
      </c>
      <c r="S8" s="299">
        <f>SUM(C8:D8)*B4*F4*POWER(O2,A8-1)</f>
        <v>104.86414641142558</v>
      </c>
      <c r="T8" s="277">
        <f>SUM(C8:D8)*D4*H4*POWER(O2,A8-1)</f>
        <v>-110.66736650886604</v>
      </c>
      <c r="U8" s="295">
        <f>S8+T8+U7</f>
        <v>-6.1257841314431536</v>
      </c>
      <c r="V8" s="93">
        <f>(U8+W8*E8)/B8</f>
        <v>-8.1793320666601659</v>
      </c>
      <c r="W8" s="9">
        <f>COUNT(D8:M8)</f>
        <v>2</v>
      </c>
    </row>
    <row r="9" spans="1:23" x14ac:dyDescent="0.2">
      <c r="A9" s="99">
        <v>3</v>
      </c>
      <c r="B9" s="97">
        <f>C9*B4</f>
        <v>0.7511335458984395</v>
      </c>
      <c r="C9" s="97">
        <f>1/(1-D4*B4/(1-D4*B4))</f>
        <v>1.4999977110698597</v>
      </c>
      <c r="D9" s="144">
        <f>C9*D4*C8</f>
        <v>0.998484791739504</v>
      </c>
      <c r="E9" s="1">
        <f>D9*(D4)</f>
        <v>0.49848708066964392</v>
      </c>
      <c r="F9" s="1">
        <f>E9*D4</f>
        <v>0.24886645410155911</v>
      </c>
      <c r="G9" s="1"/>
      <c r="H9" s="1"/>
      <c r="I9" s="1"/>
      <c r="J9" s="1"/>
      <c r="K9" s="1"/>
      <c r="L9" s="1"/>
      <c r="M9" s="257"/>
      <c r="N9" s="97">
        <f>B9+F9</f>
        <v>0.99999999999999867</v>
      </c>
      <c r="R9" s="298">
        <f>B9-F9</f>
        <v>0.50226709179688034</v>
      </c>
      <c r="S9" s="299">
        <f>SUM(C9:E9)*B4*F4*POWER(O2,A9-1)</f>
        <v>1414.9506067394229</v>
      </c>
      <c r="T9" s="277">
        <f>SUM(C9:E9)*D4*H4*POWER(O2,A9-1)</f>
        <v>-1493.2544892284823</v>
      </c>
      <c r="U9" s="295">
        <f t="shared" ref="U9:U16" si="0">S9+T9+U8</f>
        <v>-84.429666620502488</v>
      </c>
      <c r="V9" s="93">
        <f>(U9+W9*F9)/B9</f>
        <v>-111.40903999714662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0.80120850432352975</v>
      </c>
      <c r="C10" s="97">
        <f>1/(1-D4*B4/(1-D4*B4/(1-D4*B4)))</f>
        <v>1.5999963377184818</v>
      </c>
      <c r="D10" s="144">
        <f>C10*D4*C9</f>
        <v>1.1981799217228795</v>
      </c>
      <c r="E10" s="1">
        <f>D10*D4*C8</f>
        <v>0.79757750347140766</v>
      </c>
      <c r="F10" s="1">
        <f>E10*D4</f>
        <v>0.39818541514347922</v>
      </c>
      <c r="G10" s="1">
        <f>F10*D4</f>
        <v>0.1987914956764685</v>
      </c>
      <c r="H10" s="1"/>
      <c r="I10" s="1"/>
      <c r="J10" s="1"/>
      <c r="K10" s="1"/>
      <c r="L10" s="1"/>
      <c r="M10" s="257"/>
      <c r="N10" s="97">
        <f>B10+G10</f>
        <v>0.99999999999999822</v>
      </c>
      <c r="R10" s="298">
        <f>B10-G10</f>
        <v>0.60241700864706127</v>
      </c>
      <c r="S10" s="299">
        <f>SUM(C10:F10)*B4*F4*POWER(O2,A10-1)</f>
        <v>16970.822877153711</v>
      </c>
      <c r="T10" s="277">
        <f>SUM(C10:F10)*D4*H4*POWER(O2,A10-1)</f>
        <v>-17909.994402990593</v>
      </c>
      <c r="U10" s="295">
        <f t="shared" si="0"/>
        <v>-1023.6011924573847</v>
      </c>
      <c r="V10" s="93">
        <f>(U10+W10*G10)/B10</f>
        <v>-1276.5790939004655</v>
      </c>
      <c r="W10" s="9">
        <f t="shared" si="1"/>
        <v>4</v>
      </c>
    </row>
    <row r="11" spans="1:23" x14ac:dyDescent="0.2">
      <c r="A11" s="99">
        <v>5</v>
      </c>
      <c r="B11" s="97">
        <f>C11*B4</f>
        <v>0.83459155523441897</v>
      </c>
      <c r="C11" s="97">
        <f>1/(1-D4*B4/(1-D4*B4/(1-D4*B4/(1-D4*B4))))</f>
        <v>1.6666615801754243</v>
      </c>
      <c r="D11" s="144">
        <f>C11*D4*C10</f>
        <v>1.3313089926309334</v>
      </c>
      <c r="E11" s="1">
        <f>D11*D4*C9</f>
        <v>0.99696959735176738</v>
      </c>
      <c r="F11" s="1">
        <f>E11*D4*C8</f>
        <v>0.66364033320583848</v>
      </c>
      <c r="G11" s="1">
        <f>F11*D4</f>
        <v>0.33131814830957906</v>
      </c>
      <c r="H11" s="1">
        <f>G11*D4</f>
        <v>0.16540844476557878</v>
      </c>
      <c r="I11" s="1"/>
      <c r="J11" s="1"/>
      <c r="K11" s="1"/>
      <c r="L11" s="1"/>
      <c r="M11" s="257"/>
      <c r="N11" s="97">
        <f>B11+H11</f>
        <v>0.99999999999999778</v>
      </c>
      <c r="R11" s="298">
        <f>B11-H11</f>
        <v>0.66918311046884016</v>
      </c>
      <c r="S11" s="299">
        <f>SUM(C11:G11)*B4*F4*POWER(O2,A11-1)</f>
        <v>190825.18329771236</v>
      </c>
      <c r="T11" s="277">
        <f>SUM(C11:G11)*D4*H4*POWER(O2,A11-1)</f>
        <v>-201385.51851911636</v>
      </c>
      <c r="U11" s="295">
        <f t="shared" si="0"/>
        <v>-11583.936413861391</v>
      </c>
      <c r="V11" s="93">
        <f>(U11+W11*H11)/B11</f>
        <v>-13878.776149830697</v>
      </c>
      <c r="W11" s="9">
        <f t="shared" si="1"/>
        <v>5</v>
      </c>
    </row>
    <row r="12" spans="1:23" x14ac:dyDescent="0.2">
      <c r="A12" s="99">
        <v>6</v>
      </c>
      <c r="B12" s="97">
        <f>C12*B4</f>
        <v>0.85843637328224931</v>
      </c>
      <c r="C12" s="97">
        <f>1/(1-D4*B4/(1-D4*B4/(1-D4*B4/(1-D4*B4/(1-D4*B4)))))</f>
        <v>1.7142791745272268</v>
      </c>
      <c r="D12" s="144">
        <f>C12*D4*C11</f>
        <v>1.4264003155047145</v>
      </c>
      <c r="E12" s="1">
        <f>D12*D4*C10</f>
        <v>1.139391217575886</v>
      </c>
      <c r="F12" s="1">
        <f>E12*D4*C9</f>
        <v>0.8532492529536132</v>
      </c>
      <c r="G12" s="1">
        <f>F12*D4*C8</f>
        <v>0.56797180179003459</v>
      </c>
      <c r="H12" s="1">
        <f>G12*D4</f>
        <v>0.2835562521525688</v>
      </c>
      <c r="I12" s="1">
        <f>H12*D4</f>
        <v>0.14156362671774794</v>
      </c>
      <c r="J12" s="1"/>
      <c r="K12" s="1"/>
      <c r="L12" s="1"/>
      <c r="M12" s="257"/>
      <c r="N12" s="97">
        <f>B12+I12</f>
        <v>0.99999999999999722</v>
      </c>
      <c r="R12" s="298">
        <f>B12-I12</f>
        <v>0.7168727465645014</v>
      </c>
      <c r="S12" s="299">
        <f>SUM(C12:H12)*B4*F4*POWER(O2,A12-1)</f>
        <v>2059868.9857043247</v>
      </c>
      <c r="T12" s="277">
        <f>SUM(C12:H12)*D4*H4*POWER(O2,A12-1)</f>
        <v>-2173862.8864321639</v>
      </c>
      <c r="U12" s="295">
        <f t="shared" si="0"/>
        <v>-125577.8371417006</v>
      </c>
      <c r="V12" s="93">
        <f>(U12+W12*I12)/B12</f>
        <v>-146285.72561504363</v>
      </c>
      <c r="W12" s="9">
        <f t="shared" si="1"/>
        <v>6</v>
      </c>
    </row>
    <row r="13" spans="1:23" x14ac:dyDescent="0.2">
      <c r="A13" s="99">
        <v>7</v>
      </c>
      <c r="B13" s="97">
        <f>C13*B4</f>
        <v>0.87631979579294161</v>
      </c>
      <c r="C13" s="97">
        <f>1/(1-D4*B4/(1-D4*B4/(1-D4*B4/(1-D4*B4/(1-D4*B4/(1-D4*B4))))))</f>
        <v>1.749991988817857</v>
      </c>
      <c r="D13" s="144">
        <f>C13*D4*C12</f>
        <v>1.4977180458661425</v>
      </c>
      <c r="E13" s="1">
        <f>D13*D4*C11</f>
        <v>1.246206291778434</v>
      </c>
      <c r="F13" s="1">
        <f>E13*D4*C10</f>
        <v>0.99545442377285198</v>
      </c>
      <c r="G13" s="1">
        <f>F13*D4*C9</f>
        <v>0.74546014602485322</v>
      </c>
      <c r="H13" s="1">
        <f>G13*D4*C8</f>
        <v>0.49622116964621149</v>
      </c>
      <c r="I13" s="1">
        <f>H13*D4</f>
        <v>0.2477352126640604</v>
      </c>
      <c r="J13" s="1">
        <f>I13*D4</f>
        <v>0.12368020420705522</v>
      </c>
      <c r="K13" s="1"/>
      <c r="L13" s="1"/>
      <c r="M13" s="257"/>
      <c r="N13" s="97">
        <f>B13+J13</f>
        <v>0.99999999999999689</v>
      </c>
      <c r="R13" s="298">
        <f>B13-J13</f>
        <v>0.75263959158588634</v>
      </c>
      <c r="S13" s="299">
        <f>SUM(C13:I13)*B4*F4*POWER(O2,A13-1)</f>
        <v>21617672.987359412</v>
      </c>
      <c r="T13" s="277">
        <f>SUM(C13:I13)*D4*H4*POWER(O2,A13-1)</f>
        <v>-22814002.892605949</v>
      </c>
      <c r="U13" s="295">
        <f t="shared" si="0"/>
        <v>-1321907.7423882377</v>
      </c>
      <c r="V13" s="93">
        <f>(U13+W13*J13)/B13</f>
        <v>-1508475.4252649003</v>
      </c>
      <c r="W13" s="9">
        <f t="shared" si="1"/>
        <v>7</v>
      </c>
    </row>
    <row r="14" spans="1:23" x14ac:dyDescent="0.2">
      <c r="A14" s="99">
        <v>8</v>
      </c>
      <c r="B14" s="97">
        <f>C14*B4</f>
        <v>0.89022895461454044</v>
      </c>
      <c r="C14" s="97">
        <f>1/(1-D4*B4/(1-D4*B4/(1-D4*B4/(1-D4*B4/(1-D4*B4/(1-D4*B4/(1-D4*B4)))))))</f>
        <v>1.7777682830723629</v>
      </c>
      <c r="D14" s="144">
        <f>C14*D4*C13</f>
        <v>1.5531867145619687</v>
      </c>
      <c r="E14" s="1">
        <f>D14*D4*C12</f>
        <v>1.3292836686471972</v>
      </c>
      <c r="F14" s="1">
        <f>E14*D4*C11</f>
        <v>1.1060570953249436</v>
      </c>
      <c r="G14" s="1">
        <f>F14*D4*C10</f>
        <v>0.88350495078572489</v>
      </c>
      <c r="H14" s="1">
        <f>G14*D4*C9</f>
        <v>0.66162519739496795</v>
      </c>
      <c r="I14" s="1">
        <f>H14*D4*C8</f>
        <v>0.44041580367435346</v>
      </c>
      <c r="J14" s="1">
        <f>I14*D4</f>
        <v>0.21987474428321585</v>
      </c>
      <c r="K14" s="1">
        <f>J14*D4</f>
        <v>0.10977104538545607</v>
      </c>
      <c r="L14" s="1"/>
      <c r="M14" s="257"/>
      <c r="N14" s="97">
        <f>B14+K14</f>
        <v>0.99999999999999645</v>
      </c>
      <c r="R14" s="298">
        <f>B14-K14</f>
        <v>0.78045790922908442</v>
      </c>
      <c r="S14" s="299">
        <f>SUM(C14:J14)*B4*F4*POWER(O2,A14-1)</f>
        <v>222240566.14332056</v>
      </c>
      <c r="T14" s="277">
        <f>SUM(C14:J14)*D4*H4*POWER(O2,A14-1)</f>
        <v>-234539440.10591775</v>
      </c>
      <c r="U14" s="295">
        <f t="shared" si="0"/>
        <v>-13620781.704985429</v>
      </c>
      <c r="V14" s="93">
        <f>(U14+W14*K14)/B14</f>
        <v>-15300312.07838518</v>
      </c>
      <c r="W14" s="9">
        <f t="shared" si="1"/>
        <v>8</v>
      </c>
    </row>
    <row r="15" spans="1:23" x14ac:dyDescent="0.2">
      <c r="A15" s="99">
        <v>9</v>
      </c>
      <c r="B15" s="97">
        <f>C15*B4</f>
        <v>0.90135612885615213</v>
      </c>
      <c r="C15" s="97">
        <f>1/(1-D4*B4/(1-D4*B4/(1-D4*B4/(1-D4*B4/(1-D4*B4/(1-D4*B4/(1-D4*B4/(1-D4*B4))))))))</f>
        <v>1.7999890133063308</v>
      </c>
      <c r="D15" s="144">
        <f>C15*D4*C14</f>
        <v>1.5975610401013578</v>
      </c>
      <c r="E15" s="1">
        <f>D15*D4*C13</f>
        <v>1.3957446573965169</v>
      </c>
      <c r="F15" s="1">
        <f>E15*D4*C12</f>
        <v>1.1945380174089453</v>
      </c>
      <c r="G15" s="1">
        <f>F15*D4*C11</f>
        <v>0.99393927793843939</v>
      </c>
      <c r="H15" s="1">
        <f>G15*D4*C10</f>
        <v>0.79394660235058845</v>
      </c>
      <c r="I15" s="1">
        <f>H15*D4*C9</f>
        <v>0.59455815955995839</v>
      </c>
      <c r="J15" s="1">
        <f>I15*D4*C8</f>
        <v>0.39577212401332745</v>
      </c>
      <c r="K15" s="1">
        <f>J15*D4</f>
        <v>0.1975866756729715</v>
      </c>
      <c r="L15" s="1">
        <f>K15*D4</f>
        <v>9.8643871143843764E-2</v>
      </c>
      <c r="M15" s="257"/>
      <c r="N15" s="97">
        <f>B15+L15</f>
        <v>0.99999999999999589</v>
      </c>
      <c r="R15" s="298">
        <f>B15-L15</f>
        <v>0.80271225771230836</v>
      </c>
      <c r="S15" s="299">
        <f>SUM(C15:K15)*B4*F4*POWER(O2,A15-1)</f>
        <v>2249045244.4643955</v>
      </c>
      <c r="T15" s="277">
        <f>SUM(C15:K15)*D4*H4*POWER(O2,A15-1)</f>
        <v>-2373508228.3285031</v>
      </c>
      <c r="U15" s="295">
        <f t="shared" si="0"/>
        <v>-138083765.56909305</v>
      </c>
      <c r="V15" s="93">
        <f>(U15+W15*L15)/B15</f>
        <v>-153195568.6111888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0.91046004158746285</v>
      </c>
      <c r="C16" s="145">
        <f>1/(1-D4*B4/(1-D4*B4/(1-D4*B4/(1-D4*B4/(1-D4*B4/(1-D4*B4/(1-D4*B4/(1-D4*B4/(1-D4*B4)))))))))</f>
        <v>1.8181693333483706</v>
      </c>
      <c r="D16" s="153">
        <f>C16*D4*C15</f>
        <v>1.6338667524457033</v>
      </c>
      <c r="E16" s="111">
        <f>D16*D4*C14</f>
        <v>1.4501210002552214</v>
      </c>
      <c r="F16" s="111">
        <f>E16*D4*C13</f>
        <v>1.2669303944444621</v>
      </c>
      <c r="G16" s="111">
        <f>F16*D4*C12</f>
        <v>1.0842932577637516</v>
      </c>
      <c r="H16" s="111">
        <f>G16*D4*C11</f>
        <v>0.90220791803084799</v>
      </c>
      <c r="I16" s="111">
        <f>H16*D4*C10</f>
        <v>0.72067270811563089</v>
      </c>
      <c r="J16" s="111">
        <f>I16*D4*C9</f>
        <v>0.53968596592483808</v>
      </c>
      <c r="K16" s="111">
        <f>J16*D4*C8</f>
        <v>0.35924603438684727</v>
      </c>
      <c r="L16" s="111">
        <f>K16*D4</f>
        <v>0.17935126143650498</v>
      </c>
      <c r="M16" s="259">
        <f>L16*D4</f>
        <v>8.9539958412532594E-2</v>
      </c>
      <c r="N16" s="145">
        <f>B16+M16</f>
        <v>0.99999999999999545</v>
      </c>
      <c r="R16" s="300">
        <f>B16-M16</f>
        <v>0.82092008317493026</v>
      </c>
      <c r="S16" s="301">
        <f>SUM(C16:L16)*B4*F4*POWER(O2,A16-1)</f>
        <v>22479047675.174335</v>
      </c>
      <c r="T16" s="278">
        <f>SUM(C16:L16)*D4*H4*POWER(O2,A16-1)</f>
        <v>-23723046369.714611</v>
      </c>
      <c r="U16" s="295">
        <f t="shared" si="0"/>
        <v>-1382082460.1093686</v>
      </c>
      <c r="V16" s="94">
        <f>(U16+W16*M16)/B16</f>
        <v>-1518004520.8839624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9</v>
      </c>
      <c r="D21" s="57">
        <f>SUM($C$21:C21)</f>
        <v>9</v>
      </c>
      <c r="E21" s="57">
        <f t="shared" ref="E21:E30" si="3">D21/R7</f>
        <v>5948.7503524171261</v>
      </c>
      <c r="F21" s="8">
        <f t="shared" ref="F21:F30" si="4">U7/E21</f>
        <v>-5.4223831039006185E-5</v>
      </c>
      <c r="G21" s="281">
        <f>E21*U7</f>
        <v>-1918.8529109506201</v>
      </c>
      <c r="O21" s="101">
        <v>1</v>
      </c>
      <c r="P21" s="109">
        <v>1</v>
      </c>
      <c r="Q21" s="110">
        <f>P21*9+36</f>
        <v>45</v>
      </c>
      <c r="R21" s="57">
        <f>SUM($Q$21)</f>
        <v>45</v>
      </c>
      <c r="S21" s="276">
        <f>R21/R7</f>
        <v>29743.751762085631</v>
      </c>
      <c r="T21" s="8">
        <f>U7/S21</f>
        <v>-1.0844766207801236E-5</v>
      </c>
      <c r="U21" s="281">
        <f>S21*U7</f>
        <v>-9594.264554753101</v>
      </c>
    </row>
    <row r="22" spans="1:21" x14ac:dyDescent="0.2">
      <c r="A22" s="97">
        <v>2</v>
      </c>
      <c r="B22" s="93">
        <f>C21</f>
        <v>9</v>
      </c>
      <c r="C22" s="1">
        <f t="shared" si="2"/>
        <v>81</v>
      </c>
      <c r="D22" s="9">
        <f>SUM($C$21:C22)</f>
        <v>90</v>
      </c>
      <c r="E22" s="9">
        <f t="shared" si="3"/>
        <v>268.37668747038981</v>
      </c>
      <c r="F22" s="9">
        <f t="shared" si="4"/>
        <v>-2.2825321339130903E-2</v>
      </c>
      <c r="G22" s="282">
        <f t="shared" ref="G22:G30" si="5">E22*U8</f>
        <v>-1644.0176533553924</v>
      </c>
      <c r="O22" s="99">
        <v>2</v>
      </c>
      <c r="P22" s="93">
        <f>Q21</f>
        <v>45</v>
      </c>
      <c r="Q22" s="1">
        <f t="shared" ref="Q22:Q30" si="6">P22*9+36</f>
        <v>441</v>
      </c>
      <c r="R22" s="9">
        <f>SUM($Q$21:Q22)</f>
        <v>486</v>
      </c>
      <c r="S22" s="277">
        <f t="shared" ref="S22:S30" si="7">R22/R8</f>
        <v>1449.2341123401052</v>
      </c>
      <c r="T22" s="9">
        <f>U8/S22</f>
        <v>-4.2269113590983143E-3</v>
      </c>
      <c r="U22" s="282">
        <f t="shared" ref="U22:U30" si="8">S22*U8</f>
        <v>-8877.6953281191218</v>
      </c>
    </row>
    <row r="23" spans="1:21" x14ac:dyDescent="0.2">
      <c r="A23" s="97">
        <v>3</v>
      </c>
      <c r="B23" s="93">
        <f t="shared" ref="B23:B30" si="9">C22</f>
        <v>81</v>
      </c>
      <c r="C23" s="1">
        <f t="shared" si="2"/>
        <v>729</v>
      </c>
      <c r="D23" s="9">
        <f>SUM($C$21:C23)</f>
        <v>819</v>
      </c>
      <c r="E23" s="9">
        <f t="shared" si="3"/>
        <v>1630.6065306209794</v>
      </c>
      <c r="F23" s="9">
        <f t="shared" si="4"/>
        <v>-5.1778074621318594E-2</v>
      </c>
      <c r="G23" s="282">
        <f t="shared" si="5"/>
        <v>-137671.56576954346</v>
      </c>
      <c r="O23" s="99">
        <v>3</v>
      </c>
      <c r="P23" s="93">
        <f t="shared" ref="P23:P30" si="10">Q22</f>
        <v>441</v>
      </c>
      <c r="Q23" s="1">
        <f t="shared" si="6"/>
        <v>4005</v>
      </c>
      <c r="R23" s="9">
        <f>SUM($Q$21:Q23)</f>
        <v>4491</v>
      </c>
      <c r="S23" s="277">
        <f t="shared" si="7"/>
        <v>8941.4577887897667</v>
      </c>
      <c r="T23" s="9">
        <f t="shared" ref="T23:T30" si="11">U9/S23</f>
        <v>-9.4424945702204239E-3</v>
      </c>
      <c r="U23" s="282">
        <f t="shared" si="8"/>
        <v>-754924.30020881537</v>
      </c>
    </row>
    <row r="24" spans="1:21" x14ac:dyDescent="0.2">
      <c r="A24" s="97">
        <v>4</v>
      </c>
      <c r="B24" s="93">
        <f t="shared" si="9"/>
        <v>729</v>
      </c>
      <c r="C24" s="1">
        <f t="shared" si="2"/>
        <v>6561</v>
      </c>
      <c r="D24" s="9">
        <f>SUM($C$21:C24)</f>
        <v>7380</v>
      </c>
      <c r="E24" s="9">
        <f t="shared" si="3"/>
        <v>12250.650121208197</v>
      </c>
      <c r="F24" s="9">
        <f t="shared" si="4"/>
        <v>-8.3554846667715788E-2</v>
      </c>
      <c r="G24" s="282">
        <f t="shared" si="5"/>
        <v>-12539780.072446914</v>
      </c>
      <c r="O24" s="99">
        <v>4</v>
      </c>
      <c r="P24" s="93">
        <f t="shared" si="10"/>
        <v>4005</v>
      </c>
      <c r="Q24" s="1">
        <f t="shared" si="6"/>
        <v>36081</v>
      </c>
      <c r="R24" s="9">
        <f>SUM($Q$21:Q24)</f>
        <v>40572</v>
      </c>
      <c r="S24" s="277">
        <f t="shared" si="7"/>
        <v>67348.696032203108</v>
      </c>
      <c r="T24" s="9">
        <f t="shared" si="11"/>
        <v>-1.5198530227934106E-2</v>
      </c>
      <c r="U24" s="282">
        <f t="shared" si="8"/>
        <v>-68938205.569013044</v>
      </c>
    </row>
    <row r="25" spans="1:21" x14ac:dyDescent="0.2">
      <c r="A25" s="97">
        <v>5</v>
      </c>
      <c r="B25" s="93">
        <f t="shared" si="9"/>
        <v>6561</v>
      </c>
      <c r="C25" s="1">
        <f t="shared" si="2"/>
        <v>59049</v>
      </c>
      <c r="D25" s="9">
        <f>SUM($C$21:C25)</f>
        <v>66429</v>
      </c>
      <c r="E25" s="9">
        <f t="shared" si="3"/>
        <v>99268.793489809992</v>
      </c>
      <c r="F25" s="9">
        <f t="shared" si="4"/>
        <v>-0.11669262823316665</v>
      </c>
      <c r="G25" s="282">
        <f t="shared" si="5"/>
        <v>-1149923391.6666965</v>
      </c>
      <c r="O25" s="99">
        <v>5</v>
      </c>
      <c r="P25" s="93">
        <f t="shared" si="10"/>
        <v>36081</v>
      </c>
      <c r="Q25" s="1">
        <f t="shared" si="6"/>
        <v>324765</v>
      </c>
      <c r="R25" s="9">
        <f>SUM($Q$21:Q25)</f>
        <v>365337</v>
      </c>
      <c r="S25" s="277">
        <f t="shared" si="7"/>
        <v>545944.74110985734</v>
      </c>
      <c r="T25" s="9">
        <f t="shared" si="11"/>
        <v>-2.1218148177986427E-2</v>
      </c>
      <c r="U25" s="282">
        <f t="shared" si="8"/>
        <v>-6324189166.4986067</v>
      </c>
    </row>
    <row r="26" spans="1:21" x14ac:dyDescent="0.2">
      <c r="A26" s="97">
        <v>6</v>
      </c>
      <c r="B26" s="93">
        <f t="shared" si="9"/>
        <v>59049</v>
      </c>
      <c r="C26" s="1">
        <f t="shared" si="2"/>
        <v>531441</v>
      </c>
      <c r="D26" s="9">
        <f>SUM($C$21:C26)</f>
        <v>597870</v>
      </c>
      <c r="E26" s="9">
        <f t="shared" si="3"/>
        <v>833997.39056226762</v>
      </c>
      <c r="F26" s="9">
        <f t="shared" si="4"/>
        <v>-0.15057341733052432</v>
      </c>
      <c r="G26" s="282">
        <f t="shared" si="5"/>
        <v>-104731588488.63171</v>
      </c>
      <c r="O26" s="99">
        <v>6</v>
      </c>
      <c r="P26" s="93">
        <f t="shared" si="10"/>
        <v>324765</v>
      </c>
      <c r="Q26" s="1">
        <f t="shared" si="6"/>
        <v>2922921</v>
      </c>
      <c r="R26" s="9">
        <f>SUM($Q$21:Q26)</f>
        <v>3288258</v>
      </c>
      <c r="S26" s="277">
        <f t="shared" si="7"/>
        <v>4586947.9845041586</v>
      </c>
      <c r="T26" s="9">
        <f t="shared" si="11"/>
        <v>-2.7377209762555296E-2</v>
      </c>
      <c r="U26" s="282">
        <f t="shared" si="8"/>
        <v>-576019006975.51501</v>
      </c>
    </row>
    <row r="27" spans="1:21" x14ac:dyDescent="0.2">
      <c r="A27" s="97">
        <v>7</v>
      </c>
      <c r="B27" s="93">
        <f t="shared" si="9"/>
        <v>531441</v>
      </c>
      <c r="C27" s="1">
        <f t="shared" si="2"/>
        <v>4782969</v>
      </c>
      <c r="D27" s="9">
        <f>SUM($C$21:C27)</f>
        <v>5380839</v>
      </c>
      <c r="E27" s="9">
        <f t="shared" si="3"/>
        <v>7149290.3909851965</v>
      </c>
      <c r="F27" s="9">
        <f t="shared" si="4"/>
        <v>-0.1849005523758106</v>
      </c>
      <c r="G27" s="282">
        <f t="shared" si="5"/>
        <v>-9450702320425.1621</v>
      </c>
      <c r="O27" s="99">
        <v>7</v>
      </c>
      <c r="P27" s="93">
        <f t="shared" si="10"/>
        <v>2922921</v>
      </c>
      <c r="Q27" s="1">
        <f t="shared" si="6"/>
        <v>26306325</v>
      </c>
      <c r="R27" s="9">
        <f>SUM($Q$21:Q27)</f>
        <v>29594583</v>
      </c>
      <c r="S27" s="277">
        <f t="shared" si="7"/>
        <v>39321055.297717296</v>
      </c>
      <c r="T27" s="9">
        <f t="shared" si="11"/>
        <v>-3.3618318032908399E-2</v>
      </c>
      <c r="U27" s="282">
        <f t="shared" si="8"/>
        <v>-51978807436928.523</v>
      </c>
    </row>
    <row r="28" spans="1:21" x14ac:dyDescent="0.2">
      <c r="A28" s="97">
        <v>8</v>
      </c>
      <c r="B28" s="93">
        <f t="shared" si="9"/>
        <v>4782969</v>
      </c>
      <c r="C28" s="1">
        <f t="shared" si="2"/>
        <v>43046721</v>
      </c>
      <c r="D28" s="9">
        <f>SUM($C$21:C28)</f>
        <v>48427560</v>
      </c>
      <c r="E28" s="9">
        <f t="shared" si="3"/>
        <v>62050188.008006036</v>
      </c>
      <c r="F28" s="9">
        <f t="shared" si="4"/>
        <v>-0.21951233577613019</v>
      </c>
      <c r="G28" s="282">
        <f t="shared" si="5"/>
        <v>-845172065610354.88</v>
      </c>
      <c r="O28" s="99">
        <v>8</v>
      </c>
      <c r="P28" s="93">
        <f t="shared" si="10"/>
        <v>26306325</v>
      </c>
      <c r="Q28" s="1">
        <f t="shared" si="6"/>
        <v>236756961</v>
      </c>
      <c r="R28" s="9">
        <f>SUM($Q$21:Q28)</f>
        <v>266351544</v>
      </c>
      <c r="S28" s="277">
        <f t="shared" si="7"/>
        <v>341275987.91726637</v>
      </c>
      <c r="T28" s="9">
        <f t="shared" si="11"/>
        <v>-3.9911339171882901E-2</v>
      </c>
      <c r="U28" s="282">
        <f t="shared" si="8"/>
        <v>-4648445732574330</v>
      </c>
    </row>
    <row r="29" spans="1:21" x14ac:dyDescent="0.2">
      <c r="A29" s="97">
        <v>9</v>
      </c>
      <c r="B29" s="93">
        <f t="shared" si="9"/>
        <v>43046721</v>
      </c>
      <c r="C29" s="1">
        <f t="shared" si="2"/>
        <v>387420489</v>
      </c>
      <c r="D29" s="9">
        <f>SUM($C$21:C29)</f>
        <v>435848049</v>
      </c>
      <c r="E29" s="9">
        <f t="shared" si="3"/>
        <v>542969220.67958212</v>
      </c>
      <c r="F29" s="9">
        <f t="shared" si="4"/>
        <v>-0.25431232620564925</v>
      </c>
      <c r="G29" s="282">
        <f t="shared" si="5"/>
        <v>-7.497523457955256E+16</v>
      </c>
      <c r="O29" s="99">
        <v>9</v>
      </c>
      <c r="P29" s="93">
        <f t="shared" si="10"/>
        <v>236756961</v>
      </c>
      <c r="Q29" s="1">
        <f t="shared" si="6"/>
        <v>2130812685</v>
      </c>
      <c r="R29" s="9">
        <f>SUM($Q$21:Q29)</f>
        <v>2397164229</v>
      </c>
      <c r="S29" s="277">
        <f t="shared" si="7"/>
        <v>2986330663.2837572</v>
      </c>
      <c r="T29" s="9">
        <f t="shared" si="11"/>
        <v>-4.6238605545862996E-2</v>
      </c>
      <c r="U29" s="282">
        <f t="shared" si="8"/>
        <v>-4.1236378322066848E+17</v>
      </c>
    </row>
    <row r="30" spans="1:21" ht="17" thickBot="1" x14ac:dyDescent="0.25">
      <c r="A30" s="145">
        <v>10</v>
      </c>
      <c r="B30" s="94">
        <f t="shared" si="9"/>
        <v>387420489</v>
      </c>
      <c r="C30" s="111">
        <f t="shared" si="2"/>
        <v>3486784401</v>
      </c>
      <c r="D30" s="10">
        <f>SUM($C$21:C30)</f>
        <v>3922632450</v>
      </c>
      <c r="E30" s="10">
        <f t="shared" si="3"/>
        <v>4778336564.5400152</v>
      </c>
      <c r="F30" s="10">
        <f t="shared" si="4"/>
        <v>-0.28923924496356906</v>
      </c>
      <c r="G30" s="283">
        <f t="shared" si="5"/>
        <v>-6.6040551543500124E+18</v>
      </c>
      <c r="O30" s="100">
        <v>10</v>
      </c>
      <c r="P30" s="94">
        <f t="shared" si="10"/>
        <v>2130812685</v>
      </c>
      <c r="Q30" s="111">
        <f t="shared" si="6"/>
        <v>19177314201</v>
      </c>
      <c r="R30" s="10">
        <f>SUM($Q$21:Q30)</f>
        <v>21574478430</v>
      </c>
      <c r="S30" s="278">
        <f t="shared" si="7"/>
        <v>26280851050.153542</v>
      </c>
      <c r="T30" s="10">
        <f t="shared" si="11"/>
        <v>-5.2588953739429754E-2</v>
      </c>
      <c r="U30" s="283">
        <f t="shared" si="8"/>
        <v>-3.6322303273164087E+19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9</v>
      </c>
      <c r="D33" s="57">
        <f>SUM($C$33:C33)</f>
        <v>9</v>
      </c>
      <c r="E33" s="9">
        <f t="shared" ref="E33:E42" si="13">D33/R7</f>
        <v>5948.7503524171261</v>
      </c>
      <c r="F33" s="8">
        <f t="shared" ref="F33:F42" si="14">U7/E33</f>
        <v>-5.4223831039006185E-5</v>
      </c>
      <c r="G33" s="284">
        <f>E33*U7</f>
        <v>-1918.8529109506201</v>
      </c>
      <c r="O33" s="101">
        <v>1</v>
      </c>
      <c r="P33" s="109">
        <v>1</v>
      </c>
      <c r="Q33" s="110">
        <f>P33*9+36</f>
        <v>45</v>
      </c>
      <c r="R33" s="57">
        <f>SUM($Q$21)</f>
        <v>45</v>
      </c>
      <c r="S33" s="276">
        <f>R33/R7</f>
        <v>29743.751762085631</v>
      </c>
      <c r="T33" s="8">
        <f>U7/S33</f>
        <v>-1.0844766207801236E-5</v>
      </c>
      <c r="U33" s="284">
        <f>S33*U7</f>
        <v>-9594.264554753101</v>
      </c>
    </row>
    <row r="34" spans="1:21" x14ac:dyDescent="0.2">
      <c r="A34" s="97">
        <v>2</v>
      </c>
      <c r="B34" s="93">
        <f t="shared" ref="B34:B42" si="15">B33*($O$2+1)</f>
        <v>10</v>
      </c>
      <c r="C34" s="1">
        <f t="shared" si="12"/>
        <v>90</v>
      </c>
      <c r="D34" s="9">
        <f>SUM($C$33:C34)</f>
        <v>99</v>
      </c>
      <c r="E34" s="9">
        <f t="shared" si="13"/>
        <v>295.21435621742881</v>
      </c>
      <c r="F34" s="9">
        <f t="shared" si="14"/>
        <v>-2.0750292126482637E-2</v>
      </c>
      <c r="G34" s="282">
        <f t="shared" ref="G34:G42" si="16">E34*U8</f>
        <v>-1808.4194186909319</v>
      </c>
      <c r="O34" s="99">
        <v>2</v>
      </c>
      <c r="P34" s="93">
        <f>Q33+1</f>
        <v>46</v>
      </c>
      <c r="Q34" s="1">
        <f t="shared" ref="Q34:Q42" si="17">P34*9+36</f>
        <v>450</v>
      </c>
      <c r="R34" s="9">
        <f>SUM($Q$33:Q34)</f>
        <v>495</v>
      </c>
      <c r="S34" s="277">
        <f>R34/R8</f>
        <v>1476.071781087144</v>
      </c>
      <c r="T34" s="9">
        <f t="shared" ref="T34:T42" si="18">U8/S34</f>
        <v>-4.1500584252965279E-3</v>
      </c>
      <c r="U34" s="282">
        <f t="shared" ref="U34:U42" si="19">S34*U8</f>
        <v>-9042.0970934546585</v>
      </c>
    </row>
    <row r="35" spans="1:21" x14ac:dyDescent="0.2">
      <c r="A35" s="97">
        <v>3</v>
      </c>
      <c r="B35" s="93">
        <f t="shared" si="15"/>
        <v>100</v>
      </c>
      <c r="C35" s="1">
        <f t="shared" si="12"/>
        <v>900</v>
      </c>
      <c r="D35" s="9">
        <f>SUM($C$33:C35)</f>
        <v>999</v>
      </c>
      <c r="E35" s="9">
        <f t="shared" si="13"/>
        <v>1988.9815922959199</v>
      </c>
      <c r="F35" s="9">
        <f t="shared" si="14"/>
        <v>-4.2448691806666591E-2</v>
      </c>
      <c r="G35" s="282">
        <f t="shared" si="16"/>
        <v>-167929.05275186073</v>
      </c>
      <c r="O35" s="99">
        <v>3</v>
      </c>
      <c r="P35" s="93">
        <f t="shared" ref="P35:P42" si="20">Q34+1</f>
        <v>451</v>
      </c>
      <c r="Q35" s="1">
        <f t="shared" si="17"/>
        <v>4095</v>
      </c>
      <c r="R35" s="9">
        <f>SUM($Q$33:Q35)</f>
        <v>4590</v>
      </c>
      <c r="S35" s="277">
        <f t="shared" ref="S35:S42" si="21">R35/R9</f>
        <v>9138.564072710984</v>
      </c>
      <c r="T35" s="9">
        <f t="shared" si="18"/>
        <v>-9.2388329226274334E-3</v>
      </c>
      <c r="U35" s="282">
        <f t="shared" si="19"/>
        <v>-771565.91804908984</v>
      </c>
    </row>
    <row r="36" spans="1:21" x14ac:dyDescent="0.2">
      <c r="A36" s="97">
        <v>4</v>
      </c>
      <c r="B36" s="93">
        <f t="shared" si="15"/>
        <v>1000</v>
      </c>
      <c r="C36" s="1">
        <f t="shared" si="12"/>
        <v>9000</v>
      </c>
      <c r="D36" s="9">
        <f>SUM($C$33:C36)</f>
        <v>9999</v>
      </c>
      <c r="E36" s="9">
        <f t="shared" si="13"/>
        <v>16598.136932515008</v>
      </c>
      <c r="F36" s="9">
        <f t="shared" si="14"/>
        <v>-6.1669643805154765E-2</v>
      </c>
      <c r="G36" s="282">
        <f t="shared" si="16"/>
        <v>-16989872.756693322</v>
      </c>
      <c r="O36" s="99">
        <v>4</v>
      </c>
      <c r="P36" s="93">
        <f t="shared" si="20"/>
        <v>4096</v>
      </c>
      <c r="Q36" s="1">
        <f t="shared" si="17"/>
        <v>36900</v>
      </c>
      <c r="R36" s="9">
        <f>SUM($Q$33:Q36)</f>
        <v>41490</v>
      </c>
      <c r="S36" s="277">
        <f t="shared" si="21"/>
        <v>68872.557388743633</v>
      </c>
      <c r="T36" s="9">
        <f t="shared" si="18"/>
        <v>-1.4862250383411487E-2</v>
      </c>
      <c r="U36" s="282">
        <f t="shared" si="19"/>
        <v>-70498031.870707646</v>
      </c>
    </row>
    <row r="37" spans="1:21" x14ac:dyDescent="0.2">
      <c r="A37" s="97">
        <v>5</v>
      </c>
      <c r="B37" s="93">
        <f t="shared" si="15"/>
        <v>10000</v>
      </c>
      <c r="C37" s="1">
        <f t="shared" si="12"/>
        <v>90000</v>
      </c>
      <c r="D37" s="9">
        <f>SUM($C$33:C37)</f>
        <v>99999</v>
      </c>
      <c r="E37" s="9">
        <f t="shared" si="13"/>
        <v>149434.43496345737</v>
      </c>
      <c r="F37" s="9">
        <f t="shared" si="14"/>
        <v>-7.7518521194222215E-2</v>
      </c>
      <c r="G37" s="282">
        <f t="shared" si="16"/>
        <v>-1731038992.6579957</v>
      </c>
      <c r="O37" s="99">
        <v>5</v>
      </c>
      <c r="P37" s="93">
        <f t="shared" si="20"/>
        <v>36901</v>
      </c>
      <c r="Q37" s="1">
        <f t="shared" si="17"/>
        <v>332145</v>
      </c>
      <c r="R37" s="9">
        <f>SUM($Q$33:Q37)</f>
        <v>373635</v>
      </c>
      <c r="S37" s="277">
        <f t="shared" si="21"/>
        <v>558344.93452505919</v>
      </c>
      <c r="T37" s="9">
        <f t="shared" si="18"/>
        <v>-2.0746917716223126E-2</v>
      </c>
      <c r="U37" s="282">
        <f t="shared" si="19"/>
        <v>-6467832218.5398874</v>
      </c>
    </row>
    <row r="38" spans="1:21" x14ac:dyDescent="0.2">
      <c r="A38" s="97">
        <v>6</v>
      </c>
      <c r="B38" s="93">
        <f t="shared" si="15"/>
        <v>100000</v>
      </c>
      <c r="C38" s="1">
        <f t="shared" si="12"/>
        <v>900000</v>
      </c>
      <c r="D38" s="9">
        <f>SUM($C$33:C38)</f>
        <v>999999</v>
      </c>
      <c r="E38" s="9">
        <f t="shared" si="13"/>
        <v>1394946.3203788067</v>
      </c>
      <c r="F38" s="9">
        <f t="shared" si="14"/>
        <v>-9.0023419042819602E-2</v>
      </c>
      <c r="G38" s="282">
        <f t="shared" si="16"/>
        <v>-175174341841.94431</v>
      </c>
      <c r="O38" s="99">
        <v>6</v>
      </c>
      <c r="P38" s="93">
        <f t="shared" si="20"/>
        <v>332146</v>
      </c>
      <c r="Q38" s="1">
        <f t="shared" si="17"/>
        <v>2989350</v>
      </c>
      <c r="R38" s="9">
        <f>SUM($Q$33:Q38)</f>
        <v>3362985</v>
      </c>
      <c r="S38" s="277">
        <f t="shared" si="21"/>
        <v>4691188.2424273631</v>
      </c>
      <c r="T38" s="9">
        <f t="shared" si="18"/>
        <v>-2.6768876167868893E-2</v>
      </c>
      <c r="U38" s="282">
        <f t="shared" si="19"/>
        <v>-589109273108.604</v>
      </c>
    </row>
    <row r="39" spans="1:21" x14ac:dyDescent="0.2">
      <c r="A39" s="97">
        <v>7</v>
      </c>
      <c r="B39" s="93">
        <f t="shared" si="15"/>
        <v>1000000</v>
      </c>
      <c r="C39" s="1">
        <f t="shared" si="12"/>
        <v>9000000</v>
      </c>
      <c r="D39" s="9">
        <f>SUM($C$33:C39)</f>
        <v>9999999</v>
      </c>
      <c r="E39" s="9">
        <f t="shared" si="13"/>
        <v>13286570.507045755</v>
      </c>
      <c r="F39" s="9">
        <f t="shared" si="14"/>
        <v>-9.9492020283732455E-2</v>
      </c>
      <c r="G39" s="282">
        <f t="shared" si="16"/>
        <v>-17563620423050.998</v>
      </c>
      <c r="O39" s="99">
        <v>7</v>
      </c>
      <c r="P39" s="93">
        <f t="shared" si="20"/>
        <v>2989351</v>
      </c>
      <c r="Q39" s="1">
        <f t="shared" si="17"/>
        <v>26904195</v>
      </c>
      <c r="R39" s="9">
        <f>SUM($Q$33:Q39)</f>
        <v>30267180</v>
      </c>
      <c r="S39" s="277">
        <f t="shared" si="21"/>
        <v>40214706.133415125</v>
      </c>
      <c r="T39" s="9">
        <f t="shared" si="18"/>
        <v>-3.2871252073873564E-2</v>
      </c>
      <c r="U39" s="282">
        <f t="shared" si="19"/>
        <v>-53160131395629.203</v>
      </c>
    </row>
    <row r="40" spans="1:21" x14ac:dyDescent="0.2">
      <c r="A40" s="97">
        <v>8</v>
      </c>
      <c r="B40" s="93">
        <f t="shared" si="15"/>
        <v>10000000</v>
      </c>
      <c r="C40" s="1">
        <f t="shared" si="12"/>
        <v>90000000</v>
      </c>
      <c r="D40" s="9">
        <f>SUM($C$33:C40)</f>
        <v>99999999</v>
      </c>
      <c r="E40" s="9">
        <f t="shared" si="13"/>
        <v>128129906.58109589</v>
      </c>
      <c r="F40" s="9">
        <f t="shared" si="14"/>
        <v>-0.1063044691784316</v>
      </c>
      <c r="G40" s="282">
        <f t="shared" si="16"/>
        <v>-1745229487421283</v>
      </c>
      <c r="O40" s="99">
        <v>8</v>
      </c>
      <c r="P40" s="93">
        <f t="shared" si="20"/>
        <v>26904196</v>
      </c>
      <c r="Q40" s="1">
        <f t="shared" si="17"/>
        <v>242137800</v>
      </c>
      <c r="R40" s="9">
        <f>SUM($Q$33:Q40)</f>
        <v>272404980</v>
      </c>
      <c r="S40" s="277">
        <f t="shared" si="21"/>
        <v>349032249.88657546</v>
      </c>
      <c r="T40" s="9">
        <f t="shared" si="18"/>
        <v>-3.9024421695736583E-2</v>
      </c>
      <c r="U40" s="282">
        <f t="shared" si="19"/>
        <v>-4754092083704969</v>
      </c>
    </row>
    <row r="41" spans="1:21" x14ac:dyDescent="0.2">
      <c r="A41" s="97">
        <v>9</v>
      </c>
      <c r="B41" s="93">
        <f t="shared" si="15"/>
        <v>100000000</v>
      </c>
      <c r="C41" s="1">
        <f t="shared" si="12"/>
        <v>900000000</v>
      </c>
      <c r="D41" s="9">
        <f>SUM($C$33:C41)</f>
        <v>999999999</v>
      </c>
      <c r="E41" s="9">
        <f t="shared" si="13"/>
        <v>1245776415.3869436</v>
      </c>
      <c r="F41" s="9">
        <f t="shared" si="14"/>
        <v>-0.11084153132422532</v>
      </c>
      <c r="G41" s="282">
        <f t="shared" si="16"/>
        <v>-1.7202149849379581E+17</v>
      </c>
      <c r="O41" s="99">
        <v>9</v>
      </c>
      <c r="P41" s="93">
        <f t="shared" si="20"/>
        <v>242137801</v>
      </c>
      <c r="Q41" s="1">
        <f t="shared" si="17"/>
        <v>2179240245</v>
      </c>
      <c r="R41" s="9">
        <f>SUM($Q$33:Q41)</f>
        <v>2451645225</v>
      </c>
      <c r="S41" s="277">
        <f t="shared" si="21"/>
        <v>3054201803.2552185</v>
      </c>
      <c r="T41" s="9">
        <f t="shared" si="18"/>
        <v>-4.5211081147919267E-2</v>
      </c>
      <c r="U41" s="282">
        <f t="shared" si="19"/>
        <v>-4.2173568580139482E+17</v>
      </c>
    </row>
    <row r="42" spans="1:21" ht="17" thickBot="1" x14ac:dyDescent="0.25">
      <c r="A42" s="145">
        <v>10</v>
      </c>
      <c r="B42" s="94">
        <f t="shared" si="15"/>
        <v>1000000000</v>
      </c>
      <c r="C42" s="111">
        <f t="shared" si="12"/>
        <v>9000000000</v>
      </c>
      <c r="D42" s="10">
        <f>SUM($C$33:C42)</f>
        <v>9999999999</v>
      </c>
      <c r="E42" s="9">
        <f t="shared" si="13"/>
        <v>12181453717.5467</v>
      </c>
      <c r="F42" s="10">
        <f t="shared" si="14"/>
        <v>-0.1134579248221053</v>
      </c>
      <c r="G42" s="283">
        <f t="shared" si="16"/>
        <v>-1.6835773521655355E+19</v>
      </c>
      <c r="O42" s="100">
        <v>10</v>
      </c>
      <c r="P42" s="94">
        <f t="shared" si="20"/>
        <v>2179240246</v>
      </c>
      <c r="Q42" s="111">
        <f t="shared" si="17"/>
        <v>19613162250</v>
      </c>
      <c r="R42" s="10">
        <f>SUM($Q$33:Q42)</f>
        <v>22064807475</v>
      </c>
      <c r="S42" s="278">
        <f t="shared" si="21"/>
        <v>26878143107.016911</v>
      </c>
      <c r="T42" s="10">
        <f t="shared" si="18"/>
        <v>-5.1420310346831838E-2</v>
      </c>
      <c r="U42" s="283">
        <f t="shared" si="19"/>
        <v>-3.7147810148517601E+19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9</v>
      </c>
      <c r="D45" s="57">
        <f>SUM(C45:C45)</f>
        <v>9</v>
      </c>
      <c r="E45" s="57">
        <f t="shared" ref="E45:E54" si="23">D45/R7</f>
        <v>5948.7503524171261</v>
      </c>
      <c r="F45" s="8">
        <f t="shared" ref="F45:F54" si="24">U7/E45</f>
        <v>-5.4223831039006185E-5</v>
      </c>
      <c r="G45" s="281">
        <f>E45*U7</f>
        <v>-1918.8529109506201</v>
      </c>
      <c r="O45" s="101">
        <v>1</v>
      </c>
      <c r="P45" s="109">
        <v>1</v>
      </c>
      <c r="Q45" s="110">
        <f>P45*9+36</f>
        <v>45</v>
      </c>
      <c r="R45" s="57">
        <f>SUM($Q$21)</f>
        <v>45</v>
      </c>
      <c r="S45" s="276">
        <f>R45/R7</f>
        <v>29743.751762085631</v>
      </c>
      <c r="T45" s="8">
        <f>U7/S45</f>
        <v>-1.0844766207801236E-5</v>
      </c>
      <c r="U45" s="284">
        <f>S45*U7</f>
        <v>-9594.264554753101</v>
      </c>
    </row>
    <row r="46" spans="1:21" x14ac:dyDescent="0.2">
      <c r="A46" s="97">
        <v>2</v>
      </c>
      <c r="B46" s="93">
        <f t="shared" ref="B46:B54" si="25">B45*$O$2*2</f>
        <v>18</v>
      </c>
      <c r="C46" s="1">
        <f t="shared" si="22"/>
        <v>162</v>
      </c>
      <c r="D46" s="9">
        <f>SUM($C$45:C46)</f>
        <v>171</v>
      </c>
      <c r="E46" s="9">
        <f t="shared" si="23"/>
        <v>509.91570619374068</v>
      </c>
      <c r="F46" s="9">
        <f t="shared" si="24"/>
        <v>-1.201332702059521E-2</v>
      </c>
      <c r="G46" s="282">
        <f t="shared" ref="G46:G54" si="26">E46*U8</f>
        <v>-3123.6335413752458</v>
      </c>
      <c r="O46" s="99">
        <v>2</v>
      </c>
      <c r="P46" s="93">
        <f>Q45*2</f>
        <v>90</v>
      </c>
      <c r="Q46" s="1">
        <f t="shared" ref="Q46:Q54" si="27">P46*9+36</f>
        <v>846</v>
      </c>
      <c r="R46" s="9">
        <f>SUM($Q$45:Q46)</f>
        <v>891</v>
      </c>
      <c r="S46" s="277">
        <f t="shared" ref="S46:S54" si="28">R46/R8</f>
        <v>2656.9292059568593</v>
      </c>
      <c r="T46" s="9">
        <f t="shared" ref="T46:T54" si="29">U8/S46</f>
        <v>-2.3055880140536262E-3</v>
      </c>
      <c r="U46" s="282">
        <f t="shared" ref="U46:U54" si="30">S46*U8</f>
        <v>-16275.774768218387</v>
      </c>
    </row>
    <row r="47" spans="1:21" x14ac:dyDescent="0.2">
      <c r="A47" s="97">
        <v>3</v>
      </c>
      <c r="B47" s="93">
        <f t="shared" si="25"/>
        <v>324</v>
      </c>
      <c r="C47" s="1">
        <f t="shared" si="22"/>
        <v>2916</v>
      </c>
      <c r="D47" s="9">
        <f>SUM($C$45:C47)</f>
        <v>3087</v>
      </c>
      <c r="E47" s="9">
        <f t="shared" si="23"/>
        <v>6146.13230772523</v>
      </c>
      <c r="F47" s="9">
        <f t="shared" si="24"/>
        <v>-1.3737040205655953E-2</v>
      </c>
      <c r="G47" s="282">
        <f t="shared" si="26"/>
        <v>-518915.9017467408</v>
      </c>
      <c r="O47" s="99">
        <v>3</v>
      </c>
      <c r="P47" s="93">
        <f t="shared" ref="P47:P54" si="31">Q46*2</f>
        <v>1692</v>
      </c>
      <c r="Q47" s="1">
        <f t="shared" si="27"/>
        <v>15264</v>
      </c>
      <c r="R47" s="9">
        <f>SUM($Q$45:Q47)</f>
        <v>16155</v>
      </c>
      <c r="S47" s="277">
        <f t="shared" si="28"/>
        <v>32164.161785325912</v>
      </c>
      <c r="T47" s="9">
        <f t="shared" si="29"/>
        <v>-2.6249608860947028E-3</v>
      </c>
      <c r="U47" s="282">
        <f t="shared" si="30"/>
        <v>-2715609.4566629729</v>
      </c>
    </row>
    <row r="48" spans="1:21" x14ac:dyDescent="0.2">
      <c r="A48" s="97">
        <v>4</v>
      </c>
      <c r="B48" s="93">
        <f t="shared" si="25"/>
        <v>5832</v>
      </c>
      <c r="C48" s="1">
        <f t="shared" si="22"/>
        <v>52488</v>
      </c>
      <c r="D48" s="9">
        <f>SUM($C$45:C48)</f>
        <v>55575</v>
      </c>
      <c r="E48" s="9">
        <f t="shared" si="23"/>
        <v>92253.371339586112</v>
      </c>
      <c r="F48" s="9">
        <f t="shared" si="24"/>
        <v>-1.1095542391502341E-2</v>
      </c>
      <c r="G48" s="282">
        <f t="shared" si="26"/>
        <v>-94430660.911414266</v>
      </c>
      <c r="O48" s="99">
        <v>4</v>
      </c>
      <c r="P48" s="93">
        <f t="shared" si="31"/>
        <v>30528</v>
      </c>
      <c r="Q48" s="1">
        <f t="shared" si="27"/>
        <v>274788</v>
      </c>
      <c r="R48" s="9">
        <f>SUM($Q$45:Q48)</f>
        <v>290943</v>
      </c>
      <c r="S48" s="277">
        <f t="shared" si="28"/>
        <v>482959.47130280163</v>
      </c>
      <c r="T48" s="9">
        <f t="shared" si="29"/>
        <v>-2.1194349697629521E-3</v>
      </c>
      <c r="U48" s="282">
        <f t="shared" si="30"/>
        <v>-494357890.73413581</v>
      </c>
    </row>
    <row r="49" spans="1:21" x14ac:dyDescent="0.2">
      <c r="A49" s="97">
        <v>5</v>
      </c>
      <c r="B49" s="93">
        <f t="shared" si="25"/>
        <v>104976</v>
      </c>
      <c r="C49" s="1">
        <f t="shared" si="22"/>
        <v>944784</v>
      </c>
      <c r="D49" s="9">
        <f>SUM($C$45:C49)</f>
        <v>1000359</v>
      </c>
      <c r="E49" s="9">
        <f t="shared" si="23"/>
        <v>1494895.7682137745</v>
      </c>
      <c r="F49" s="9">
        <f t="shared" si="24"/>
        <v>-7.7489927125172341E-3</v>
      </c>
      <c r="G49" s="282">
        <f t="shared" si="26"/>
        <v>-17316777524.33884</v>
      </c>
      <c r="O49" s="99">
        <v>5</v>
      </c>
      <c r="P49" s="93">
        <f t="shared" si="31"/>
        <v>549576</v>
      </c>
      <c r="Q49" s="1">
        <f t="shared" si="27"/>
        <v>4946220</v>
      </c>
      <c r="R49" s="9">
        <f>SUM($Q$45:Q49)</f>
        <v>5237163</v>
      </c>
      <c r="S49" s="277">
        <f t="shared" si="28"/>
        <v>7826203.1991972448</v>
      </c>
      <c r="T49" s="9">
        <f t="shared" si="29"/>
        <v>-1.4801476679074199E-3</v>
      </c>
      <c r="U49" s="282">
        <f t="shared" si="30"/>
        <v>-90658240221.459473</v>
      </c>
    </row>
    <row r="50" spans="1:21" x14ac:dyDescent="0.2">
      <c r="A50" s="97">
        <v>6</v>
      </c>
      <c r="B50" s="93">
        <f t="shared" si="25"/>
        <v>1889568</v>
      </c>
      <c r="C50" s="1">
        <f t="shared" si="22"/>
        <v>17006112</v>
      </c>
      <c r="D50" s="9">
        <f>SUM($C$45:C50)</f>
        <v>18006471</v>
      </c>
      <c r="E50" s="9">
        <f t="shared" si="23"/>
        <v>25118085.582543273</v>
      </c>
      <c r="F50" s="9">
        <f t="shared" si="24"/>
        <v>-4.9994987368374719E-3</v>
      </c>
      <c r="G50" s="282">
        <f t="shared" si="26"/>
        <v>-3154274860595.917</v>
      </c>
      <c r="O50" s="99">
        <v>6</v>
      </c>
      <c r="P50" s="93">
        <f t="shared" si="31"/>
        <v>9892440</v>
      </c>
      <c r="Q50" s="1">
        <f t="shared" si="27"/>
        <v>89031996</v>
      </c>
      <c r="R50" s="9">
        <f>SUM($Q$45:Q50)</f>
        <v>94269159</v>
      </c>
      <c r="S50" s="277">
        <f t="shared" si="28"/>
        <v>131500547.97280264</v>
      </c>
      <c r="T50" s="9">
        <f t="shared" si="29"/>
        <v>-9.5496056159152288E-4</v>
      </c>
      <c r="U50" s="282">
        <f t="shared" si="30"/>
        <v>-16513554397372.996</v>
      </c>
    </row>
    <row r="51" spans="1:21" x14ac:dyDescent="0.2">
      <c r="A51" s="97">
        <v>7</v>
      </c>
      <c r="B51" s="93">
        <f t="shared" si="25"/>
        <v>34012224</v>
      </c>
      <c r="C51" s="1">
        <f t="shared" si="22"/>
        <v>306110016</v>
      </c>
      <c r="D51" s="9">
        <f>SUM($C$45:C51)</f>
        <v>324116487</v>
      </c>
      <c r="E51" s="9">
        <f t="shared" si="23"/>
        <v>430639698.76611775</v>
      </c>
      <c r="F51" s="9">
        <f t="shared" si="24"/>
        <v>-3.0696374397804218E-3</v>
      </c>
      <c r="G51" s="282">
        <f t="shared" si="26"/>
        <v>-569265951978669.5</v>
      </c>
      <c r="O51" s="99">
        <v>7</v>
      </c>
      <c r="P51" s="93">
        <f t="shared" si="31"/>
        <v>178063992</v>
      </c>
      <c r="Q51" s="1">
        <f t="shared" si="27"/>
        <v>1602575964</v>
      </c>
      <c r="R51" s="9">
        <f>SUM($Q$45:Q51)</f>
        <v>1696845123</v>
      </c>
      <c r="S51" s="277">
        <f t="shared" si="28"/>
        <v>2254525462.0801687</v>
      </c>
      <c r="T51" s="9">
        <f t="shared" si="29"/>
        <v>-5.8633524642855953E-4</v>
      </c>
      <c r="U51" s="282">
        <f t="shared" si="30"/>
        <v>-2980274663735194.5</v>
      </c>
    </row>
    <row r="52" spans="1:21" x14ac:dyDescent="0.2">
      <c r="A52" s="97">
        <v>8</v>
      </c>
      <c r="B52" s="93">
        <f t="shared" si="25"/>
        <v>612220032</v>
      </c>
      <c r="C52" s="1">
        <f t="shared" si="22"/>
        <v>5509980288</v>
      </c>
      <c r="D52" s="9">
        <f>SUM($C$45:C52)</f>
        <v>5834096775</v>
      </c>
      <c r="E52" s="9">
        <f t="shared" si="23"/>
        <v>7475222822.4104557</v>
      </c>
      <c r="F52" s="9">
        <f t="shared" si="24"/>
        <v>-1.8221238387905712E-3</v>
      </c>
      <c r="G52" s="282">
        <f t="shared" si="26"/>
        <v>-1.0181837826017787E+17</v>
      </c>
      <c r="O52" s="99">
        <v>8</v>
      </c>
      <c r="P52" s="93">
        <f t="shared" si="31"/>
        <v>3205151928</v>
      </c>
      <c r="Q52" s="1">
        <f t="shared" si="27"/>
        <v>28846367388</v>
      </c>
      <c r="R52" s="9">
        <f>SUM($Q$45:Q52)</f>
        <v>30543212511</v>
      </c>
      <c r="S52" s="277">
        <f t="shared" si="28"/>
        <v>39134990048.559792</v>
      </c>
      <c r="T52" s="9">
        <f t="shared" si="29"/>
        <v>-3.4804612670360672E-4</v>
      </c>
      <c r="U52" s="282">
        <f t="shared" si="30"/>
        <v>-5.3304915647821005E+17</v>
      </c>
    </row>
    <row r="53" spans="1:21" x14ac:dyDescent="0.2">
      <c r="A53" s="97">
        <v>9</v>
      </c>
      <c r="B53" s="93">
        <f t="shared" si="25"/>
        <v>11019960576</v>
      </c>
      <c r="C53" s="1">
        <f t="shared" si="22"/>
        <v>99179645184</v>
      </c>
      <c r="D53" s="9">
        <f>SUM($C$45:C53)</f>
        <v>105013741959</v>
      </c>
      <c r="E53" s="9">
        <f t="shared" si="23"/>
        <v>130823643154.87614</v>
      </c>
      <c r="F53" s="9">
        <f t="shared" si="24"/>
        <v>-1.0554954917867711E-3</v>
      </c>
      <c r="G53" s="282">
        <f t="shared" si="26"/>
        <v>-1.8064621272292602E+19</v>
      </c>
      <c r="O53" s="99">
        <v>9</v>
      </c>
      <c r="P53" s="93">
        <f t="shared" si="31"/>
        <v>57692734776</v>
      </c>
      <c r="Q53" s="1">
        <f t="shared" si="27"/>
        <v>519234613020</v>
      </c>
      <c r="R53" s="9">
        <f>SUM($Q$45:Q53)</f>
        <v>549777825531</v>
      </c>
      <c r="S53" s="277">
        <f t="shared" si="28"/>
        <v>684900249434.13794</v>
      </c>
      <c r="T53" s="9">
        <f t="shared" si="29"/>
        <v>-2.0161149843817016E-4</v>
      </c>
      <c r="U53" s="282">
        <f t="shared" si="30"/>
        <v>-9.4573605481076851E+19</v>
      </c>
    </row>
    <row r="54" spans="1:21" ht="17" thickBot="1" x14ac:dyDescent="0.25">
      <c r="A54" s="145">
        <v>10</v>
      </c>
      <c r="B54" s="94">
        <f t="shared" si="25"/>
        <v>198359290368</v>
      </c>
      <c r="C54" s="111">
        <f t="shared" si="22"/>
        <v>1785233613312</v>
      </c>
      <c r="D54" s="10">
        <f>SUM($C$45:C54)</f>
        <v>1890247355271</v>
      </c>
      <c r="E54" s="10">
        <f t="shared" si="23"/>
        <v>2302596067525.1338</v>
      </c>
      <c r="F54" s="10">
        <f t="shared" si="24"/>
        <v>-6.0022792516746212E-4</v>
      </c>
      <c r="G54" s="283">
        <f t="shared" si="26"/>
        <v>-3.1823776376432949E+21</v>
      </c>
      <c r="O54" s="100">
        <v>10</v>
      </c>
      <c r="P54" s="94">
        <f t="shared" si="31"/>
        <v>1038469226040</v>
      </c>
      <c r="Q54" s="111">
        <f t="shared" si="27"/>
        <v>9346223034396</v>
      </c>
      <c r="R54" s="10">
        <f>SUM($Q$45:Q54)</f>
        <v>9896000859927</v>
      </c>
      <c r="S54" s="278">
        <f t="shared" si="28"/>
        <v>12054767647605.785</v>
      </c>
      <c r="T54" s="10">
        <f t="shared" si="29"/>
        <v>-1.1465027784122127E-4</v>
      </c>
      <c r="U54" s="283">
        <f t="shared" si="30"/>
        <v>-1.666068292644983E+22</v>
      </c>
    </row>
  </sheetData>
  <mergeCells count="2">
    <mergeCell ref="A18:F18"/>
    <mergeCell ref="O18:T18"/>
  </mergeCells>
  <conditionalFormatting sqref="F45:F54">
    <cfRule type="cellIs" dxfId="523" priority="65" operator="equal">
      <formula>MAX($F$45:$F$54)</formula>
    </cfRule>
  </conditionalFormatting>
  <conditionalFormatting sqref="F21:F30">
    <cfRule type="cellIs" dxfId="522" priority="63" operator="equal">
      <formula>MAX($F$21:$F$30)</formula>
    </cfRule>
  </conditionalFormatting>
  <conditionalFormatting sqref="F33:F42">
    <cfRule type="cellIs" dxfId="521" priority="44" operator="lessThanOrEqual">
      <formula>0</formula>
    </cfRule>
    <cfRule type="cellIs" dxfId="520" priority="61" operator="equal">
      <formula>MAX($F$33:$F$42)</formula>
    </cfRule>
  </conditionalFormatting>
  <conditionalFormatting sqref="E33:E42">
    <cfRule type="cellIs" dxfId="519" priority="59" stopIfTrue="1" operator="lessThan">
      <formula>0</formula>
    </cfRule>
    <cfRule type="cellIs" dxfId="518" priority="60" operator="equal">
      <formula>MIN($E$33:$E$42)</formula>
    </cfRule>
  </conditionalFormatting>
  <conditionalFormatting sqref="E21:E30">
    <cfRule type="cellIs" dxfId="517" priority="55" stopIfTrue="1" operator="lessThan">
      <formula>0</formula>
    </cfRule>
    <cfRule type="cellIs" dxfId="516" priority="56" operator="equal">
      <formula>MIN($E$21:$E$30)</formula>
    </cfRule>
  </conditionalFormatting>
  <conditionalFormatting sqref="E45:E54">
    <cfRule type="cellIs" dxfId="515" priority="51" stopIfTrue="1" operator="lessThan">
      <formula>0</formula>
    </cfRule>
    <cfRule type="cellIs" dxfId="514" priority="52" operator="equal">
      <formula>MIN($E$45:$E$54)</formula>
    </cfRule>
  </conditionalFormatting>
  <conditionalFormatting sqref="R7:R16">
    <cfRule type="cellIs" dxfId="513" priority="29" operator="lessThanOrEqual">
      <formula>0</formula>
    </cfRule>
    <cfRule type="cellIs" dxfId="512" priority="30" operator="greaterThan">
      <formula>0</formula>
    </cfRule>
  </conditionalFormatting>
  <conditionalFormatting sqref="T21:T30">
    <cfRule type="cellIs" dxfId="511" priority="21" operator="equal">
      <formula>MAX($T$21:$T$30)</formula>
    </cfRule>
  </conditionalFormatting>
  <conditionalFormatting sqref="S33:S42">
    <cfRule type="cellIs" dxfId="510" priority="19" stopIfTrue="1" operator="lessThan">
      <formula>0</formula>
    </cfRule>
    <cfRule type="cellIs" dxfId="509" priority="20" operator="equal">
      <formula>MIN($E$21:$E$30)</formula>
    </cfRule>
  </conditionalFormatting>
  <conditionalFormatting sqref="T33:T42">
    <cfRule type="cellIs" dxfId="508" priority="18" operator="equal">
      <formula>MAX($T$21:$T$30)</formula>
    </cfRule>
  </conditionalFormatting>
  <conditionalFormatting sqref="S45:S54">
    <cfRule type="cellIs" dxfId="507" priority="16" stopIfTrue="1" operator="lessThan">
      <formula>0</formula>
    </cfRule>
    <cfRule type="cellIs" dxfId="506" priority="17" operator="equal">
      <formula>MIN($E$21:$E$30)</formula>
    </cfRule>
  </conditionalFormatting>
  <conditionalFormatting sqref="T45:T54">
    <cfRule type="cellIs" dxfId="505" priority="15" operator="equal">
      <formula>MAX($T$21:$T$30)</formula>
    </cfRule>
  </conditionalFormatting>
  <conditionalFormatting sqref="S21:S30">
    <cfRule type="cellIs" dxfId="504" priority="13" stopIfTrue="1" operator="lessThan">
      <formula>0</formula>
    </cfRule>
    <cfRule type="cellIs" dxfId="503" priority="14" operator="equal">
      <formula>MIN($E$21:$E$30)</formula>
    </cfRule>
  </conditionalFormatting>
  <conditionalFormatting sqref="U7:U16">
    <cfRule type="cellIs" dxfId="502" priority="7" operator="lessThanOrEqual">
      <formula>0</formula>
    </cfRule>
    <cfRule type="cellIs" dxfId="501" priority="8" operator="greaterThan">
      <formula>0</formula>
    </cfRule>
  </conditionalFormatting>
  <conditionalFormatting sqref="S7:T16">
    <cfRule type="cellIs" dxfId="500" priority="1" operator="lessThanOrEqual">
      <formula>0</formula>
    </cfRule>
    <cfRule type="cellIs" dxfId="499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0.99999999999999956</v>
      </c>
    </row>
    <row r="2" spans="1:23" x14ac:dyDescent="0.2">
      <c r="A2" t="s">
        <v>40</v>
      </c>
      <c r="B2" s="149" t="s">
        <v>125</v>
      </c>
      <c r="C2" s="155">
        <f>Analysis!B33</f>
        <v>0.50444506409312206</v>
      </c>
      <c r="D2" s="149" t="s">
        <v>126</v>
      </c>
      <c r="E2" s="155">
        <f>Analysis!N33</f>
        <v>0.49555493590687749</v>
      </c>
      <c r="F2" s="149" t="s">
        <v>47</v>
      </c>
      <c r="G2" s="155">
        <f>Analysis!S33</f>
        <v>13.156570329011167</v>
      </c>
      <c r="H2" t="s">
        <v>155</v>
      </c>
      <c r="I2" s="169">
        <f>Analysis!T33</f>
        <v>-13.926736222949119</v>
      </c>
      <c r="J2" t="s">
        <v>48</v>
      </c>
      <c r="K2" s="169">
        <f>C2*G2+E2*I2</f>
        <v>-0.26469591349183386</v>
      </c>
      <c r="L2" t="s">
        <v>47</v>
      </c>
      <c r="M2" s="176">
        <v>2</v>
      </c>
      <c r="N2" t="s">
        <v>155</v>
      </c>
      <c r="O2" s="176">
        <v>10</v>
      </c>
    </row>
    <row r="4" spans="1:23" x14ac:dyDescent="0.2">
      <c r="A4" t="s">
        <v>123</v>
      </c>
      <c r="B4">
        <f>$C$2</f>
        <v>0.50444506409312206</v>
      </c>
      <c r="C4" t="s">
        <v>124</v>
      </c>
      <c r="D4">
        <f>$E$2</f>
        <v>0.49555493590687749</v>
      </c>
      <c r="E4" t="s">
        <v>47</v>
      </c>
      <c r="F4">
        <f>G2</f>
        <v>13.156570329011167</v>
      </c>
      <c r="G4" t="s">
        <v>155</v>
      </c>
      <c r="H4">
        <f>I2</f>
        <v>-13.926736222949119</v>
      </c>
      <c r="I4" t="s">
        <v>48</v>
      </c>
      <c r="J4">
        <f>K2</f>
        <v>-0.26469591349183386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263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0.50444506409312206</v>
      </c>
      <c r="C7" s="95">
        <v>1</v>
      </c>
      <c r="D7" s="22">
        <f>C7*D4</f>
        <v>0.49555493590687749</v>
      </c>
      <c r="E7" s="2"/>
      <c r="F7" s="2"/>
      <c r="G7" s="2"/>
      <c r="H7" s="2"/>
      <c r="I7" s="2"/>
      <c r="J7" s="2"/>
      <c r="K7" s="2"/>
      <c r="L7" s="2"/>
      <c r="M7" s="256"/>
      <c r="N7" s="96">
        <f>B7+D7</f>
        <v>0.99999999999999956</v>
      </c>
      <c r="R7" s="296">
        <f>B7-D7</f>
        <v>8.8901281862445725E-3</v>
      </c>
      <c r="S7" s="297">
        <f>SUM(C7)*B4*F4*POWER(O2,A7-1)</f>
        <v>6.6367669628637058</v>
      </c>
      <c r="T7" s="276">
        <f>SUM(C7)*D4*H4*POWER(O2,A7-1)</f>
        <v>-6.9014628763555397</v>
      </c>
      <c r="U7" s="294">
        <f>S7+T7</f>
        <v>-0.26469591349183386</v>
      </c>
      <c r="V7" s="109">
        <f>(U7+W7*D7)/B7</f>
        <v>0.45764948226835334</v>
      </c>
      <c r="W7" s="57">
        <f>COUNT(D7:M7)</f>
        <v>1</v>
      </c>
    </row>
    <row r="8" spans="1:23" x14ac:dyDescent="0.2">
      <c r="A8" s="99">
        <v>2</v>
      </c>
      <c r="B8" s="97">
        <f>C8*B4</f>
        <v>0.67257569992320021</v>
      </c>
      <c r="C8" s="97">
        <f>1/(1-B4*D4)</f>
        <v>1.3332982078679647</v>
      </c>
      <c r="D8" s="144">
        <f>C8*D4</f>
        <v>0.66072250794476384</v>
      </c>
      <c r="E8" s="1">
        <f>D8*D4</f>
        <v>0.32742430007679879</v>
      </c>
      <c r="F8" s="1"/>
      <c r="G8" s="1"/>
      <c r="H8" s="1"/>
      <c r="I8" s="1"/>
      <c r="J8" s="1"/>
      <c r="K8" s="1"/>
      <c r="L8" s="1"/>
      <c r="M8" s="257"/>
      <c r="N8" s="97">
        <f>B8+E8</f>
        <v>0.999999999999999</v>
      </c>
      <c r="R8" s="298">
        <f>B8-E8</f>
        <v>0.34515139984640142</v>
      </c>
      <c r="S8" s="299">
        <f>SUM(C8:D8)*B4*F4*POWER(O2,A8-1)</f>
        <v>132.33850809971756</v>
      </c>
      <c r="T8" s="277">
        <f>SUM(C8:D8)*D4*H4*POWER(O2,A8-1)</f>
        <v>-137.61659944865445</v>
      </c>
      <c r="U8" s="295">
        <f>S8+T8+U7</f>
        <v>-5.5427872624287309</v>
      </c>
      <c r="V8" s="93">
        <f>(U8+W8*E8)/B8</f>
        <v>-7.2674922136397067</v>
      </c>
      <c r="W8" s="9">
        <f>COUNT(D8:M8)</f>
        <v>2</v>
      </c>
    </row>
    <row r="9" spans="1:23" x14ac:dyDescent="0.2">
      <c r="A9" s="99">
        <v>3</v>
      </c>
      <c r="B9" s="97">
        <f>C9*B4</f>
        <v>0.75662773078795098</v>
      </c>
      <c r="C9" s="97">
        <f>1/(1-D4*B4/(1-D4*B4))</f>
        <v>1.4999209718667705</v>
      </c>
      <c r="D9" s="144">
        <f>C9*D4*C8</f>
        <v>0.99103154625076029</v>
      </c>
      <c r="E9" s="1">
        <f>D9*(D4)</f>
        <v>0.4911105743839892</v>
      </c>
      <c r="F9" s="1">
        <f>E9*D4</f>
        <v>0.24337226921204755</v>
      </c>
      <c r="G9" s="1"/>
      <c r="H9" s="1"/>
      <c r="I9" s="1"/>
      <c r="J9" s="1"/>
      <c r="K9" s="1"/>
      <c r="L9" s="1"/>
      <c r="M9" s="257"/>
      <c r="N9" s="97">
        <f>B9+F9</f>
        <v>0.99999999999999856</v>
      </c>
      <c r="R9" s="298">
        <f>B9-F9</f>
        <v>0.5132554615759034</v>
      </c>
      <c r="S9" s="299">
        <f>SUM(C9:E9)*B4*F4*POWER(O2,A9-1)</f>
        <v>1979.1257813489262</v>
      </c>
      <c r="T9" s="277">
        <f>SUM(C9:E9)*D4*H4*POWER(O2,A9-1)</f>
        <v>-2058.0597727849236</v>
      </c>
      <c r="U9" s="295">
        <f t="shared" ref="U9:U16" si="0">S9+T9+U8</f>
        <v>-84.476778698426045</v>
      </c>
      <c r="V9" s="93">
        <f>(U9+W9*F9)/B9</f>
        <v>-110.68410326908884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0.80704832201852528</v>
      </c>
      <c r="C10" s="97">
        <f>1/(1-D4*B4/(1-D4*B4/(1-D4*B4)))</f>
        <v>1.599873562980372</v>
      </c>
      <c r="D10" s="144">
        <f>C10*D4*C9</f>
        <v>1.1891752059439984</v>
      </c>
      <c r="E10" s="1">
        <f>D10*D4*C8</f>
        <v>0.78571482445704965</v>
      </c>
      <c r="F10" s="1">
        <f>E10*D4</f>
        <v>0.38936485947489674</v>
      </c>
      <c r="G10" s="1">
        <f>F10*D4</f>
        <v>0.19295167798147281</v>
      </c>
      <c r="H10" s="1"/>
      <c r="I10" s="1"/>
      <c r="J10" s="1"/>
      <c r="K10" s="1"/>
      <c r="L10" s="1"/>
      <c r="M10" s="257"/>
      <c r="N10" s="97">
        <f>B10+G10</f>
        <v>0.99999999999999811</v>
      </c>
      <c r="R10" s="298">
        <f>B10-G10</f>
        <v>0.61409664403705244</v>
      </c>
      <c r="S10" s="299">
        <f>SUM(C10:F10)*B4*F4*POWER(O2,A10-1)</f>
        <v>26308.99675246482</v>
      </c>
      <c r="T10" s="277">
        <f>SUM(C10:F10)*D4*H4*POWER(O2,A10-1)</f>
        <v>-27358.285354492593</v>
      </c>
      <c r="U10" s="295">
        <f t="shared" si="0"/>
        <v>-1133.7653807261988</v>
      </c>
      <c r="V10" s="93">
        <f>(U10+W10*G10)/B10</f>
        <v>-1403.8732788397592</v>
      </c>
      <c r="W10" s="9">
        <f t="shared" si="1"/>
        <v>4</v>
      </c>
    </row>
    <row r="11" spans="1:23" x14ac:dyDescent="0.2">
      <c r="A11" s="99">
        <v>5</v>
      </c>
      <c r="B11" s="97">
        <f>C11*B4</f>
        <v>0.84065319595120391</v>
      </c>
      <c r="C11" s="97">
        <f>1/(1-D4*B4/(1-D4*B4/(1-D4*B4/(1-D4*B4))))</f>
        <v>1.666491072645359</v>
      </c>
      <c r="D11" s="144">
        <f>C11*D4*C10</f>
        <v>1.321236186230822</v>
      </c>
      <c r="E11" s="1">
        <f>D11*D4*C9</f>
        <v>0.98206592709412566</v>
      </c>
      <c r="F11" s="1">
        <f>E11*D4*C8</f>
        <v>0.64887306231673036</v>
      </c>
      <c r="G11" s="1">
        <f>F11*D4</f>
        <v>0.32155224880806665</v>
      </c>
      <c r="H11" s="1">
        <f>G11*D4</f>
        <v>0.15934680404879378</v>
      </c>
      <c r="I11" s="1"/>
      <c r="J11" s="1"/>
      <c r="K11" s="1"/>
      <c r="L11" s="1"/>
      <c r="M11" s="257"/>
      <c r="N11" s="97">
        <f>B11+H11</f>
        <v>0.99999999999999767</v>
      </c>
      <c r="R11" s="298">
        <f>B11-H11</f>
        <v>0.68130639190241016</v>
      </c>
      <c r="S11" s="299">
        <f>SUM(C11:G11)*B4*F4*POWER(O2,A11-1)</f>
        <v>327870.78910848981</v>
      </c>
      <c r="T11" s="277">
        <f>SUM(C11:G11)*D4*H4*POWER(O2,A11-1)</f>
        <v>-340947.34558786819</v>
      </c>
      <c r="U11" s="295">
        <f t="shared" si="0"/>
        <v>-14210.32186010457</v>
      </c>
      <c r="V11" s="93">
        <f>(U11+W11*H11)/B11</f>
        <v>-16902.957360444183</v>
      </c>
      <c r="W11" s="9">
        <f t="shared" si="1"/>
        <v>5</v>
      </c>
    </row>
    <row r="12" spans="1:23" x14ac:dyDescent="0.2">
      <c r="A12" s="99">
        <v>6</v>
      </c>
      <c r="B12" s="97">
        <f>C12*B4</f>
        <v>0.86464909120896061</v>
      </c>
      <c r="C12" s="97">
        <f>1/(1-D4*B4/(1-D4*B4/(1-D4*B4/(1-D4*B4/(1-D4*B4)))))</f>
        <v>1.7140599695695382</v>
      </c>
      <c r="D12" s="144">
        <f>C12*D4*C11</f>
        <v>1.4155356457957544</v>
      </c>
      <c r="E12" s="1">
        <f>D12*D4*C10</f>
        <v>1.1222723894681013</v>
      </c>
      <c r="F12" s="1">
        <f>E12*D4*C9</f>
        <v>0.83417748174101558</v>
      </c>
      <c r="G12" s="1">
        <f>F12*D4*C8</f>
        <v>0.55115983780697131</v>
      </c>
      <c r="H12" s="1">
        <f>G12*D4</f>
        <v>0.27312997809887868</v>
      </c>
      <c r="I12" s="1">
        <f>H12*D4</f>
        <v>0.13535090879103667</v>
      </c>
      <c r="J12" s="1"/>
      <c r="K12" s="1"/>
      <c r="L12" s="1"/>
      <c r="M12" s="257"/>
      <c r="N12" s="97">
        <f>B12+I12</f>
        <v>0.99999999999999734</v>
      </c>
      <c r="R12" s="298">
        <f>B12-I12</f>
        <v>0.72929818241792388</v>
      </c>
      <c r="S12" s="299">
        <f>SUM(C12:H12)*B4*F4*POWER(O2,A12-1)</f>
        <v>3922551.8074948057</v>
      </c>
      <c r="T12" s="277">
        <f>SUM(C12:H12)*D4*H4*POWER(O2,A12-1)</f>
        <v>-4078995.9676881097</v>
      </c>
      <c r="U12" s="295">
        <f t="shared" si="0"/>
        <v>-170654.48205340863</v>
      </c>
      <c r="V12" s="93">
        <f>(U12+W12*I12)/B12</f>
        <v>-197367.54676899768</v>
      </c>
      <c r="W12" s="9">
        <f t="shared" si="1"/>
        <v>6</v>
      </c>
    </row>
    <row r="13" spans="1:23" x14ac:dyDescent="0.2">
      <c r="A13" s="99">
        <v>7</v>
      </c>
      <c r="B13" s="97">
        <f>C13*B4</f>
        <v>0.88263937752175803</v>
      </c>
      <c r="C13" s="97">
        <f>1/(1-D4*B4/(1-D4*B4/(1-D4*B4/(1-D4*B4/(1-D4*B4/(1-D4*B4))))))</f>
        <v>1.7497234889363893</v>
      </c>
      <c r="D13" s="144">
        <f>C13*D4*C12</f>
        <v>1.4862341656255915</v>
      </c>
      <c r="E13" s="1">
        <f>D13*D4*C11</f>
        <v>1.2273884676105467</v>
      </c>
      <c r="F13" s="1">
        <f>E13*D4*C10</f>
        <v>0.97310455758712255</v>
      </c>
      <c r="G13" s="1">
        <f>F13*D4*C9</f>
        <v>0.72330204051750246</v>
      </c>
      <c r="H13" s="1">
        <f>G13*D4*C8</f>
        <v>0.47790193821228943</v>
      </c>
      <c r="I13" s="1">
        <f>H13*D4</f>
        <v>0.23682666436056363</v>
      </c>
      <c r="J13" s="1">
        <f>I13*D4</f>
        <v>0.1173606224782387</v>
      </c>
      <c r="K13" s="1"/>
      <c r="L13" s="1"/>
      <c r="M13" s="257"/>
      <c r="N13" s="97">
        <f>B13+J13</f>
        <v>0.99999999999999667</v>
      </c>
      <c r="R13" s="298">
        <f>B13-J13</f>
        <v>0.76527875504351939</v>
      </c>
      <c r="S13" s="299">
        <f>SUM(C13:I13)*B4*F4*POWER(O2,A13-1)</f>
        <v>45624330.530314505</v>
      </c>
      <c r="T13" s="277">
        <f>SUM(C13:I13)*D4*H4*POWER(O2,A13-1)</f>
        <v>-47443977.643848829</v>
      </c>
      <c r="U13" s="295">
        <f t="shared" si="0"/>
        <v>-1990301.5955877325</v>
      </c>
      <c r="V13" s="93">
        <f>(U13+W13*J13)/B13</f>
        <v>-2254942.193550969</v>
      </c>
      <c r="W13" s="9">
        <f t="shared" si="1"/>
        <v>7</v>
      </c>
    </row>
    <row r="14" spans="1:23" x14ac:dyDescent="0.2">
      <c r="A14" s="99">
        <v>8</v>
      </c>
      <c r="B14" s="97">
        <f>C14*B4</f>
        <v>0.89662592733322999</v>
      </c>
      <c r="C14" s="97">
        <f>1/(1-D4*B4/(1-D4*B4/(1-D4*B4/(1-D4*B4/(1-D4*B4/(1-D4*B4/(1-D4*B4)))))))</f>
        <v>1.7774500954730528</v>
      </c>
      <c r="D14" s="144">
        <f>C14*D4*C13</f>
        <v>1.541198736617102</v>
      </c>
      <c r="E14" s="1">
        <f>D14*D4*C12</f>
        <v>1.309110972598144</v>
      </c>
      <c r="F14" s="1">
        <f>E14*D4*C11</f>
        <v>1.0811134259674706</v>
      </c>
      <c r="G14" s="1">
        <f>F14*D4*C10</f>
        <v>0.85713401244974674</v>
      </c>
      <c r="H14" s="1">
        <f>G14*D4*C9</f>
        <v>0.63710191815266493</v>
      </c>
      <c r="I14" s="1">
        <f>H14*D4*C8</f>
        <v>0.42094757717824843</v>
      </c>
      <c r="J14" s="1">
        <f>I14*D4</f>
        <v>0.20860264962872227</v>
      </c>
      <c r="K14" s="1">
        <f>J14*D4</f>
        <v>0.10337407266676629</v>
      </c>
      <c r="L14" s="1"/>
      <c r="M14" s="257"/>
      <c r="N14" s="97">
        <f>B14+K14</f>
        <v>0.99999999999999623</v>
      </c>
      <c r="R14" s="298">
        <f>B14-K14</f>
        <v>0.79325185466646375</v>
      </c>
      <c r="S14" s="299">
        <f>SUM(C14:J14)*B4*F4*POWER(O2,A14-1)</f>
        <v>519835350.58075041</v>
      </c>
      <c r="T14" s="277">
        <f>SUM(C14:J14)*D4*H4*POWER(O2,A14-1)</f>
        <v>-540568079.89869332</v>
      </c>
      <c r="U14" s="295">
        <f t="shared" si="0"/>
        <v>-22723030.913530651</v>
      </c>
      <c r="V14" s="93">
        <f>(U14+W14*K14)/B14</f>
        <v>-25342820.672297023</v>
      </c>
      <c r="W14" s="9">
        <f t="shared" si="1"/>
        <v>8</v>
      </c>
    </row>
    <row r="15" spans="1:23" x14ac:dyDescent="0.2">
      <c r="A15" s="99">
        <v>9</v>
      </c>
      <c r="B15" s="97">
        <f>C15*B4</f>
        <v>0.90780986444327882</v>
      </c>
      <c r="C15" s="97">
        <f>1/(1-D4*B4/(1-D4*B4/(1-D4*B4/(1-D4*B4/(1-D4*B4/(1-D4*B4/(1-D4*B4/(1-D4*B4))))))))</f>
        <v>1.7996208686773758</v>
      </c>
      <c r="D15" s="144">
        <f>C15*D4*C14</f>
        <v>1.5851495546198133</v>
      </c>
      <c r="E15" s="1">
        <f>D15*D4*C13</f>
        <v>1.3744579930268179</v>
      </c>
      <c r="F15" s="1">
        <f>E15*D4*C12</f>
        <v>1.167479571126625</v>
      </c>
      <c r="G15" s="1">
        <f>F15*D4*C11</f>
        <v>0.9641488501030141</v>
      </c>
      <c r="H15" s="1">
        <f>G15*D4*C10</f>
        <v>0.76440154440600894</v>
      </c>
      <c r="I15" s="1">
        <f>H15*D4*C9</f>
        <v>0.56817450142719705</v>
      </c>
      <c r="J15" s="1">
        <f>I15*D4*C8</f>
        <v>0.37540568153324344</v>
      </c>
      <c r="K15" s="1">
        <f>J15*D4</f>
        <v>0.18603413845128411</v>
      </c>
      <c r="L15" s="1">
        <f>K15*D4</f>
        <v>9.2190135556717276E-2</v>
      </c>
      <c r="M15" s="257"/>
      <c r="N15" s="97">
        <f>B15+L15</f>
        <v>0.99999999999999611</v>
      </c>
      <c r="R15" s="298">
        <f>B15-L15</f>
        <v>0.81561972888656153</v>
      </c>
      <c r="S15" s="299">
        <f>SUM(C15:K15)*B4*F4*POWER(O2,A15-1)</f>
        <v>5830315293.0698338</v>
      </c>
      <c r="T15" s="277">
        <f>SUM(C15:K15)*D4*H4*POWER(O2,A15-1)</f>
        <v>-6062847283.5826702</v>
      </c>
      <c r="U15" s="295">
        <f t="shared" si="0"/>
        <v>-255255021.4263671</v>
      </c>
      <c r="V15" s="93">
        <f>(U15+W15*L15)/B15</f>
        <v>-281176742.61360103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0.91695554066373286</v>
      </c>
      <c r="C16" s="145">
        <f>1/(1-D4*B4/(1-D4*B4/(1-D4*B4/(1-D4*B4/(1-D4*B4/(1-D4*B4/(1-D4*B4/(1-D4*B4/(1-D4*B4)))))))))</f>
        <v>1.8177510415573421</v>
      </c>
      <c r="D16" s="153">
        <f>C16*D4*C15</f>
        <v>1.6210903818188276</v>
      </c>
      <c r="E16" s="111">
        <f>D16*D4*C14</f>
        <v>1.4278955870450352</v>
      </c>
      <c r="F16" s="111">
        <f>E16*D4*C13</f>
        <v>1.2381055762858164</v>
      </c>
      <c r="G16" s="111">
        <f>F16*D4*C12</f>
        <v>1.0516603450560635</v>
      </c>
      <c r="H16" s="111">
        <f>G16*D4*C11</f>
        <v>0.86850094636454123</v>
      </c>
      <c r="I16" s="111">
        <f>H16*D4*C10</f>
        <v>0.68856947207705865</v>
      </c>
      <c r="J16" s="111">
        <f>I16*D4*C9</f>
        <v>0.51180903460808824</v>
      </c>
      <c r="K16" s="111">
        <f>J16*D4*C8</f>
        <v>0.33816374893504453</v>
      </c>
      <c r="L16" s="111">
        <f>K16*D4</f>
        <v>0.16757871492953541</v>
      </c>
      <c r="M16" s="259">
        <f>L16*D4</f>
        <v>8.304445933626281E-2</v>
      </c>
      <c r="N16" s="145">
        <f>B16+M16</f>
        <v>0.99999999999999567</v>
      </c>
      <c r="R16" s="300">
        <f>B16-M16</f>
        <v>0.83391108132747005</v>
      </c>
      <c r="S16" s="301">
        <f>SUM(C16:L16)*B4*F4*POWER(O2,A16-1)</f>
        <v>64583207907.203941</v>
      </c>
      <c r="T16" s="278">
        <f>SUM(C16:L16)*D4*H4*POWER(O2,A16-1)</f>
        <v>-67158996888.327675</v>
      </c>
      <c r="U16" s="295">
        <f t="shared" si="0"/>
        <v>-2831044002.5501008</v>
      </c>
      <c r="V16" s="94">
        <f>(U16+W16*M16)/B16</f>
        <v>-3087438677.4198685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10</v>
      </c>
      <c r="D21" s="57">
        <f>SUM($C$21:C21)</f>
        <v>10</v>
      </c>
      <c r="E21" s="57">
        <f t="shared" ref="E21:E30" si="3">D21/R7</f>
        <v>1124.8431732933502</v>
      </c>
      <c r="F21" s="8">
        <f t="shared" ref="F21:F30" si="4">U7/E21</f>
        <v>-2.3531806013175069E-4</v>
      </c>
      <c r="G21" s="281">
        <f>E21*U7</f>
        <v>-297.74139128993653</v>
      </c>
      <c r="O21" s="101">
        <v>1</v>
      </c>
      <c r="P21" s="109">
        <v>1</v>
      </c>
      <c r="Q21" s="110">
        <f>P21*10+45</f>
        <v>55</v>
      </c>
      <c r="R21" s="57">
        <f>SUM($Q$21)</f>
        <v>55</v>
      </c>
      <c r="S21" s="276">
        <f>R21/R7</f>
        <v>6186.6374531134261</v>
      </c>
      <c r="T21" s="8">
        <f>U7/S21</f>
        <v>-4.2785101842136488E-5</v>
      </c>
      <c r="U21" s="281">
        <f>S21*U7</f>
        <v>-1637.5776520946508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318.70072104285822</v>
      </c>
      <c r="F22" s="9">
        <f t="shared" si="4"/>
        <v>-1.7391825297073452E-2</v>
      </c>
      <c r="G22" s="282">
        <f t="shared" ref="G22:G30" si="5">E22*U8</f>
        <v>-1766.4902971232068</v>
      </c>
      <c r="O22" s="99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77">
        <f t="shared" ref="S22:S30" si="7">R22/R8</f>
        <v>1883.2315334350715</v>
      </c>
      <c r="T22" s="9">
        <f>U8/S22</f>
        <v>-2.9432319733508914E-3</v>
      </c>
      <c r="U22" s="282">
        <f t="shared" ref="U22:U30" si="8">S22*U8</f>
        <v>-10438.351755728041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2162.6657348990457</v>
      </c>
      <c r="F23" s="9">
        <f t="shared" si="4"/>
        <v>-3.9061412651627117E-2</v>
      </c>
      <c r="G23" s="282">
        <f t="shared" si="5"/>
        <v>-182695.03468573562</v>
      </c>
      <c r="O23" s="99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77">
        <f t="shared" si="7"/>
        <v>12946.769196760502</v>
      </c>
      <c r="T23" s="9">
        <f t="shared" ref="T23:T30" si="11">U9/S23</f>
        <v>-6.5249312330031761E-3</v>
      </c>
      <c r="U23" s="282">
        <f t="shared" si="8"/>
        <v>-1093701.356294336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18091.614907652322</v>
      </c>
      <c r="F24" s="9">
        <f t="shared" si="4"/>
        <v>-6.2668003188960375E-2</v>
      </c>
      <c r="G24" s="282">
        <f t="shared" si="5"/>
        <v>-20511646.663726211</v>
      </c>
      <c r="O24" s="99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77">
        <f t="shared" si="7"/>
        <v>108517.1212822638</v>
      </c>
      <c r="T24" s="9">
        <f t="shared" si="11"/>
        <v>-1.0447801852181119E-2</v>
      </c>
      <c r="U24" s="282">
        <f t="shared" si="8"/>
        <v>-123032955.32589692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163083.74810597009</v>
      </c>
      <c r="F25" s="9">
        <f t="shared" si="4"/>
        <v>-8.7135119379711912E-2</v>
      </c>
      <c r="G25" s="282">
        <f t="shared" si="5"/>
        <v>-2317472550.7380543</v>
      </c>
      <c r="O25" s="99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77">
        <f t="shared" si="7"/>
        <v>978465.79442555457</v>
      </c>
      <c r="T25" s="9">
        <f t="shared" si="11"/>
        <v>-1.4523064516984242E-2</v>
      </c>
      <c r="U25" s="282">
        <f t="shared" si="8"/>
        <v>-13904313867.890043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1523533.2087572366</v>
      </c>
      <c r="F26" s="9">
        <f t="shared" si="4"/>
        <v>-0.11201231523703604</v>
      </c>
      <c r="G26" s="282">
        <f t="shared" si="5"/>
        <v>-259997770631.63391</v>
      </c>
      <c r="O26" s="99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77">
        <f t="shared" si="7"/>
        <v>9141158.1171056479</v>
      </c>
      <c r="T26" s="9">
        <f t="shared" si="11"/>
        <v>-1.8668803215871155E-2</v>
      </c>
      <c r="U26" s="282">
        <f t="shared" si="8"/>
        <v>-1559979603842.9763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14519036.268513869</v>
      </c>
      <c r="F27" s="9">
        <f t="shared" si="4"/>
        <v>-0.13708221115914704</v>
      </c>
      <c r="G27" s="282">
        <f t="shared" si="5"/>
        <v>-28897261051619.312</v>
      </c>
      <c r="O27" s="99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77">
        <f t="shared" si="7"/>
        <v>87114171.876114398</v>
      </c>
      <c r="T27" s="9">
        <f t="shared" si="11"/>
        <v>-2.2847047187892145E-2</v>
      </c>
      <c r="U27" s="282">
        <f t="shared" si="8"/>
        <v>-173383475283334.47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140070406.82775152</v>
      </c>
      <c r="F28" s="9">
        <f t="shared" si="4"/>
        <v>-0.16222577936447202</v>
      </c>
      <c r="G28" s="282">
        <f t="shared" si="5"/>
        <v>-3182824184417812.5</v>
      </c>
      <c r="O28" s="99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77">
        <f t="shared" si="7"/>
        <v>840422390.54116213</v>
      </c>
      <c r="T28" s="9">
        <f t="shared" si="11"/>
        <v>-2.7037631516336577E-2</v>
      </c>
      <c r="U28" s="282">
        <f t="shared" si="8"/>
        <v>-1.9096943960690156E+16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1362290624.7214334</v>
      </c>
      <c r="F29" s="9">
        <f t="shared" si="4"/>
        <v>-0.18737192842280823</v>
      </c>
      <c r="G29" s="282">
        <f t="shared" si="5"/>
        <v>-3.4773152260220851E+17</v>
      </c>
      <c r="O29" s="99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77">
        <f t="shared" si="7"/>
        <v>8173743693.1558294</v>
      </c>
      <c r="T29" s="9">
        <f t="shared" si="11"/>
        <v>-3.1228654947928126E-2</v>
      </c>
      <c r="U29" s="282">
        <f t="shared" si="8"/>
        <v>-2.0863891215301243E+18</v>
      </c>
    </row>
    <row r="30" spans="1:21" ht="17" thickBot="1" x14ac:dyDescent="0.25">
      <c r="A30" s="145">
        <v>10</v>
      </c>
      <c r="B30" s="94">
        <f t="shared" si="9"/>
        <v>1000000000</v>
      </c>
      <c r="C30" s="111">
        <f t="shared" si="2"/>
        <v>10000000000</v>
      </c>
      <c r="D30" s="10">
        <f>SUM($C$21:C30)</f>
        <v>11111111110</v>
      </c>
      <c r="E30" s="10">
        <f t="shared" si="3"/>
        <v>13324095768.475294</v>
      </c>
      <c r="F30" s="10">
        <f t="shared" si="4"/>
        <v>-0.21247550691194586</v>
      </c>
      <c r="G30" s="283">
        <f t="shared" si="5"/>
        <v>-3.7721101414745162E+19</v>
      </c>
      <c r="O30" s="100">
        <v>10</v>
      </c>
      <c r="P30" s="94">
        <f t="shared" si="10"/>
        <v>5999999995</v>
      </c>
      <c r="Q30" s="111">
        <f t="shared" si="6"/>
        <v>59999999995</v>
      </c>
      <c r="R30" s="10">
        <f>SUM($Q$21:Q30)</f>
        <v>66666666610</v>
      </c>
      <c r="S30" s="278">
        <f t="shared" si="7"/>
        <v>79944574550.893326</v>
      </c>
      <c r="T30" s="10">
        <f t="shared" si="11"/>
        <v>-3.5412584511883748E-2</v>
      </c>
      <c r="U30" s="283">
        <f t="shared" si="8"/>
        <v>-2.2632660831872598E+20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10</v>
      </c>
      <c r="D33" s="57">
        <f>SUM($C$33:C33)</f>
        <v>10</v>
      </c>
      <c r="E33" s="9">
        <f t="shared" ref="E33:E42" si="13">D33/R7</f>
        <v>1124.8431732933502</v>
      </c>
      <c r="F33" s="8">
        <f t="shared" ref="F33:F42" si="14">U7/E33</f>
        <v>-2.3531806013175069E-4</v>
      </c>
      <c r="G33" s="284">
        <f>E33*U7</f>
        <v>-297.74139128993653</v>
      </c>
      <c r="O33" s="101">
        <v>1</v>
      </c>
      <c r="P33" s="109">
        <v>1</v>
      </c>
      <c r="Q33" s="110">
        <f>P33*10+45</f>
        <v>55</v>
      </c>
      <c r="R33" s="57">
        <f>SUM($Q$21)</f>
        <v>55</v>
      </c>
      <c r="S33" s="276">
        <f>R33/R7</f>
        <v>6186.6374531134261</v>
      </c>
      <c r="T33" s="8">
        <f>U7/S33</f>
        <v>-4.2785101842136488E-5</v>
      </c>
      <c r="U33" s="284">
        <f>S33*U7</f>
        <v>-1637.5776520946508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347.67351386493624</v>
      </c>
      <c r="F34" s="9">
        <f t="shared" si="14"/>
        <v>-1.594250652231733E-2</v>
      </c>
      <c r="G34" s="282">
        <f t="shared" ref="G34:G42" si="16">E34*U8</f>
        <v>-1927.0803241344074</v>
      </c>
      <c r="O34" s="99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77">
        <f>R34/R8</f>
        <v>1912.2043262571494</v>
      </c>
      <c r="T34" s="9">
        <f t="shared" ref="T34:T42" si="18">U8/S34</f>
        <v>-2.8986375495122416E-3</v>
      </c>
      <c r="U34" s="282">
        <f t="shared" ref="U34:U42" si="19">S34*U8</f>
        <v>-10598.941782739241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2591.3021868610185</v>
      </c>
      <c r="F35" s="9">
        <f t="shared" si="14"/>
        <v>-3.2600126348350453E-2</v>
      </c>
      <c r="G35" s="282">
        <f t="shared" si="16"/>
        <v>-218904.86138020572</v>
      </c>
      <c r="O35" s="99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77">
        <f t="shared" ref="S35:S42" si="21">R35/R9</f>
        <v>13180.57089783067</v>
      </c>
      <c r="T35" s="9">
        <f t="shared" si="18"/>
        <v>-6.4091896590252927E-3</v>
      </c>
      <c r="U35" s="282">
        <f t="shared" si="19"/>
        <v>-1113452.1708549561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23839.89579190189</v>
      </c>
      <c r="F36" s="9">
        <f t="shared" si="14"/>
        <v>-4.7557480562114056E-2</v>
      </c>
      <c r="G36" s="282">
        <f t="shared" si="16"/>
        <v>-27028848.528978553</v>
      </c>
      <c r="O36" s="99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77">
        <f t="shared" si="21"/>
        <v>110520.06334674735</v>
      </c>
      <c r="T36" s="9">
        <f t="shared" si="18"/>
        <v>-1.0258457572260937E-2</v>
      </c>
      <c r="U36" s="282">
        <f t="shared" si="19"/>
        <v>-125303821.69820863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236384.10253322369</v>
      </c>
      <c r="F37" s="9">
        <f t="shared" si="14"/>
        <v>-6.0115387235515613E-2</v>
      </c>
      <c r="G37" s="282">
        <f t="shared" si="16"/>
        <v>-3359094179.6090689</v>
      </c>
      <c r="O37" s="99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77">
        <f t="shared" si="21"/>
        <v>996578.05661282549</v>
      </c>
      <c r="T37" s="9">
        <f t="shared" si="18"/>
        <v>-1.4259115746941773E-2</v>
      </c>
      <c r="U37" s="282">
        <f t="shared" si="19"/>
        <v>-14161694943.185764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2429129.8713052445</v>
      </c>
      <c r="F38" s="9">
        <f t="shared" si="14"/>
        <v>-7.0253338065334001E-2</v>
      </c>
      <c r="G38" s="282">
        <f t="shared" si="16"/>
        <v>-414541900028.05969</v>
      </c>
      <c r="O38" s="99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77">
        <f t="shared" si="21"/>
        <v>9310430.4435369466</v>
      </c>
      <c r="T38" s="9">
        <f t="shared" si="18"/>
        <v>-1.832938692666701E-2</v>
      </c>
      <c r="U38" s="282">
        <f t="shared" si="19"/>
        <v>-1588866685036.0852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25464146.066477194</v>
      </c>
      <c r="F39" s="9">
        <f t="shared" si="14"/>
        <v>-7.8160940107389124E-2</v>
      </c>
      <c r="G39" s="282">
        <f t="shared" si="16"/>
        <v>-50681330546388.641</v>
      </c>
      <c r="O39" s="99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77">
        <f t="shared" si="21"/>
        <v>88727387.964845091</v>
      </c>
      <c r="T39" s="9">
        <f t="shared" si="18"/>
        <v>-2.2431648685255053E-2</v>
      </c>
      <c r="U39" s="282">
        <f t="shared" si="19"/>
        <v>-176594261838762.97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270228022.46095073</v>
      </c>
      <c r="F40" s="9">
        <f t="shared" si="14"/>
        <v>-8.4088358811174879E-2</v>
      </c>
      <c r="G40" s="282">
        <f t="shared" si="16"/>
        <v>-6140399708082439</v>
      </c>
      <c r="O40" s="99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77">
        <f t="shared" si="21"/>
        <v>855985757.87194633</v>
      </c>
      <c r="T40" s="9">
        <f t="shared" si="18"/>
        <v>-2.6546038534592031E-2</v>
      </c>
      <c r="U40" s="282">
        <f t="shared" si="19"/>
        <v>-1.94505908376662E+16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2890989031.3944936</v>
      </c>
      <c r="F41" s="9">
        <f t="shared" si="14"/>
        <v>-8.8293320609121317E-2</v>
      </c>
      <c r="G41" s="282">
        <f t="shared" si="16"/>
        <v>-7.3793946715199373E+17</v>
      </c>
      <c r="O41" s="99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77">
        <f t="shared" si="21"/>
        <v>8325109305.8642626</v>
      </c>
      <c r="T41" s="9">
        <f t="shared" si="18"/>
        <v>-3.0660861262994322E-2</v>
      </c>
      <c r="U41" s="282">
        <f t="shared" si="19"/>
        <v>-2.1250259542452306E+18</v>
      </c>
    </row>
    <row r="42" spans="1:21" ht="17" thickBot="1" x14ac:dyDescent="0.25">
      <c r="A42" s="145">
        <v>10</v>
      </c>
      <c r="B42" s="94">
        <f t="shared" si="15"/>
        <v>2357947691</v>
      </c>
      <c r="C42" s="111">
        <f t="shared" si="12"/>
        <v>23579476910</v>
      </c>
      <c r="D42" s="10">
        <f>SUM($C$33:C42)</f>
        <v>25937424600</v>
      </c>
      <c r="E42" s="9">
        <f t="shared" si="13"/>
        <v>31103345645.330963</v>
      </c>
      <c r="F42" s="10">
        <f t="shared" si="14"/>
        <v>-9.1020562058894749E-2</v>
      </c>
      <c r="G42" s="283">
        <f t="shared" si="16"/>
        <v>-8.8054940148457013E+19</v>
      </c>
      <c r="O42" s="100">
        <v>10</v>
      </c>
      <c r="P42" s="94">
        <f t="shared" si="20"/>
        <v>6111111106</v>
      </c>
      <c r="Q42" s="111">
        <f t="shared" si="17"/>
        <v>61111111105</v>
      </c>
      <c r="R42" s="10">
        <f>SUM($Q$33:Q42)</f>
        <v>67901234500</v>
      </c>
      <c r="S42" s="278">
        <f t="shared" si="21"/>
        <v>81425029622.955383</v>
      </c>
      <c r="T42" s="10">
        <f t="shared" si="18"/>
        <v>-3.4768719344155714E-2</v>
      </c>
      <c r="U42" s="283">
        <f t="shared" si="19"/>
        <v>-2.3051784177153212E+20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10</v>
      </c>
      <c r="D45" s="57">
        <f>SUM(C45:C45)</f>
        <v>10</v>
      </c>
      <c r="E45" s="57">
        <f t="shared" ref="E45:E54" si="23">D45/R7</f>
        <v>1124.8431732933502</v>
      </c>
      <c r="F45" s="8">
        <f t="shared" ref="F45:F54" si="24">U7/E45</f>
        <v>-2.3531806013175069E-4</v>
      </c>
      <c r="G45" s="281">
        <f>E45*U7</f>
        <v>-297.74139128993653</v>
      </c>
      <c r="O45" s="101">
        <v>1</v>
      </c>
      <c r="P45" s="109">
        <v>1</v>
      </c>
      <c r="Q45" s="110">
        <f>P45*10+45</f>
        <v>55</v>
      </c>
      <c r="R45" s="57">
        <f>SUM($Q$21)</f>
        <v>55</v>
      </c>
      <c r="S45" s="276">
        <f>R45/R7</f>
        <v>6186.6374531134261</v>
      </c>
      <c r="T45" s="8">
        <f>U7/S45</f>
        <v>-4.2785101842136488E-5</v>
      </c>
      <c r="U45" s="284">
        <f>S45*U7</f>
        <v>-1637.5776520946508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608.42864926363848</v>
      </c>
      <c r="F46" s="9">
        <f t="shared" si="24"/>
        <v>-9.110003727038473E-3</v>
      </c>
      <c r="G46" s="282">
        <f t="shared" ref="G46:G54" si="26">E46*U8</f>
        <v>-3372.390567235213</v>
      </c>
      <c r="O46" s="99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77">
        <f t="shared" ref="S46:S54" si="28">R46/R8</f>
        <v>3476.7351386493624</v>
      </c>
      <c r="T46" s="9">
        <f t="shared" ref="T46:T54" si="29">U8/S46</f>
        <v>-1.594250652231733E-3</v>
      </c>
      <c r="U46" s="282">
        <f t="shared" ref="U46:U54" si="30">S46*U8</f>
        <v>-19270.803241344074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8202.5430125450293</v>
      </c>
      <c r="F47" s="9">
        <f t="shared" si="24"/>
        <v>-1.0298852266818551E-2</v>
      </c>
      <c r="G47" s="282">
        <f t="shared" si="26"/>
        <v>-692924.4108350873</v>
      </c>
      <c r="O47" s="99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77">
        <f t="shared" si="28"/>
        <v>47042.85060282654</v>
      </c>
      <c r="T47" s="9">
        <f t="shared" si="29"/>
        <v>-1.7957410661961525E-3</v>
      </c>
      <c r="U47" s="282">
        <f t="shared" si="30"/>
        <v>-3974028.4797180961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137128.25304891108</v>
      </c>
      <c r="F48" s="9">
        <f t="shared" si="24"/>
        <v>-8.2679196702214672E-3</v>
      </c>
      <c r="G48" s="282">
        <f t="shared" si="26"/>
        <v>-155471266.02631721</v>
      </c>
      <c r="O48" s="99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77">
        <f t="shared" si="28"/>
        <v>786667.70888728718</v>
      </c>
      <c r="T48" s="9">
        <f t="shared" si="29"/>
        <v>-1.4412252694722511E-3</v>
      </c>
      <c r="U48" s="282">
        <f t="shared" si="30"/>
        <v>-891896614.47160172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2472030.2348803519</v>
      </c>
      <c r="F49" s="9">
        <f t="shared" si="24"/>
        <v>-5.7484417704916782E-3</v>
      </c>
      <c r="G49" s="282">
        <f t="shared" si="26"/>
        <v>-35128345285.5597</v>
      </c>
      <c r="O49" s="99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77">
        <f t="shared" si="28"/>
        <v>14181629.755477155</v>
      </c>
      <c r="T49" s="9">
        <f t="shared" si="29"/>
        <v>-1.0020231881047617E-3</v>
      </c>
      <c r="U49" s="282">
        <f t="shared" si="30"/>
        <v>-201525523326.16644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46187157.478334814</v>
      </c>
      <c r="F50" s="9">
        <f t="shared" si="24"/>
        <v>-3.6948470391029841E-3</v>
      </c>
      <c r="G50" s="282">
        <f t="shared" si="26"/>
        <v>-7882045436984.4473</v>
      </c>
      <c r="O50" s="99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77">
        <f t="shared" si="28"/>
        <v>264968410.25892395</v>
      </c>
      <c r="T50" s="9">
        <f t="shared" si="29"/>
        <v>-6.4405595326117219E-4</v>
      </c>
      <c r="U50" s="282">
        <f t="shared" si="30"/>
        <v>-45218046813251.75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880312181.09757841</v>
      </c>
      <c r="F51" s="9">
        <f t="shared" si="24"/>
        <v>-2.2609043000020889E-3</v>
      </c>
      <c r="G51" s="282">
        <f t="shared" si="26"/>
        <v>-1752086738653827.2</v>
      </c>
      <c r="O51" s="99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77">
        <f t="shared" si="28"/>
        <v>5050211964.6327019</v>
      </c>
      <c r="T51" s="9">
        <f t="shared" si="29"/>
        <v>-3.9410258609461865E-4</v>
      </c>
      <c r="U51" s="282">
        <f t="shared" si="30"/>
        <v>-1.0051444931264724E+16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16985380028.723967</v>
      </c>
      <c r="F52" s="9">
        <f t="shared" si="24"/>
        <v>-1.3377993824750312E-3</v>
      </c>
      <c r="G52" s="282">
        <f t="shared" si="26"/>
        <v>-3.8595931547076083E+17</v>
      </c>
      <c r="O52" s="99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77">
        <f t="shared" si="28"/>
        <v>97442443298.793915</v>
      </c>
      <c r="T52" s="9">
        <f t="shared" si="29"/>
        <v>-2.3319438782803904E-4</v>
      </c>
      <c r="U52" s="282">
        <f t="shared" si="30"/>
        <v>-2.2141876513684518E+18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330391326577.97577</v>
      </c>
      <c r="F53" s="9">
        <f t="shared" si="24"/>
        <v>-7.7258390548616378E-4</v>
      </c>
      <c r="G53" s="282">
        <f t="shared" si="26"/>
        <v>-8.4334045144747049E+19</v>
      </c>
      <c r="O53" s="99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77">
        <f t="shared" si="28"/>
        <v>1895402873500.1475</v>
      </c>
      <c r="T53" s="9">
        <f t="shared" si="29"/>
        <v>-1.3467058903155518E-4</v>
      </c>
      <c r="U53" s="282">
        <f t="shared" si="30"/>
        <v>-4.8381110108687794E+20</v>
      </c>
    </row>
    <row r="54" spans="1:21" ht="17" thickBot="1" x14ac:dyDescent="0.25">
      <c r="A54" s="145">
        <v>10</v>
      </c>
      <c r="B54" s="94">
        <f t="shared" si="25"/>
        <v>512000000000</v>
      </c>
      <c r="C54" s="111">
        <f t="shared" si="22"/>
        <v>5120000000000</v>
      </c>
      <c r="D54" s="10">
        <f>SUM($C$45:C54)</f>
        <v>5389473684210</v>
      </c>
      <c r="E54" s="10">
        <f t="shared" si="23"/>
        <v>6462887716554.5156</v>
      </c>
      <c r="F54" s="10">
        <f t="shared" si="24"/>
        <v>-4.3804629241793209E-4</v>
      </c>
      <c r="G54" s="283">
        <f t="shared" si="26"/>
        <v>-1.8296719509106377E+22</v>
      </c>
      <c r="O54" s="100">
        <v>10</v>
      </c>
      <c r="P54" s="94">
        <f t="shared" si="31"/>
        <v>2937263157890</v>
      </c>
      <c r="Q54" s="111">
        <f t="shared" si="27"/>
        <v>29372631578945</v>
      </c>
      <c r="R54" s="10">
        <f>SUM($Q$45:Q54)</f>
        <v>30918559556760</v>
      </c>
      <c r="S54" s="278">
        <f t="shared" si="28"/>
        <v>37076566373889.609</v>
      </c>
      <c r="T54" s="10">
        <f t="shared" si="29"/>
        <v>-7.6356693173826469E-5</v>
      </c>
      <c r="U54" s="283">
        <f t="shared" si="30"/>
        <v>-1.0496539086795091E+23</v>
      </c>
    </row>
  </sheetData>
  <mergeCells count="2">
    <mergeCell ref="A18:F18"/>
    <mergeCell ref="O18:T18"/>
  </mergeCells>
  <conditionalFormatting sqref="F45:F54">
    <cfRule type="cellIs" dxfId="498" priority="63" operator="equal">
      <formula>MAX($F$45:$F$54)</formula>
    </cfRule>
  </conditionalFormatting>
  <conditionalFormatting sqref="F21:F30">
    <cfRule type="cellIs" dxfId="497" priority="61" operator="equal">
      <formula>MAX($F$21:$F$30)</formula>
    </cfRule>
  </conditionalFormatting>
  <conditionalFormatting sqref="F33:F42">
    <cfRule type="cellIs" dxfId="496" priority="42" operator="lessThanOrEqual">
      <formula>0</formula>
    </cfRule>
    <cfRule type="cellIs" dxfId="495" priority="59" operator="equal">
      <formula>MAX($F$33:$F$42)</formula>
    </cfRule>
  </conditionalFormatting>
  <conditionalFormatting sqref="E33:E42">
    <cfRule type="cellIs" dxfId="494" priority="57" stopIfTrue="1" operator="lessThan">
      <formula>0</formula>
    </cfRule>
    <cfRule type="cellIs" dxfId="493" priority="58" operator="equal">
      <formula>MIN($E$33:$E$42)</formula>
    </cfRule>
  </conditionalFormatting>
  <conditionalFormatting sqref="E21:E30">
    <cfRule type="cellIs" dxfId="492" priority="53" stopIfTrue="1" operator="lessThan">
      <formula>0</formula>
    </cfRule>
    <cfRule type="cellIs" dxfId="491" priority="54" operator="equal">
      <formula>MIN($E$21:$E$30)</formula>
    </cfRule>
  </conditionalFormatting>
  <conditionalFormatting sqref="E45:E54">
    <cfRule type="cellIs" dxfId="490" priority="49" stopIfTrue="1" operator="lessThan">
      <formula>0</formula>
    </cfRule>
    <cfRule type="cellIs" dxfId="489" priority="50" operator="equal">
      <formula>MIN($E$45:$E$54)</formula>
    </cfRule>
  </conditionalFormatting>
  <conditionalFormatting sqref="R7:R16">
    <cfRule type="cellIs" dxfId="488" priority="27" operator="lessThanOrEqual">
      <formula>0</formula>
    </cfRule>
    <cfRule type="cellIs" dxfId="487" priority="28" operator="greaterThan">
      <formula>0</formula>
    </cfRule>
  </conditionalFormatting>
  <conditionalFormatting sqref="T21:T30">
    <cfRule type="cellIs" dxfId="486" priority="19" operator="equal">
      <formula>MAX($T$21:$T$30)</formula>
    </cfRule>
  </conditionalFormatting>
  <conditionalFormatting sqref="S33:S42">
    <cfRule type="cellIs" dxfId="485" priority="17" stopIfTrue="1" operator="lessThan">
      <formula>0</formula>
    </cfRule>
    <cfRule type="cellIs" dxfId="484" priority="18" operator="equal">
      <formula>MIN($E$21:$E$30)</formula>
    </cfRule>
  </conditionalFormatting>
  <conditionalFormatting sqref="T33:T42">
    <cfRule type="cellIs" dxfId="483" priority="16" operator="equal">
      <formula>MAX($T$21:$T$30)</formula>
    </cfRule>
  </conditionalFormatting>
  <conditionalFormatting sqref="S45:S54">
    <cfRule type="cellIs" dxfId="482" priority="14" stopIfTrue="1" operator="lessThan">
      <formula>0</formula>
    </cfRule>
    <cfRule type="cellIs" dxfId="481" priority="15" operator="equal">
      <formula>MIN($E$21:$E$30)</formula>
    </cfRule>
  </conditionalFormatting>
  <conditionalFormatting sqref="T45:T54">
    <cfRule type="cellIs" dxfId="480" priority="13" operator="equal">
      <formula>MAX($T$21:$T$30)</formula>
    </cfRule>
  </conditionalFormatting>
  <conditionalFormatting sqref="S21:S30">
    <cfRule type="cellIs" dxfId="479" priority="11" stopIfTrue="1" operator="lessThan">
      <formula>0</formula>
    </cfRule>
    <cfRule type="cellIs" dxfId="478" priority="12" operator="equal">
      <formula>MIN($E$21:$E$30)</formula>
    </cfRule>
  </conditionalFormatting>
  <conditionalFormatting sqref="U7:U16">
    <cfRule type="cellIs" dxfId="477" priority="7" operator="lessThanOrEqual">
      <formula>0</formula>
    </cfRule>
    <cfRule type="cellIs" dxfId="476" priority="8" operator="greaterThan">
      <formula>0</formula>
    </cfRule>
  </conditionalFormatting>
  <conditionalFormatting sqref="S7:T16">
    <cfRule type="cellIs" dxfId="475" priority="1" operator="lessThanOrEqual">
      <formula>0</formula>
    </cfRule>
    <cfRule type="cellIs" dxfId="47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49" t="s">
        <v>125</v>
      </c>
      <c r="C2" s="155">
        <f>Analysis!B42</f>
        <v>0.30007808441147005</v>
      </c>
      <c r="D2" s="149" t="s">
        <v>126</v>
      </c>
      <c r="E2" s="155">
        <f>Analysis!I42</f>
        <v>0.6999219155885299</v>
      </c>
      <c r="F2" s="149" t="s">
        <v>47</v>
      </c>
      <c r="G2" s="155">
        <f>Analysis!S42</f>
        <v>6.3320116842657539</v>
      </c>
      <c r="H2" t="s">
        <v>155</v>
      </c>
      <c r="I2" s="169">
        <f>Analysis!T42</f>
        <v>-6.7026781510792688</v>
      </c>
      <c r="J2" t="s">
        <v>48</v>
      </c>
      <c r="K2" s="169">
        <f>C2*G2+E2*I2</f>
        <v>-2.7912533943912736</v>
      </c>
      <c r="L2" t="s">
        <v>47</v>
      </c>
      <c r="M2" s="176">
        <v>3</v>
      </c>
      <c r="N2" t="s">
        <v>155</v>
      </c>
      <c r="O2" s="176">
        <v>4</v>
      </c>
    </row>
    <row r="4" spans="1:23" x14ac:dyDescent="0.2">
      <c r="A4" t="s">
        <v>123</v>
      </c>
      <c r="B4">
        <f>$C$2</f>
        <v>0.30007808441147005</v>
      </c>
      <c r="C4" t="s">
        <v>124</v>
      </c>
      <c r="D4">
        <f>$E$2</f>
        <v>0.6999219155885299</v>
      </c>
      <c r="E4" t="s">
        <v>47</v>
      </c>
      <c r="F4">
        <f>G2</f>
        <v>6.3320116842657539</v>
      </c>
      <c r="G4" t="s">
        <v>155</v>
      </c>
      <c r="H4">
        <f>I2</f>
        <v>-6.7026781510792688</v>
      </c>
      <c r="I4" t="s">
        <v>48</v>
      </c>
      <c r="J4">
        <f>K2</f>
        <v>-2.7912533943912736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263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0.30007808441147005</v>
      </c>
      <c r="C7" s="95">
        <v>1</v>
      </c>
      <c r="D7" s="22">
        <f>C7*D4</f>
        <v>0.6999219155885299</v>
      </c>
      <c r="E7" s="2"/>
      <c r="F7" s="2"/>
      <c r="G7" s="2"/>
      <c r="H7" s="2"/>
      <c r="I7" s="2"/>
      <c r="J7" s="2"/>
      <c r="K7" s="2"/>
      <c r="L7" s="2"/>
      <c r="M7" s="256"/>
      <c r="N7" s="96">
        <f>B7+D7</f>
        <v>1</v>
      </c>
      <c r="R7" s="296">
        <f>B7-D7</f>
        <v>-0.39984383117705985</v>
      </c>
      <c r="S7" s="297">
        <f>SUM(C7)*B4*F4*POWER(O2,A7-1)</f>
        <v>1.9000979366855135</v>
      </c>
      <c r="T7" s="276">
        <f>SUM(C7)*D4*H4*POWER(O2,A7-1)</f>
        <v>-4.6913513310767874</v>
      </c>
      <c r="U7" s="294">
        <f>S7+T7</f>
        <v>-2.7912533943912736</v>
      </c>
      <c r="V7" s="109">
        <f>(U7+W7*D7)/B7</f>
        <v>-6.9692909527344522</v>
      </c>
      <c r="W7" s="57">
        <f>COUNT(D7:M7)</f>
        <v>1</v>
      </c>
    </row>
    <row r="8" spans="1:23" x14ac:dyDescent="0.2">
      <c r="A8" s="99">
        <v>2</v>
      </c>
      <c r="B8" s="97">
        <f>C8*B4</f>
        <v>0.37986069186685922</v>
      </c>
      <c r="C8" s="97">
        <f>1/(1-B4*D4)</f>
        <v>1.2658728231082363</v>
      </c>
      <c r="D8" s="144">
        <f>C8*D4</f>
        <v>0.88601213124137701</v>
      </c>
      <c r="E8" s="1">
        <f>D8*D4</f>
        <v>0.62013930813314055</v>
      </c>
      <c r="F8" s="1"/>
      <c r="G8" s="1"/>
      <c r="H8" s="1"/>
      <c r="I8" s="1"/>
      <c r="J8" s="1"/>
      <c r="K8" s="1"/>
      <c r="L8" s="1"/>
      <c r="M8" s="257"/>
      <c r="N8" s="97">
        <f>B8+E8</f>
        <v>0.99999999999999978</v>
      </c>
      <c r="R8" s="298">
        <f>B8-E8</f>
        <v>-0.24027861626628133</v>
      </c>
      <c r="S8" s="299">
        <f>SUM(C8:D8)*B4*F4*POWER(O2,A8-1)</f>
        <v>16.355168646977205</v>
      </c>
      <c r="T8" s="277">
        <f>SUM(C8:D8)*D4*H4*POWER(O2,A8-1)</f>
        <v>-40.380993379648686</v>
      </c>
      <c r="U8" s="295">
        <f>S8+T8+U7</f>
        <v>-26.817078127062754</v>
      </c>
      <c r="V8" s="93">
        <f>(U8+W8*E8)/B8</f>
        <v>-67.332051087194657</v>
      </c>
      <c r="W8" s="9">
        <f>COUNT(D8:M8)</f>
        <v>2</v>
      </c>
    </row>
    <row r="9" spans="1:23" x14ac:dyDescent="0.2">
      <c r="A9" s="99">
        <v>3</v>
      </c>
      <c r="B9" s="97">
        <f>C9*B4</f>
        <v>0.40875490494981664</v>
      </c>
      <c r="C9" s="97">
        <f>1/(1-D4*B4/(1-D4*B4))</f>
        <v>1.3621618044899535</v>
      </c>
      <c r="D9" s="144">
        <f>C9*D4*C8</f>
        <v>1.2068918834917437</v>
      </c>
      <c r="E9" s="1">
        <f>D9*(D4)</f>
        <v>0.84473007900179009</v>
      </c>
      <c r="F9" s="1">
        <f>E9*D4</f>
        <v>0.59124509505018308</v>
      </c>
      <c r="G9" s="1"/>
      <c r="H9" s="1"/>
      <c r="I9" s="1"/>
      <c r="J9" s="1"/>
      <c r="K9" s="1"/>
      <c r="L9" s="1"/>
      <c r="M9" s="257"/>
      <c r="N9" s="97">
        <f>B9+F9</f>
        <v>0.99999999999999978</v>
      </c>
      <c r="R9" s="298">
        <f>B9-F9</f>
        <v>-0.18249019010036643</v>
      </c>
      <c r="S9" s="299">
        <f>SUM(C9:E9)*B4*F4*POWER(O2,A9-1)</f>
        <v>103.78437587097319</v>
      </c>
      <c r="T9" s="277">
        <f>SUM(C9:E9)*D4*H4*POWER(O2,A9-1)</f>
        <v>-256.24414430794104</v>
      </c>
      <c r="U9" s="295">
        <f t="shared" ref="U9:U16" si="0">S9+T9+U8</f>
        <v>-179.27684656403062</v>
      </c>
      <c r="V9" s="93">
        <f>(U9+W9*F9)/B9</f>
        <v>-434.2531652327753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0.42033424849421697</v>
      </c>
      <c r="C10" s="97">
        <f>1/(1-D4*B4/(1-D4*B4/(1-D4*B4)))</f>
        <v>1.4007495726274048</v>
      </c>
      <c r="D10" s="144">
        <f>C10*D4*C9</f>
        <v>1.3354843070708657</v>
      </c>
      <c r="E10" s="1">
        <f>D10*D4*C8</f>
        <v>1.1832552971472714</v>
      </c>
      <c r="F10" s="1">
        <f>E10*D4</f>
        <v>0.82818631420959332</v>
      </c>
      <c r="G10" s="1">
        <f>F10*D4</f>
        <v>0.5796657515057827</v>
      </c>
      <c r="H10" s="1"/>
      <c r="I10" s="1"/>
      <c r="J10" s="1"/>
      <c r="K10" s="1"/>
      <c r="L10" s="1"/>
      <c r="M10" s="257"/>
      <c r="N10" s="97">
        <f>B10+G10</f>
        <v>0.99999999999999967</v>
      </c>
      <c r="R10" s="298">
        <f>B10-G10</f>
        <v>-0.15933150301156573</v>
      </c>
      <c r="S10" s="299">
        <f>SUM(C10:F10)*B4*F4*POWER(O2,A10-1)</f>
        <v>577.34709789479962</v>
      </c>
      <c r="T10" s="277">
        <f>SUM(C10:F10)*D4*H4*POWER(O2,A10-1)</f>
        <v>-1425.4728790068575</v>
      </c>
      <c r="U10" s="295">
        <f t="shared" si="0"/>
        <v>-1027.4026276760885</v>
      </c>
      <c r="V10" s="93">
        <f>(U10+W10*G10)/B10</f>
        <v>-2438.7352882670675</v>
      </c>
      <c r="W10" s="9">
        <f t="shared" si="1"/>
        <v>4</v>
      </c>
    </row>
    <row r="11" spans="1:23" x14ac:dyDescent="0.2">
      <c r="A11" s="99">
        <v>5</v>
      </c>
      <c r="B11" s="97">
        <f>C11*B4</f>
        <v>0.42516091578940463</v>
      </c>
      <c r="C11" s="97">
        <f>1/(1-D4*B4/(1-D4*B4/(1-D4*B4/(1-D4*B4))))</f>
        <v>1.416834277062432</v>
      </c>
      <c r="D11" s="144">
        <f>C11*D4*C10</f>
        <v>1.3890860369891751</v>
      </c>
      <c r="E11" s="1">
        <f>D11*D4*C9</f>
        <v>1.3243642117203451</v>
      </c>
      <c r="F11" s="1">
        <f>E11*D4*C8</f>
        <v>1.1734027577661492</v>
      </c>
      <c r="G11" s="1">
        <f>F11*D4</f>
        <v>0.82129030597254693</v>
      </c>
      <c r="H11" s="1">
        <f>G11*D4</f>
        <v>0.57483908421059493</v>
      </c>
      <c r="I11" s="1"/>
      <c r="J11" s="1"/>
      <c r="K11" s="1"/>
      <c r="L11" s="1"/>
      <c r="M11" s="257"/>
      <c r="N11" s="97">
        <f>B11+H11</f>
        <v>0.99999999999999956</v>
      </c>
      <c r="R11" s="298">
        <f>B11-H11</f>
        <v>-0.14967816842119031</v>
      </c>
      <c r="S11" s="299">
        <f>SUM(C11:G11)*B4*F4*POWER(O2,A11-1)</f>
        <v>2979.3426636989934</v>
      </c>
      <c r="T11" s="277">
        <f>SUM(C11:G11)*D4*H4*POWER(O2,A11-1)</f>
        <v>-7356.0119724457663</v>
      </c>
      <c r="U11" s="295">
        <f t="shared" si="0"/>
        <v>-5404.0719364228617</v>
      </c>
      <c r="V11" s="93">
        <f>(U11+W11*H11)/B11</f>
        <v>-12703.890551588682</v>
      </c>
      <c r="W11" s="9">
        <f t="shared" si="1"/>
        <v>5</v>
      </c>
    </row>
    <row r="12" spans="1:23" x14ac:dyDescent="0.2">
      <c r="A12" s="99">
        <v>6</v>
      </c>
      <c r="B12" s="97">
        <f>C12*B4</f>
        <v>0.42720572633527099</v>
      </c>
      <c r="C12" s="97">
        <f>1/(1-D4*B4/(1-D4*B4/(1-D4*B4/(1-D4*B4/(1-D4*B4)))))</f>
        <v>1.4236485385899833</v>
      </c>
      <c r="D12" s="144">
        <f>C12*D4*C11</f>
        <v>1.4117943315349619</v>
      </c>
      <c r="E12" s="1">
        <f>D12*D4*C10</f>
        <v>1.3841447971612468</v>
      </c>
      <c r="F12" s="1">
        <f>E12*D4*C9</f>
        <v>1.3196531995761158</v>
      </c>
      <c r="G12" s="1">
        <f>F12*D4*C8</f>
        <v>1.1692287438559366</v>
      </c>
      <c r="H12" s="1">
        <f>G12*D4</f>
        <v>0.81836882216081763</v>
      </c>
      <c r="I12" s="1">
        <f>H12*D4</f>
        <v>0.57279427366472846</v>
      </c>
      <c r="J12" s="1"/>
      <c r="K12" s="1"/>
      <c r="L12" s="1"/>
      <c r="M12" s="257"/>
      <c r="N12" s="97">
        <f>B12+I12</f>
        <v>0.99999999999999944</v>
      </c>
      <c r="R12" s="298">
        <f>B12-I12</f>
        <v>-0.14558854732945747</v>
      </c>
      <c r="S12" s="299">
        <f>SUM(C12:H12)*B4*F4*POWER(O2,A12-1)</f>
        <v>14644.971700304619</v>
      </c>
      <c r="T12" s="277">
        <f>SUM(C12:H12)*D4*H4*POWER(O2,A12-1)</f>
        <v>-36158.5085449084</v>
      </c>
      <c r="U12" s="295">
        <f t="shared" si="0"/>
        <v>-26917.608781026644</v>
      </c>
      <c r="V12" s="93">
        <f>(U12+W12*I12)/B12</f>
        <v>-63000.494507094729</v>
      </c>
      <c r="W12" s="9">
        <f t="shared" si="1"/>
        <v>6</v>
      </c>
    </row>
    <row r="13" spans="1:23" x14ac:dyDescent="0.2">
      <c r="A13" s="99">
        <v>7</v>
      </c>
      <c r="B13" s="97">
        <f>C13*B4</f>
        <v>0.42807795090102241</v>
      </c>
      <c r="C13" s="97">
        <f>1/(1-D4*B4/(1-D4*B4/(1-D4*B4/(1-D4*B4/(1-D4*B4/(1-D4*B4))))))</f>
        <v>1.4265551972600494</v>
      </c>
      <c r="D13" s="144">
        <f>C13*D4*C12</f>
        <v>1.4214806725943794</v>
      </c>
      <c r="E13" s="1">
        <f>D13*D4*C11</f>
        <v>1.4096445165763118</v>
      </c>
      <c r="F13" s="1">
        <f>E13*D4*C10</f>
        <v>1.3820370856317357</v>
      </c>
      <c r="G13" s="1">
        <f>F13*D4*C9</f>
        <v>1.3176436928616397</v>
      </c>
      <c r="H13" s="1">
        <f>G13*D4*C8</f>
        <v>1.1674482965290998</v>
      </c>
      <c r="I13" s="1">
        <f>H13*D4</f>
        <v>0.81712264805721357</v>
      </c>
      <c r="J13" s="1">
        <f>I13*D4</f>
        <v>0.57192204909897704</v>
      </c>
      <c r="K13" s="1"/>
      <c r="L13" s="1"/>
      <c r="M13" s="257"/>
      <c r="N13" s="97">
        <f>B13+J13</f>
        <v>0.99999999999999944</v>
      </c>
      <c r="R13" s="298">
        <f>B13-J13</f>
        <v>-0.14384409819795463</v>
      </c>
      <c r="S13" s="299">
        <f>SUM(C13:I13)*B4*F4*POWER(O2,A13-1)</f>
        <v>69593.279493172042</v>
      </c>
      <c r="T13" s="277">
        <f>SUM(C13:I13)*D4*H4*POWER(O2,A13-1)</f>
        <v>-171826.15594741766</v>
      </c>
      <c r="U13" s="295">
        <f t="shared" si="0"/>
        <v>-129150.48523527227</v>
      </c>
      <c r="V13" s="93">
        <f>(U13+W13*J13)/B13</f>
        <v>-301689.17018290679</v>
      </c>
      <c r="W13" s="9">
        <f t="shared" si="1"/>
        <v>7</v>
      </c>
    </row>
    <row r="14" spans="1:23" x14ac:dyDescent="0.2">
      <c r="A14" s="99">
        <v>8</v>
      </c>
      <c r="B14" s="97">
        <f>C14*B4</f>
        <v>0.42845108740317073</v>
      </c>
      <c r="C14" s="97">
        <f>1/(1-D4*B4/(1-D4*B4/(1-D4*B4/(1-D4*B4/(1-D4*B4/(1-D4*B4/(1-D4*B4)))))))</f>
        <v>1.4277986619498488</v>
      </c>
      <c r="D14" s="144">
        <f>C14*D4*C13</f>
        <v>1.4256244763387882</v>
      </c>
      <c r="E14" s="1">
        <f>D14*D4*C12</f>
        <v>1.4205532624221735</v>
      </c>
      <c r="F14" s="1">
        <f>E14*D4*C11</f>
        <v>1.4087248286135616</v>
      </c>
      <c r="G14" s="1">
        <f>F14*D4*C10</f>
        <v>1.3811354094596344</v>
      </c>
      <c r="H14" s="1">
        <f>G14*D4*C9</f>
        <v>1.3167840285780072</v>
      </c>
      <c r="I14" s="1">
        <f>H14*D4*C8</f>
        <v>1.1666866235450064</v>
      </c>
      <c r="J14" s="1">
        <f>I14*D4</f>
        <v>0.81658953644313492</v>
      </c>
      <c r="K14" s="1">
        <f>J14*D4</f>
        <v>0.57154891259682861</v>
      </c>
      <c r="L14" s="1"/>
      <c r="M14" s="257"/>
      <c r="N14" s="97">
        <f>B14+K14</f>
        <v>0.99999999999999933</v>
      </c>
      <c r="R14" s="298">
        <f>B14-K14</f>
        <v>-0.14309782519365788</v>
      </c>
      <c r="S14" s="299">
        <f>SUM(C14:J14)*B4*F4*POWER(O2,A14-1)</f>
        <v>322640.59253013832</v>
      </c>
      <c r="T14" s="277">
        <f>SUM(C14:J14)*D4*H4*POWER(O2,A14-1)</f>
        <v>-796601.24038974103</v>
      </c>
      <c r="U14" s="295">
        <f t="shared" si="0"/>
        <v>-603111.13309487491</v>
      </c>
      <c r="V14" s="93">
        <f>(U14+W14*K14)/B14</f>
        <v>-1407643.9025023486</v>
      </c>
      <c r="W14" s="9">
        <f t="shared" si="1"/>
        <v>8</v>
      </c>
    </row>
    <row r="15" spans="1:23" x14ac:dyDescent="0.2">
      <c r="A15" s="99">
        <v>9</v>
      </c>
      <c r="B15" s="97">
        <f>C15*B4</f>
        <v>0.42861091343754459</v>
      </c>
      <c r="C15" s="97">
        <f>1/(1-D4*B4/(1-D4*B4/(1-D4*B4/(1-D4*B4/(1-D4*B4/(1-D4*B4/(1-D4*B4/(1-D4*B4))))))))</f>
        <v>1.4283312767680463</v>
      </c>
      <c r="D15" s="144">
        <f>C15*D4*C14</f>
        <v>1.4273993970873069</v>
      </c>
      <c r="E15" s="1">
        <f>D15*D4*C13</f>
        <v>1.4252258194582694</v>
      </c>
      <c r="F15" s="1">
        <f>E15*D4*C12</f>
        <v>1.4201560236390247</v>
      </c>
      <c r="G15" s="1">
        <f>F15*D4*C11</f>
        <v>1.4083308974942486</v>
      </c>
      <c r="H15" s="1">
        <f>G15*D4*C10</f>
        <v>1.3807491933536069</v>
      </c>
      <c r="I15" s="1">
        <f>H15*D4*C9</f>
        <v>1.3164158074778072</v>
      </c>
      <c r="J15" s="1">
        <f>I15*D4*C8</f>
        <v>1.1663603751832501</v>
      </c>
      <c r="K15" s="1">
        <f>J15*D4</f>
        <v>0.81636118806481683</v>
      </c>
      <c r="L15" s="1">
        <f>K15*D4</f>
        <v>0.57138908656245468</v>
      </c>
      <c r="M15" s="257"/>
      <c r="N15" s="97">
        <f>B15+L15</f>
        <v>0.99999999999999933</v>
      </c>
      <c r="R15" s="298">
        <f>B15-L15</f>
        <v>-0.14277817312491009</v>
      </c>
      <c r="S15" s="299">
        <f>SUM(C15:K15)*B4*F4*POWER(O2,A15-1)</f>
        <v>1468064.1743816384</v>
      </c>
      <c r="T15" s="277">
        <f>SUM(C15:K15)*D4*H4*POWER(O2,A15-1)</f>
        <v>-3624657.8061156808</v>
      </c>
      <c r="U15" s="295">
        <f t="shared" si="0"/>
        <v>-2759704.7648289176</v>
      </c>
      <c r="V15" s="93">
        <f>(U15+W15*L15)/B15</f>
        <v>-6438705.9120678939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0.42867940840834518</v>
      </c>
      <c r="C16" s="145">
        <f>1/(1-D4*B4/(1-D4*B4/(1-D4*B4/(1-D4*B4/(1-D4*B4/(1-D4*B4/(1-D4*B4/(1-D4*B4/(1-D4*B4)))))))))</f>
        <v>1.4285595339262953</v>
      </c>
      <c r="D16" s="153">
        <f>C16*D4*C15</f>
        <v>1.4281600562960479</v>
      </c>
      <c r="E16" s="111">
        <f>D16*D4*C14</f>
        <v>1.4272282883239027</v>
      </c>
      <c r="F16" s="111">
        <f>E16*D4*C13</f>
        <v>1.4250549712513576</v>
      </c>
      <c r="G16" s="111">
        <f>F16*D4*C12</f>
        <v>1.419985783171261</v>
      </c>
      <c r="H16" s="111">
        <f>G16*D4*C11</f>
        <v>1.4081620745573566</v>
      </c>
      <c r="I16" s="111">
        <f>H16*D4*C10</f>
        <v>1.3805836767592128</v>
      </c>
      <c r="J16" s="111">
        <f>I16*D4*C9</f>
        <v>1.3162580028147235</v>
      </c>
      <c r="K16" s="111">
        <f>J16*D4*C8</f>
        <v>1.1662205583373917</v>
      </c>
      <c r="L16" s="111">
        <f>K16*D4</f>
        <v>0.81626332719023209</v>
      </c>
      <c r="M16" s="259">
        <f>L16*D4</f>
        <v>0.57132059159165416</v>
      </c>
      <c r="N16" s="145">
        <f>B16+M16</f>
        <v>0.99999999999999933</v>
      </c>
      <c r="R16" s="300">
        <f>B16-M16</f>
        <v>-0.14264118318330898</v>
      </c>
      <c r="S16" s="301">
        <f>SUM(C16:L16)*B4*F4*POWER(O2,A16-1)</f>
        <v>6583117.2298173569</v>
      </c>
      <c r="T16" s="278">
        <f>SUM(C16:L16)*D4*H4*POWER(O2,A16-1)</f>
        <v>-16253749.442310864</v>
      </c>
      <c r="U16" s="295">
        <f t="shared" si="0"/>
        <v>-12430336.977322426</v>
      </c>
      <c r="V16" s="94">
        <f>(U16+W16*M16)/B16</f>
        <v>-28996800.453442365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4</v>
      </c>
      <c r="D21" s="57">
        <f>SUM($C$21:C21)</f>
        <v>4</v>
      </c>
      <c r="E21" s="57">
        <f t="shared" ref="E21:E30" si="3">D21/R7</f>
        <v>-10.003905745462683</v>
      </c>
      <c r="F21" s="8">
        <f t="shared" ref="F21:F30" si="4">U7/E21</f>
        <v>0.27901636274984493</v>
      </c>
      <c r="G21" s="281">
        <f>E21*U7</f>
        <v>27.923435869193078</v>
      </c>
      <c r="O21" s="101">
        <v>1</v>
      </c>
      <c r="P21" s="109">
        <v>1</v>
      </c>
      <c r="Q21" s="110">
        <f>P21*4+6</f>
        <v>10</v>
      </c>
      <c r="R21" s="57">
        <f>SUM($Q$21)</f>
        <v>10</v>
      </c>
      <c r="S21" s="276">
        <f>R21/R7</f>
        <v>-25.009764363656707</v>
      </c>
      <c r="T21" s="8">
        <f>U7/S21</f>
        <v>0.11160654509993796</v>
      </c>
      <c r="U21" s="281">
        <f>S21*U7</f>
        <v>69.808589672982691</v>
      </c>
    </row>
    <row r="22" spans="1:21" x14ac:dyDescent="0.2">
      <c r="A22" s="97">
        <v>2</v>
      </c>
      <c r="B22" s="93">
        <f>C21</f>
        <v>4</v>
      </c>
      <c r="C22" s="1">
        <f t="shared" si="2"/>
        <v>16</v>
      </c>
      <c r="D22" s="9">
        <f>SUM($C$21:C22)</f>
        <v>20</v>
      </c>
      <c r="E22" s="9">
        <f t="shared" si="3"/>
        <v>-83.236703751596522</v>
      </c>
      <c r="F22" s="9">
        <f t="shared" si="4"/>
        <v>0.32217852123376989</v>
      </c>
      <c r="G22" s="282">
        <f t="shared" ref="G22:G30" si="5">E22*U8</f>
        <v>2232.1651875457414</v>
      </c>
      <c r="O22" s="99">
        <v>2</v>
      </c>
      <c r="P22" s="93">
        <f>Q21</f>
        <v>10</v>
      </c>
      <c r="Q22" s="1">
        <f>P22*3+3</f>
        <v>33</v>
      </c>
      <c r="R22" s="9">
        <f>SUM($Q$21:Q22)</f>
        <v>43</v>
      </c>
      <c r="S22" s="277">
        <f t="shared" ref="S22:S30" si="6">R22/R8</f>
        <v>-178.95891306593251</v>
      </c>
      <c r="T22" s="9">
        <f>U8/S22</f>
        <v>0.14985047499245113</v>
      </c>
      <c r="U22" s="282">
        <f t="shared" ref="U22:U30" si="7">S22*U8</f>
        <v>4799.1551532233434</v>
      </c>
    </row>
    <row r="23" spans="1:21" x14ac:dyDescent="0.2">
      <c r="A23" s="97">
        <v>3</v>
      </c>
      <c r="B23" s="93">
        <f t="shared" ref="B23:B30" si="8">C22</f>
        <v>16</v>
      </c>
      <c r="C23" s="1">
        <f t="shared" si="2"/>
        <v>64</v>
      </c>
      <c r="D23" s="9">
        <f>SUM($C$21:C23)</f>
        <v>84</v>
      </c>
      <c r="E23" s="9">
        <f t="shared" si="3"/>
        <v>-460.29871498189277</v>
      </c>
      <c r="F23" s="9">
        <f t="shared" si="4"/>
        <v>0.38947935488171637</v>
      </c>
      <c r="G23" s="282">
        <f t="shared" si="5"/>
        <v>82520.902099429251</v>
      </c>
      <c r="O23" s="99">
        <v>3</v>
      </c>
      <c r="P23" s="93">
        <f t="shared" ref="P23:P30" si="9">Q22</f>
        <v>33</v>
      </c>
      <c r="Q23" s="1">
        <f t="shared" ref="Q23:Q30" si="10">P23*3+3</f>
        <v>102</v>
      </c>
      <c r="R23" s="9">
        <f>SUM($Q$21:Q23)</f>
        <v>145</v>
      </c>
      <c r="S23" s="277">
        <f t="shared" si="6"/>
        <v>-794.56325800445779</v>
      </c>
      <c r="T23" s="9">
        <f t="shared" ref="T23:T30" si="11">U9/S23</f>
        <v>0.22562941937975292</v>
      </c>
      <c r="U23" s="282">
        <f t="shared" si="7"/>
        <v>142446.79529068145</v>
      </c>
    </row>
    <row r="24" spans="1:21" x14ac:dyDescent="0.2">
      <c r="A24" s="97">
        <v>4</v>
      </c>
      <c r="B24" s="93">
        <f t="shared" si="8"/>
        <v>64</v>
      </c>
      <c r="C24" s="1">
        <f t="shared" si="2"/>
        <v>256</v>
      </c>
      <c r="D24" s="9">
        <f>SUM($C$21:C24)</f>
        <v>340</v>
      </c>
      <c r="E24" s="9">
        <f t="shared" si="3"/>
        <v>-2133.9157264795253</v>
      </c>
      <c r="F24" s="9">
        <f t="shared" si="4"/>
        <v>0.48146354372253897</v>
      </c>
      <c r="G24" s="282">
        <f t="shared" si="5"/>
        <v>2192390.6246243939</v>
      </c>
      <c r="O24" s="99">
        <v>4</v>
      </c>
      <c r="P24" s="93">
        <f t="shared" si="9"/>
        <v>102</v>
      </c>
      <c r="Q24" s="1">
        <f t="shared" si="10"/>
        <v>309</v>
      </c>
      <c r="R24" s="9">
        <f>SUM($Q$21:Q24)</f>
        <v>454</v>
      </c>
      <c r="S24" s="277">
        <f t="shared" si="6"/>
        <v>-2849.4051171226606</v>
      </c>
      <c r="T24" s="9">
        <f t="shared" si="11"/>
        <v>0.36056741159837719</v>
      </c>
      <c r="U24" s="282">
        <f t="shared" si="7"/>
        <v>2927486.3046455141</v>
      </c>
    </row>
    <row r="25" spans="1:21" x14ac:dyDescent="0.2">
      <c r="A25" s="97">
        <v>5</v>
      </c>
      <c r="B25" s="93">
        <f t="shared" si="8"/>
        <v>256</v>
      </c>
      <c r="C25" s="1">
        <f t="shared" si="2"/>
        <v>1024</v>
      </c>
      <c r="D25" s="9">
        <f>SUM($C$21:C25)</f>
        <v>1364</v>
      </c>
      <c r="E25" s="9">
        <f t="shared" si="3"/>
        <v>-9112.8854287002032</v>
      </c>
      <c r="F25" s="9">
        <f t="shared" si="4"/>
        <v>0.59301436177428823</v>
      </c>
      <c r="G25" s="282">
        <f t="shared" si="5"/>
        <v>49246688.405075587</v>
      </c>
      <c r="O25" s="99">
        <v>5</v>
      </c>
      <c r="P25" s="93">
        <f t="shared" si="9"/>
        <v>309</v>
      </c>
      <c r="Q25" s="1">
        <f t="shared" si="10"/>
        <v>930</v>
      </c>
      <c r="R25" s="9">
        <f>SUM($Q$21:Q25)</f>
        <v>1384</v>
      </c>
      <c r="S25" s="277">
        <f t="shared" si="6"/>
        <v>-9246.5054496488865</v>
      </c>
      <c r="T25" s="9">
        <f t="shared" si="11"/>
        <v>0.58444479007234762</v>
      </c>
      <c r="U25" s="282">
        <f t="shared" si="7"/>
        <v>49968780.610428602</v>
      </c>
    </row>
    <row r="26" spans="1:21" x14ac:dyDescent="0.2">
      <c r="A26" s="97">
        <v>6</v>
      </c>
      <c r="B26" s="93">
        <f t="shared" si="8"/>
        <v>1024</v>
      </c>
      <c r="C26" s="1">
        <f t="shared" si="2"/>
        <v>4096</v>
      </c>
      <c r="D26" s="9">
        <f>SUM($C$21:C26)</f>
        <v>5460</v>
      </c>
      <c r="E26" s="9">
        <f t="shared" si="3"/>
        <v>-37502.949923968765</v>
      </c>
      <c r="F26" s="9">
        <f t="shared" si="4"/>
        <v>0.71774643956269557</v>
      </c>
      <c r="G26" s="282">
        <f t="shared" si="5"/>
        <v>1009489734.1878241</v>
      </c>
      <c r="O26" s="99">
        <v>6</v>
      </c>
      <c r="P26" s="93">
        <f t="shared" si="9"/>
        <v>930</v>
      </c>
      <c r="Q26" s="1">
        <f t="shared" si="10"/>
        <v>2793</v>
      </c>
      <c r="R26" s="9">
        <f>SUM($Q$21:Q26)</f>
        <v>4177</v>
      </c>
      <c r="S26" s="277">
        <f t="shared" si="6"/>
        <v>-28690.443559050829</v>
      </c>
      <c r="T26" s="9">
        <f t="shared" si="11"/>
        <v>0.9382081781212156</v>
      </c>
      <c r="U26" s="282">
        <f t="shared" si="7"/>
        <v>772278135.47665596</v>
      </c>
    </row>
    <row r="27" spans="1:21" x14ac:dyDescent="0.2">
      <c r="A27" s="97">
        <v>7</v>
      </c>
      <c r="B27" s="93">
        <f t="shared" si="8"/>
        <v>4096</v>
      </c>
      <c r="C27" s="1">
        <f t="shared" si="2"/>
        <v>16384</v>
      </c>
      <c r="D27" s="9">
        <f>SUM($C$21:C27)</f>
        <v>21844</v>
      </c>
      <c r="E27" s="9">
        <f t="shared" si="3"/>
        <v>-151858.85464649956</v>
      </c>
      <c r="F27" s="9">
        <f t="shared" si="4"/>
        <v>0.85046397548507568</v>
      </c>
      <c r="G27" s="282">
        <f t="shared" si="5"/>
        <v>19612644764.868099</v>
      </c>
      <c r="O27" s="99">
        <v>7</v>
      </c>
      <c r="P27" s="93">
        <f t="shared" si="9"/>
        <v>2793</v>
      </c>
      <c r="Q27" s="1">
        <f t="shared" si="10"/>
        <v>8382</v>
      </c>
      <c r="R27" s="9">
        <f>SUM($Q$21:Q27)</f>
        <v>12559</v>
      </c>
      <c r="S27" s="277">
        <f t="shared" si="6"/>
        <v>-87309.803859429958</v>
      </c>
      <c r="T27" s="9">
        <f t="shared" si="11"/>
        <v>1.4792208838678231</v>
      </c>
      <c r="U27" s="282">
        <f t="shared" si="7"/>
        <v>11276103534.241827</v>
      </c>
    </row>
    <row r="28" spans="1:21" x14ac:dyDescent="0.2">
      <c r="A28" s="97">
        <v>8</v>
      </c>
      <c r="B28" s="93">
        <f t="shared" si="8"/>
        <v>16384</v>
      </c>
      <c r="C28" s="1">
        <f t="shared" si="2"/>
        <v>65536</v>
      </c>
      <c r="D28" s="9">
        <f>SUM($C$21:C28)</f>
        <v>87380</v>
      </c>
      <c r="E28" s="9">
        <f t="shared" si="3"/>
        <v>-610631.22295357357</v>
      </c>
      <c r="F28" s="9">
        <f t="shared" si="4"/>
        <v>0.98768472758021675</v>
      </c>
      <c r="G28" s="282">
        <f t="shared" si="5"/>
        <v>368278488778.63892</v>
      </c>
      <c r="O28" s="99">
        <v>8</v>
      </c>
      <c r="P28" s="93">
        <f t="shared" si="9"/>
        <v>8382</v>
      </c>
      <c r="Q28" s="1">
        <f t="shared" si="10"/>
        <v>25149</v>
      </c>
      <c r="R28" s="9">
        <f>SUM($Q$21:Q28)</f>
        <v>37708</v>
      </c>
      <c r="S28" s="277">
        <f t="shared" si="6"/>
        <v>-263512.04114366393</v>
      </c>
      <c r="T28" s="9">
        <f t="shared" si="11"/>
        <v>2.2887422163986244</v>
      </c>
      <c r="U28" s="282">
        <f t="shared" si="7"/>
        <v>158927045718.29846</v>
      </c>
    </row>
    <row r="29" spans="1:21" x14ac:dyDescent="0.2">
      <c r="A29" s="97">
        <v>9</v>
      </c>
      <c r="B29" s="93">
        <f t="shared" si="8"/>
        <v>65536</v>
      </c>
      <c r="C29" s="1">
        <f t="shared" si="2"/>
        <v>262144</v>
      </c>
      <c r="D29" s="9">
        <f>SUM($C$21:C29)</f>
        <v>349524</v>
      </c>
      <c r="E29" s="9">
        <f t="shared" si="3"/>
        <v>-2448021.2370711416</v>
      </c>
      <c r="F29" s="9">
        <f t="shared" si="4"/>
        <v>1.1273205979743379</v>
      </c>
      <c r="G29" s="282">
        <f t="shared" si="5"/>
        <v>6755815872347.6104</v>
      </c>
      <c r="O29" s="99">
        <v>9</v>
      </c>
      <c r="P29" s="93">
        <f t="shared" si="9"/>
        <v>25149</v>
      </c>
      <c r="Q29" s="1">
        <f t="shared" si="10"/>
        <v>75450</v>
      </c>
      <c r="R29" s="9">
        <f>SUM($Q$21:Q29)</f>
        <v>113158</v>
      </c>
      <c r="S29" s="277">
        <f t="shared" si="6"/>
        <v>-792544.10897247749</v>
      </c>
      <c r="T29" s="9">
        <f t="shared" si="11"/>
        <v>3.4820834999415196</v>
      </c>
      <c r="U29" s="282">
        <f t="shared" si="7"/>
        <v>2187187753868.4351</v>
      </c>
    </row>
    <row r="30" spans="1:21" ht="17" thickBot="1" x14ac:dyDescent="0.25">
      <c r="A30" s="145">
        <v>10</v>
      </c>
      <c r="B30" s="94">
        <f t="shared" si="8"/>
        <v>262144</v>
      </c>
      <c r="C30" s="111">
        <f t="shared" si="2"/>
        <v>1048576</v>
      </c>
      <c r="D30" s="10">
        <f>SUM($C$21:C30)</f>
        <v>1398100</v>
      </c>
      <c r="E30" s="10">
        <f t="shared" si="3"/>
        <v>-9801517.1270929091</v>
      </c>
      <c r="F30" s="10">
        <f t="shared" si="4"/>
        <v>1.2682054029128871</v>
      </c>
      <c r="G30" s="283">
        <f t="shared" si="5"/>
        <v>121836160778762.06</v>
      </c>
      <c r="O30" s="100">
        <v>10</v>
      </c>
      <c r="P30" s="94">
        <f t="shared" si="9"/>
        <v>75450</v>
      </c>
      <c r="Q30" s="111">
        <f t="shared" si="10"/>
        <v>226353</v>
      </c>
      <c r="R30" s="10">
        <f>SUM($Q$21:Q30)</f>
        <v>339511</v>
      </c>
      <c r="S30" s="278">
        <f t="shared" si="6"/>
        <v>-2380175.1529478868</v>
      </c>
      <c r="T30" s="10">
        <f t="shared" si="11"/>
        <v>5.2224463237200194</v>
      </c>
      <c r="U30" s="283">
        <f t="shared" si="7"/>
        <v>29586379216192.18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4</v>
      </c>
      <c r="D33" s="57">
        <f>SUM($C$33:C33)</f>
        <v>4</v>
      </c>
      <c r="E33" s="9">
        <f t="shared" ref="E33:E42" si="13">D33/R7</f>
        <v>-10.003905745462683</v>
      </c>
      <c r="F33" s="8">
        <f t="shared" ref="F33:F42" si="14">U7/E33</f>
        <v>0.27901636274984493</v>
      </c>
      <c r="G33" s="284">
        <f>E33*U7</f>
        <v>27.923435869193078</v>
      </c>
      <c r="O33" s="101">
        <v>1</v>
      </c>
      <c r="P33" s="109">
        <v>1</v>
      </c>
      <c r="Q33" s="110">
        <f>P33*4+6</f>
        <v>10</v>
      </c>
      <c r="R33" s="57">
        <f>SUM($Q$21)</f>
        <v>10</v>
      </c>
      <c r="S33" s="276">
        <f>R33/R7</f>
        <v>-25.009764363656707</v>
      </c>
      <c r="T33" s="8">
        <f>U7/S33</f>
        <v>0.11160654509993796</v>
      </c>
      <c r="U33" s="284">
        <f>S33*U7</f>
        <v>69.808589672982691</v>
      </c>
    </row>
    <row r="34" spans="1:21" x14ac:dyDescent="0.2">
      <c r="A34" s="97">
        <v>2</v>
      </c>
      <c r="B34" s="93">
        <f t="shared" ref="B34:B42" si="15">B33*($O$2+1)</f>
        <v>5</v>
      </c>
      <c r="C34" s="1">
        <f t="shared" si="12"/>
        <v>20</v>
      </c>
      <c r="D34" s="9">
        <f>SUM($C$33:C34)</f>
        <v>24</v>
      </c>
      <c r="E34" s="9">
        <f t="shared" si="13"/>
        <v>-99.884044501915824</v>
      </c>
      <c r="F34" s="9">
        <f t="shared" si="14"/>
        <v>0.26848210102814157</v>
      </c>
      <c r="G34" s="282">
        <f t="shared" ref="G34:G42" si="16">E34*U8</f>
        <v>2678.5982250548896</v>
      </c>
      <c r="O34" s="99">
        <v>2</v>
      </c>
      <c r="P34" s="93">
        <f>Q33+1</f>
        <v>11</v>
      </c>
      <c r="Q34" s="1">
        <f t="shared" ref="Q34:Q42" si="17">P34*4+6</f>
        <v>50</v>
      </c>
      <c r="R34" s="9">
        <f>SUM($Q$33:Q34)</f>
        <v>60</v>
      </c>
      <c r="S34" s="277">
        <f>R34/R8</f>
        <v>-249.71011125478955</v>
      </c>
      <c r="T34" s="9">
        <f t="shared" ref="T34:T42" si="18">U8/S34</f>
        <v>0.10739284041125663</v>
      </c>
      <c r="U34" s="282">
        <f t="shared" ref="U34:U42" si="19">S34*U8</f>
        <v>6696.4955626372239</v>
      </c>
    </row>
    <row r="35" spans="1:21" x14ac:dyDescent="0.2">
      <c r="A35" s="97">
        <v>3</v>
      </c>
      <c r="B35" s="93">
        <f t="shared" si="15"/>
        <v>25</v>
      </c>
      <c r="C35" s="1">
        <f t="shared" si="12"/>
        <v>100</v>
      </c>
      <c r="D35" s="9">
        <f>SUM($C$33:C35)</f>
        <v>124</v>
      </c>
      <c r="E35" s="9">
        <f t="shared" si="13"/>
        <v>-679.4885792589846</v>
      </c>
      <c r="F35" s="9">
        <f t="shared" si="14"/>
        <v>0.2638408533069691</v>
      </c>
      <c r="G35" s="282">
        <f t="shared" si="16"/>
        <v>121816.56976582414</v>
      </c>
      <c r="O35" s="99">
        <v>3</v>
      </c>
      <c r="P35" s="93">
        <f t="shared" ref="P35:P42" si="20">Q34+1</f>
        <v>51</v>
      </c>
      <c r="Q35" s="1">
        <f t="shared" si="17"/>
        <v>210</v>
      </c>
      <c r="R35" s="9">
        <f>SUM($Q$33:Q35)</f>
        <v>270</v>
      </c>
      <c r="S35" s="277">
        <f t="shared" ref="S35:S42" si="21">R35/R9</f>
        <v>-1479.5315838703696</v>
      </c>
      <c r="T35" s="9">
        <f t="shared" si="18"/>
        <v>0.12117135485208953</v>
      </c>
      <c r="U35" s="282">
        <f t="shared" si="19"/>
        <v>265245.75674816547</v>
      </c>
    </row>
    <row r="36" spans="1:21" x14ac:dyDescent="0.2">
      <c r="A36" s="97">
        <v>4</v>
      </c>
      <c r="B36" s="93">
        <f t="shared" si="15"/>
        <v>125</v>
      </c>
      <c r="C36" s="1">
        <f t="shared" si="12"/>
        <v>500</v>
      </c>
      <c r="D36" s="9">
        <f>SUM($C$33:C36)</f>
        <v>624</v>
      </c>
      <c r="E36" s="9">
        <f t="shared" si="13"/>
        <v>-3916.3629803624235</v>
      </c>
      <c r="F36" s="9">
        <f t="shared" si="14"/>
        <v>0.2623359052334347</v>
      </c>
      <c r="G36" s="282">
        <f t="shared" si="16"/>
        <v>4023681.6169577115</v>
      </c>
      <c r="O36" s="99">
        <v>4</v>
      </c>
      <c r="P36" s="93">
        <f t="shared" si="20"/>
        <v>211</v>
      </c>
      <c r="Q36" s="1">
        <f t="shared" si="17"/>
        <v>850</v>
      </c>
      <c r="R36" s="9">
        <f>SUM($Q$33:Q36)</f>
        <v>1120</v>
      </c>
      <c r="S36" s="277">
        <f t="shared" si="21"/>
        <v>-7029.3694519325545</v>
      </c>
      <c r="T36" s="9">
        <f t="shared" si="18"/>
        <v>0.14615857577291361</v>
      </c>
      <c r="U36" s="282">
        <f t="shared" si="19"/>
        <v>7221992.6458215322</v>
      </c>
    </row>
    <row r="37" spans="1:21" x14ac:dyDescent="0.2">
      <c r="A37" s="97">
        <v>5</v>
      </c>
      <c r="B37" s="93">
        <f t="shared" si="15"/>
        <v>625</v>
      </c>
      <c r="C37" s="1">
        <f t="shared" si="12"/>
        <v>2500</v>
      </c>
      <c r="D37" s="9">
        <f>SUM($C$33:C37)</f>
        <v>3124</v>
      </c>
      <c r="E37" s="9">
        <f t="shared" si="13"/>
        <v>-20871.447272184338</v>
      </c>
      <c r="F37" s="9">
        <f t="shared" si="14"/>
        <v>0.25892176359159058</v>
      </c>
      <c r="G37" s="282">
        <f t="shared" si="16"/>
        <v>112790802.47614087</v>
      </c>
      <c r="O37" s="99">
        <v>5</v>
      </c>
      <c r="P37" s="93">
        <f t="shared" si="20"/>
        <v>851</v>
      </c>
      <c r="Q37" s="1">
        <f t="shared" si="17"/>
        <v>3410</v>
      </c>
      <c r="R37" s="9">
        <f>SUM($Q$33:Q37)</f>
        <v>4530</v>
      </c>
      <c r="S37" s="277">
        <f t="shared" si="21"/>
        <v>-30264.934744876773</v>
      </c>
      <c r="T37" s="9">
        <f t="shared" si="18"/>
        <v>0.17855884977044792</v>
      </c>
      <c r="U37" s="282">
        <f t="shared" si="19"/>
        <v>163553884.51245776</v>
      </c>
    </row>
    <row r="38" spans="1:21" x14ac:dyDescent="0.2">
      <c r="A38" s="97">
        <v>6</v>
      </c>
      <c r="B38" s="93">
        <f t="shared" si="15"/>
        <v>3125</v>
      </c>
      <c r="C38" s="1">
        <f t="shared" si="12"/>
        <v>12500</v>
      </c>
      <c r="D38" s="9">
        <f>SUM($C$33:C38)</f>
        <v>15624</v>
      </c>
      <c r="E38" s="9">
        <f t="shared" si="13"/>
        <v>-107316.13362858754</v>
      </c>
      <c r="F38" s="9">
        <f t="shared" si="14"/>
        <v>0.25082536866438282</v>
      </c>
      <c r="G38" s="282">
        <f t="shared" si="16"/>
        <v>2888693700.9066968</v>
      </c>
      <c r="O38" s="99">
        <v>6</v>
      </c>
      <c r="P38" s="93">
        <f t="shared" si="20"/>
        <v>3411</v>
      </c>
      <c r="Q38" s="1">
        <f t="shared" si="17"/>
        <v>13650</v>
      </c>
      <c r="R38" s="9">
        <f>SUM($Q$33:Q38)</f>
        <v>18180</v>
      </c>
      <c r="S38" s="277">
        <f t="shared" si="21"/>
        <v>-124872.45963695094</v>
      </c>
      <c r="T38" s="9">
        <f t="shared" si="18"/>
        <v>0.21556081188186565</v>
      </c>
      <c r="U38" s="282">
        <f t="shared" si="19"/>
        <v>3361268016.0319858</v>
      </c>
    </row>
    <row r="39" spans="1:21" x14ac:dyDescent="0.2">
      <c r="A39" s="97">
        <v>7</v>
      </c>
      <c r="B39" s="93">
        <f t="shared" si="15"/>
        <v>15625</v>
      </c>
      <c r="C39" s="1">
        <f t="shared" si="12"/>
        <v>62500</v>
      </c>
      <c r="D39" s="9">
        <f>SUM($C$33:C39)</f>
        <v>78124</v>
      </c>
      <c r="E39" s="9">
        <f t="shared" si="13"/>
        <v>-543115.78284211364</v>
      </c>
      <c r="F39" s="9">
        <f t="shared" si="14"/>
        <v>0.23779549281265672</v>
      </c>
      <c r="G39" s="282">
        <f t="shared" si="16"/>
        <v>70143666892.993729</v>
      </c>
      <c r="O39" s="99">
        <v>7</v>
      </c>
      <c r="P39" s="93">
        <f t="shared" si="20"/>
        <v>13651</v>
      </c>
      <c r="Q39" s="1">
        <f t="shared" si="17"/>
        <v>54610</v>
      </c>
      <c r="R39" s="9">
        <f>SUM($Q$33:Q39)</f>
        <v>72790</v>
      </c>
      <c r="S39" s="277">
        <f t="shared" si="21"/>
        <v>-506033.96949820098</v>
      </c>
      <c r="T39" s="9">
        <f t="shared" si="18"/>
        <v>0.25522097926220627</v>
      </c>
      <c r="U39" s="282">
        <f t="shared" si="19"/>
        <v>65354532706.223625</v>
      </c>
    </row>
    <row r="40" spans="1:21" x14ac:dyDescent="0.2">
      <c r="A40" s="97">
        <v>8</v>
      </c>
      <c r="B40" s="93">
        <f t="shared" si="15"/>
        <v>78125</v>
      </c>
      <c r="C40" s="1">
        <f t="shared" si="12"/>
        <v>312500</v>
      </c>
      <c r="D40" s="9">
        <f>SUM($C$33:C40)</f>
        <v>390624</v>
      </c>
      <c r="E40" s="9">
        <f t="shared" si="13"/>
        <v>-2729768.9498170828</v>
      </c>
      <c r="F40" s="9">
        <f t="shared" si="14"/>
        <v>0.22093852783228718</v>
      </c>
      <c r="G40" s="282">
        <f t="shared" si="16"/>
        <v>1646354044411.3875</v>
      </c>
      <c r="O40" s="99">
        <v>8</v>
      </c>
      <c r="P40" s="93">
        <f t="shared" si="20"/>
        <v>54611</v>
      </c>
      <c r="Q40" s="1">
        <f t="shared" si="17"/>
        <v>218450</v>
      </c>
      <c r="R40" s="9">
        <f>SUM($Q$33:Q40)</f>
        <v>291240</v>
      </c>
      <c r="S40" s="277">
        <f t="shared" si="21"/>
        <v>-2035251.0571412081</v>
      </c>
      <c r="T40" s="9">
        <f t="shared" si="18"/>
        <v>0.29633254874316489</v>
      </c>
      <c r="U40" s="282">
        <f t="shared" si="19"/>
        <v>1227482571204.9761</v>
      </c>
    </row>
    <row r="41" spans="1:21" x14ac:dyDescent="0.2">
      <c r="A41" s="97">
        <v>9</v>
      </c>
      <c r="B41" s="93">
        <f t="shared" si="15"/>
        <v>390625</v>
      </c>
      <c r="C41" s="1">
        <f t="shared" si="12"/>
        <v>1562500</v>
      </c>
      <c r="D41" s="9">
        <f>SUM($C$33:C41)</f>
        <v>1953124</v>
      </c>
      <c r="E41" s="9">
        <f t="shared" si="13"/>
        <v>-13679429.8263734</v>
      </c>
      <c r="F41" s="9">
        <f t="shared" si="14"/>
        <v>0.20174121289092881</v>
      </c>
      <c r="G41" s="282">
        <f t="shared" si="16"/>
        <v>37751187671985.484</v>
      </c>
      <c r="O41" s="99">
        <v>9</v>
      </c>
      <c r="P41" s="93">
        <f t="shared" si="20"/>
        <v>218451</v>
      </c>
      <c r="Q41" s="1">
        <f t="shared" si="17"/>
        <v>873810</v>
      </c>
      <c r="R41" s="9">
        <f>SUM($Q$33:Q41)</f>
        <v>1165050</v>
      </c>
      <c r="S41" s="277">
        <f t="shared" si="21"/>
        <v>-8159860.6740874257</v>
      </c>
      <c r="T41" s="9">
        <f t="shared" si="18"/>
        <v>0.33820488793303505</v>
      </c>
      <c r="U41" s="282">
        <f t="shared" si="19"/>
        <v>22518806382619.172</v>
      </c>
    </row>
    <row r="42" spans="1:21" ht="17" thickBot="1" x14ac:dyDescent="0.25">
      <c r="A42" s="145">
        <v>10</v>
      </c>
      <c r="B42" s="94">
        <f t="shared" si="15"/>
        <v>1953125</v>
      </c>
      <c r="C42" s="111">
        <f t="shared" si="12"/>
        <v>7812500</v>
      </c>
      <c r="D42" s="10">
        <f>SUM($C$33:C42)</f>
        <v>9765624</v>
      </c>
      <c r="E42" s="9">
        <f t="shared" si="13"/>
        <v>-68462864.52524823</v>
      </c>
      <c r="F42" s="10">
        <f t="shared" si="14"/>
        <v>0.18156320311047278</v>
      </c>
      <c r="G42" s="283">
        <f t="shared" si="16"/>
        <v>851016476481608.75</v>
      </c>
      <c r="O42" s="100">
        <v>10</v>
      </c>
      <c r="P42" s="94">
        <f t="shared" si="20"/>
        <v>873811</v>
      </c>
      <c r="Q42" s="111">
        <f t="shared" si="17"/>
        <v>3495250</v>
      </c>
      <c r="R42" s="10">
        <f>SUM($Q$33:Q42)</f>
        <v>4660300</v>
      </c>
      <c r="S42" s="278">
        <f t="shared" si="21"/>
        <v>-32671490.070374854</v>
      </c>
      <c r="T42" s="10">
        <f t="shared" si="18"/>
        <v>0.38046434216949709</v>
      </c>
      <c r="U42" s="283">
        <f t="shared" si="19"/>
        <v>406117631126003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4</v>
      </c>
      <c r="D45" s="57">
        <f>SUM(C45:C45)</f>
        <v>4</v>
      </c>
      <c r="E45" s="57">
        <f t="shared" ref="E45:E54" si="23">D45/R7</f>
        <v>-10.003905745462683</v>
      </c>
      <c r="F45" s="8">
        <f t="shared" ref="F45:F54" si="24">U7/E45</f>
        <v>0.27901636274984493</v>
      </c>
      <c r="G45" s="281">
        <f>E45*U7</f>
        <v>27.923435869193078</v>
      </c>
      <c r="O45" s="101">
        <v>1</v>
      </c>
      <c r="P45" s="109">
        <v>1</v>
      </c>
      <c r="Q45" s="110">
        <f>P45*4+6</f>
        <v>10</v>
      </c>
      <c r="R45" s="57">
        <f>SUM($Q$21)</f>
        <v>10</v>
      </c>
      <c r="S45" s="276">
        <f>R45/R7</f>
        <v>-25.009764363656707</v>
      </c>
      <c r="T45" s="8">
        <f>U7/S45</f>
        <v>0.11160654509993796</v>
      </c>
      <c r="U45" s="284">
        <f>S45*U7</f>
        <v>69.808589672982691</v>
      </c>
    </row>
    <row r="46" spans="1:21" x14ac:dyDescent="0.2">
      <c r="A46" s="97">
        <v>2</v>
      </c>
      <c r="B46" s="93">
        <f t="shared" ref="B46:B54" si="25">B45*$O$2*2</f>
        <v>8</v>
      </c>
      <c r="C46" s="1">
        <f t="shared" si="22"/>
        <v>32</v>
      </c>
      <c r="D46" s="9">
        <f>SUM($C$45:C46)</f>
        <v>36</v>
      </c>
      <c r="E46" s="9">
        <f t="shared" si="23"/>
        <v>-149.82606675287374</v>
      </c>
      <c r="F46" s="9">
        <f t="shared" si="24"/>
        <v>0.17898806735209438</v>
      </c>
      <c r="G46" s="282">
        <f t="shared" ref="G46:G54" si="26">E46*U8</f>
        <v>4017.8973375823343</v>
      </c>
      <c r="O46" s="99">
        <v>2</v>
      </c>
      <c r="P46" s="93">
        <f>Q45*2</f>
        <v>20</v>
      </c>
      <c r="Q46" s="1">
        <f t="shared" ref="Q46:Q54" si="27">P46*4+6</f>
        <v>86</v>
      </c>
      <c r="R46" s="9">
        <f>SUM($Q$45:Q46)</f>
        <v>96</v>
      </c>
      <c r="S46" s="277">
        <f t="shared" ref="S46:S54" si="28">R46/R8</f>
        <v>-399.5361780076633</v>
      </c>
      <c r="T46" s="9">
        <f t="shared" ref="T46:T54" si="29">U8/S46</f>
        <v>6.7120525257035393E-2</v>
      </c>
      <c r="U46" s="282">
        <f t="shared" ref="U46:U54" si="30">S46*U8</f>
        <v>10714.392900219558</v>
      </c>
    </row>
    <row r="47" spans="1:21" x14ac:dyDescent="0.2">
      <c r="A47" s="97">
        <v>3</v>
      </c>
      <c r="B47" s="93">
        <f t="shared" si="25"/>
        <v>64</v>
      </c>
      <c r="C47" s="1">
        <f t="shared" si="22"/>
        <v>256</v>
      </c>
      <c r="D47" s="9">
        <f>SUM($C$45:C47)</f>
        <v>292</v>
      </c>
      <c r="E47" s="9">
        <f t="shared" si="23"/>
        <v>-1600.0860092227701</v>
      </c>
      <c r="F47" s="9">
        <f t="shared" si="24"/>
        <v>0.11204200619884991</v>
      </c>
      <c r="G47" s="282">
        <f t="shared" si="26"/>
        <v>286858.37396468263</v>
      </c>
      <c r="O47" s="99">
        <v>3</v>
      </c>
      <c r="P47" s="93">
        <f t="shared" ref="P47:P54" si="31">Q46*2</f>
        <v>172</v>
      </c>
      <c r="Q47" s="1">
        <f t="shared" si="27"/>
        <v>694</v>
      </c>
      <c r="R47" s="9">
        <f>SUM($Q$45:Q47)</f>
        <v>790</v>
      </c>
      <c r="S47" s="277">
        <f t="shared" si="28"/>
        <v>-4328.9998194725631</v>
      </c>
      <c r="T47" s="9">
        <f t="shared" si="29"/>
        <v>4.1412994696283761E-2</v>
      </c>
      <c r="U47" s="282">
        <f t="shared" si="30"/>
        <v>776089.43641129893</v>
      </c>
    </row>
    <row r="48" spans="1:21" x14ac:dyDescent="0.2">
      <c r="A48" s="97">
        <v>4</v>
      </c>
      <c r="B48" s="93">
        <f t="shared" si="25"/>
        <v>512</v>
      </c>
      <c r="C48" s="1">
        <f t="shared" si="22"/>
        <v>2048</v>
      </c>
      <c r="D48" s="9">
        <f>SUM($C$45:C48)</f>
        <v>2340</v>
      </c>
      <c r="E48" s="9">
        <f t="shared" si="23"/>
        <v>-14686.361176359087</v>
      </c>
      <c r="F48" s="9">
        <f t="shared" si="24"/>
        <v>6.9956241395582583E-2</v>
      </c>
      <c r="G48" s="282">
        <f t="shared" si="26"/>
        <v>15088806.063591417</v>
      </c>
      <c r="O48" s="99">
        <v>4</v>
      </c>
      <c r="P48" s="93">
        <f t="shared" si="31"/>
        <v>1388</v>
      </c>
      <c r="Q48" s="1">
        <f t="shared" si="27"/>
        <v>5558</v>
      </c>
      <c r="R48" s="9">
        <f>SUM($Q$45:Q48)</f>
        <v>6348</v>
      </c>
      <c r="S48" s="277">
        <f t="shared" si="28"/>
        <v>-39841.461857917726</v>
      </c>
      <c r="T48" s="9">
        <f t="shared" si="29"/>
        <v>2.57872723480881E-2</v>
      </c>
      <c r="U48" s="282">
        <f t="shared" si="30"/>
        <v>40933222.603281327</v>
      </c>
    </row>
    <row r="49" spans="1:21" x14ac:dyDescent="0.2">
      <c r="A49" s="97">
        <v>5</v>
      </c>
      <c r="B49" s="93">
        <f t="shared" si="25"/>
        <v>4096</v>
      </c>
      <c r="C49" s="1">
        <f t="shared" si="22"/>
        <v>16384</v>
      </c>
      <c r="D49" s="9">
        <f>SUM($C$45:C49)</f>
        <v>18724</v>
      </c>
      <c r="E49" s="9">
        <f t="shared" si="23"/>
        <v>-125095.06361215733</v>
      </c>
      <c r="F49" s="9">
        <f t="shared" si="24"/>
        <v>4.3199721718656756E-2</v>
      </c>
      <c r="G49" s="282">
        <f t="shared" si="26"/>
        <v>676022722.65149212</v>
      </c>
      <c r="O49" s="99">
        <v>5</v>
      </c>
      <c r="P49" s="93">
        <f t="shared" si="31"/>
        <v>11116</v>
      </c>
      <c r="Q49" s="1">
        <f t="shared" si="27"/>
        <v>44470</v>
      </c>
      <c r="R49" s="9">
        <f>SUM($Q$45:Q49)</f>
        <v>50818</v>
      </c>
      <c r="S49" s="277">
        <f t="shared" si="28"/>
        <v>-339515.11122850946</v>
      </c>
      <c r="T49" s="9">
        <f t="shared" si="29"/>
        <v>1.5917029191627557E-2</v>
      </c>
      <c r="U49" s="282">
        <f t="shared" si="30"/>
        <v>1834764084.5814743</v>
      </c>
    </row>
    <row r="50" spans="1:21" x14ac:dyDescent="0.2">
      <c r="A50" s="97">
        <v>6</v>
      </c>
      <c r="B50" s="93">
        <f t="shared" si="25"/>
        <v>32768</v>
      </c>
      <c r="C50" s="1">
        <f t="shared" si="22"/>
        <v>131072</v>
      </c>
      <c r="D50" s="9">
        <f>SUM($C$45:C50)</f>
        <v>149796</v>
      </c>
      <c r="E50" s="9">
        <f t="shared" si="23"/>
        <v>-1028899.6129690156</v>
      </c>
      <c r="F50" s="9">
        <f t="shared" si="24"/>
        <v>2.616155010822931E-2</v>
      </c>
      <c r="G50" s="282">
        <f t="shared" si="26"/>
        <v>27695517256.849689</v>
      </c>
      <c r="O50" s="99">
        <v>6</v>
      </c>
      <c r="P50" s="93">
        <f t="shared" si="31"/>
        <v>88940</v>
      </c>
      <c r="Q50" s="1">
        <f t="shared" si="27"/>
        <v>355766</v>
      </c>
      <c r="R50" s="9">
        <f>SUM($Q$45:Q50)</f>
        <v>406584</v>
      </c>
      <c r="S50" s="277">
        <f t="shared" si="28"/>
        <v>-2792692.1963162851</v>
      </c>
      <c r="T50" s="9">
        <f t="shared" si="29"/>
        <v>9.6385877457359787E-3</v>
      </c>
      <c r="U50" s="282">
        <f t="shared" si="30"/>
        <v>75172595986.267822</v>
      </c>
    </row>
    <row r="51" spans="1:21" x14ac:dyDescent="0.2">
      <c r="A51" s="97">
        <v>7</v>
      </c>
      <c r="B51" s="93">
        <f t="shared" si="25"/>
        <v>262144</v>
      </c>
      <c r="C51" s="1">
        <f t="shared" si="22"/>
        <v>1048576</v>
      </c>
      <c r="D51" s="9">
        <f>SUM($C$45:C51)</f>
        <v>1198372</v>
      </c>
      <c r="E51" s="9">
        <f t="shared" si="23"/>
        <v>-8331047.3979323823</v>
      </c>
      <c r="F51" s="9">
        <f t="shared" si="24"/>
        <v>1.5502310701932283E-2</v>
      </c>
      <c r="G51" s="282">
        <f t="shared" si="26"/>
        <v>1075958813961.0195</v>
      </c>
      <c r="O51" s="99">
        <v>7</v>
      </c>
      <c r="P51" s="93">
        <f t="shared" si="31"/>
        <v>711532</v>
      </c>
      <c r="Q51" s="1">
        <f t="shared" si="27"/>
        <v>2846134</v>
      </c>
      <c r="R51" s="9">
        <f>SUM($Q$45:Q51)</f>
        <v>3252718</v>
      </c>
      <c r="S51" s="277">
        <f t="shared" si="28"/>
        <v>-22612801.225419004</v>
      </c>
      <c r="T51" s="9">
        <f t="shared" si="29"/>
        <v>5.7113881622987278E-3</v>
      </c>
      <c r="U51" s="282">
        <f t="shared" si="30"/>
        <v>2920454250791.6235</v>
      </c>
    </row>
    <row r="52" spans="1:21" x14ac:dyDescent="0.2">
      <c r="A52" s="97">
        <v>8</v>
      </c>
      <c r="B52" s="93">
        <f t="shared" si="25"/>
        <v>2097152</v>
      </c>
      <c r="C52" s="1">
        <f t="shared" si="22"/>
        <v>8388608</v>
      </c>
      <c r="D52" s="9">
        <f>SUM($C$45:C52)</f>
        <v>9586980</v>
      </c>
      <c r="E52" s="9">
        <f t="shared" si="23"/>
        <v>-66995986.745610557</v>
      </c>
      <c r="F52" s="9">
        <f t="shared" si="24"/>
        <v>9.0021979284362064E-3</v>
      </c>
      <c r="G52" s="282">
        <f t="shared" si="26"/>
        <v>40406025478954.406</v>
      </c>
      <c r="O52" s="99">
        <v>8</v>
      </c>
      <c r="P52" s="93">
        <f t="shared" si="31"/>
        <v>5692268</v>
      </c>
      <c r="Q52" s="1">
        <f t="shared" si="27"/>
        <v>22769078</v>
      </c>
      <c r="R52" s="9">
        <f>SUM($Q$45:Q52)</f>
        <v>26021796</v>
      </c>
      <c r="S52" s="277">
        <f t="shared" si="28"/>
        <v>-181846201.81881905</v>
      </c>
      <c r="T52" s="9">
        <f t="shared" si="29"/>
        <v>3.316600110767118E-3</v>
      </c>
      <c r="U52" s="282">
        <f t="shared" si="30"/>
        <v>109673468827947.25</v>
      </c>
    </row>
    <row r="53" spans="1:21" x14ac:dyDescent="0.2">
      <c r="A53" s="97">
        <v>9</v>
      </c>
      <c r="B53" s="93">
        <f t="shared" si="25"/>
        <v>16777216</v>
      </c>
      <c r="C53" s="1">
        <f t="shared" si="22"/>
        <v>67108864</v>
      </c>
      <c r="D53" s="9">
        <f>SUM($C$45:C53)</f>
        <v>76695844</v>
      </c>
      <c r="E53" s="9">
        <f t="shared" si="23"/>
        <v>-537167848.00784862</v>
      </c>
      <c r="F53" s="9">
        <f t="shared" si="24"/>
        <v>5.1375092069706214E-3</v>
      </c>
      <c r="G53" s="282">
        <f t="shared" si="26"/>
        <v>1482424669660155.5</v>
      </c>
      <c r="O53" s="99">
        <v>9</v>
      </c>
      <c r="P53" s="93">
        <f t="shared" si="31"/>
        <v>45538156</v>
      </c>
      <c r="Q53" s="1">
        <f t="shared" si="27"/>
        <v>182152630</v>
      </c>
      <c r="R53" s="9">
        <f>SUM($Q$45:Q53)</f>
        <v>208174426</v>
      </c>
      <c r="S53" s="277">
        <f t="shared" si="28"/>
        <v>-1458026961.9914362</v>
      </c>
      <c r="T53" s="9">
        <f t="shared" si="29"/>
        <v>1.8927666200764858E-3</v>
      </c>
      <c r="U53" s="282">
        <f t="shared" si="30"/>
        <v>4023723954256797.5</v>
      </c>
    </row>
    <row r="54" spans="1:21" ht="17" thickBot="1" x14ac:dyDescent="0.25">
      <c r="A54" s="145">
        <v>10</v>
      </c>
      <c r="B54" s="94">
        <f t="shared" si="25"/>
        <v>134217728</v>
      </c>
      <c r="C54" s="111">
        <f t="shared" si="22"/>
        <v>536870912</v>
      </c>
      <c r="D54" s="10">
        <f>SUM($C$45:C54)</f>
        <v>613566756</v>
      </c>
      <c r="E54" s="10">
        <f t="shared" si="23"/>
        <v>-4301469900.2566595</v>
      </c>
      <c r="F54" s="10">
        <f t="shared" si="24"/>
        <v>2.8897882039301808E-3</v>
      </c>
      <c r="G54" s="283">
        <f t="shared" si="26"/>
        <v>5.346872035799976E+16</v>
      </c>
      <c r="O54" s="100">
        <v>10</v>
      </c>
      <c r="P54" s="94">
        <f t="shared" si="31"/>
        <v>364305260</v>
      </c>
      <c r="Q54" s="111">
        <f t="shared" si="27"/>
        <v>1457221046</v>
      </c>
      <c r="R54" s="10">
        <f>SUM($Q$45:Q54)</f>
        <v>1665395472</v>
      </c>
      <c r="S54" s="278">
        <f t="shared" si="28"/>
        <v>-11675418240.605806</v>
      </c>
      <c r="T54" s="10">
        <f t="shared" si="29"/>
        <v>1.0646588174538446E-3</v>
      </c>
      <c r="U54" s="283">
        <f t="shared" si="30"/>
        <v>1.451293830819071E+17</v>
      </c>
    </row>
  </sheetData>
  <mergeCells count="2">
    <mergeCell ref="A18:F18"/>
    <mergeCell ref="O18:T18"/>
  </mergeCells>
  <conditionalFormatting sqref="F45:F54">
    <cfRule type="cellIs" dxfId="473" priority="59" operator="equal">
      <formula>MAX($F$45:$F$54)</formula>
    </cfRule>
  </conditionalFormatting>
  <conditionalFormatting sqref="F21:F30">
    <cfRule type="cellIs" dxfId="472" priority="57" operator="equal">
      <formula>MAX($F$21:$F$30)</formula>
    </cfRule>
  </conditionalFormatting>
  <conditionalFormatting sqref="E33:E42">
    <cfRule type="cellIs" dxfId="471" priority="53" stopIfTrue="1" operator="lessThan">
      <formula>0</formula>
    </cfRule>
    <cfRule type="cellIs" dxfId="470" priority="54" operator="equal">
      <formula>MIN($E$33:$E$42)</formula>
    </cfRule>
  </conditionalFormatting>
  <conditionalFormatting sqref="E21:E30">
    <cfRule type="cellIs" dxfId="469" priority="49" stopIfTrue="1" operator="lessThan">
      <formula>0</formula>
    </cfRule>
    <cfRule type="cellIs" dxfId="468" priority="50" operator="equal">
      <formula>MIN($E$21:$E$30)</formula>
    </cfRule>
  </conditionalFormatting>
  <conditionalFormatting sqref="E45:E54">
    <cfRule type="cellIs" dxfId="467" priority="45" stopIfTrue="1" operator="lessThan">
      <formula>0</formula>
    </cfRule>
    <cfRule type="cellIs" dxfId="466" priority="46" operator="equal">
      <formula>MIN($E$45:$E$54)</formula>
    </cfRule>
  </conditionalFormatting>
  <conditionalFormatting sqref="F33:F42">
    <cfRule type="cellIs" dxfId="465" priority="35" operator="lessThanOrEqual">
      <formula>0</formula>
    </cfRule>
    <cfRule type="cellIs" dxfId="464" priority="36" operator="equal">
      <formula>MAX($F$33:$F$42)</formula>
    </cfRule>
  </conditionalFormatting>
  <conditionalFormatting sqref="R7:R16">
    <cfRule type="cellIs" dxfId="463" priority="29" operator="lessThanOrEqual">
      <formula>0</formula>
    </cfRule>
    <cfRule type="cellIs" dxfId="462" priority="30" operator="greaterThan">
      <formula>0</formula>
    </cfRule>
  </conditionalFormatting>
  <conditionalFormatting sqref="T21:T30">
    <cfRule type="cellIs" dxfId="461" priority="19" operator="equal">
      <formula>MAX($T$21:$T$30)</formula>
    </cfRule>
  </conditionalFormatting>
  <conditionalFormatting sqref="S33:S42">
    <cfRule type="cellIs" dxfId="460" priority="17" stopIfTrue="1" operator="lessThan">
      <formula>0</formula>
    </cfRule>
    <cfRule type="cellIs" dxfId="459" priority="18" operator="equal">
      <formula>MIN($E$21:$E$30)</formula>
    </cfRule>
  </conditionalFormatting>
  <conditionalFormatting sqref="T33:T42">
    <cfRule type="cellIs" dxfId="458" priority="16" operator="equal">
      <formula>MAX($T$21:$T$30)</formula>
    </cfRule>
  </conditionalFormatting>
  <conditionalFormatting sqref="S45:S54">
    <cfRule type="cellIs" dxfId="457" priority="14" stopIfTrue="1" operator="lessThan">
      <formula>0</formula>
    </cfRule>
    <cfRule type="cellIs" dxfId="456" priority="15" operator="equal">
      <formula>MIN($E$21:$E$30)</formula>
    </cfRule>
  </conditionalFormatting>
  <conditionalFormatting sqref="T45:T54">
    <cfRule type="cellIs" dxfId="455" priority="13" operator="equal">
      <formula>MAX($T$21:$T$30)</formula>
    </cfRule>
  </conditionalFormatting>
  <conditionalFormatting sqref="S21:S30">
    <cfRule type="cellIs" dxfId="454" priority="11" stopIfTrue="1" operator="lessThan">
      <formula>0</formula>
    </cfRule>
    <cfRule type="cellIs" dxfId="453" priority="12" operator="equal">
      <formula>MIN($E$21:$E$30)</formula>
    </cfRule>
  </conditionalFormatting>
  <conditionalFormatting sqref="U7:U16">
    <cfRule type="cellIs" dxfId="452" priority="7" operator="lessThanOrEqual">
      <formula>0</formula>
    </cfRule>
    <cfRule type="cellIs" dxfId="451" priority="8" operator="greaterThan">
      <formula>0</formula>
    </cfRule>
  </conditionalFormatting>
  <conditionalFormatting sqref="S7:T16">
    <cfRule type="cellIs" dxfId="450" priority="1" operator="lessThanOrEqual">
      <formula>0</formula>
    </cfRule>
    <cfRule type="cellIs" dxfId="449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49" t="s">
        <v>125</v>
      </c>
      <c r="C2" s="155">
        <f>Analysis!B43</f>
        <v>0.32076649222584069</v>
      </c>
      <c r="D2" s="149" t="s">
        <v>126</v>
      </c>
      <c r="E2" s="155">
        <f>Analysis!J43</f>
        <v>0.67923350777415936</v>
      </c>
      <c r="F2" s="149" t="s">
        <v>47</v>
      </c>
      <c r="G2" s="155">
        <f>Analysis!S43</f>
        <v>8.1135346272648654</v>
      </c>
      <c r="H2" t="s">
        <v>155</v>
      </c>
      <c r="I2" s="169">
        <f>Analysis!T43</f>
        <v>-8.5884887751118164</v>
      </c>
      <c r="J2" t="s">
        <v>48</v>
      </c>
      <c r="K2" s="169">
        <f>C2*G2+E2*I2</f>
        <v>-3.2310393152575481</v>
      </c>
      <c r="L2" t="s">
        <v>47</v>
      </c>
      <c r="M2" s="176">
        <v>3</v>
      </c>
      <c r="N2" t="s">
        <v>155</v>
      </c>
      <c r="O2" s="176">
        <v>5</v>
      </c>
    </row>
    <row r="4" spans="1:23" x14ac:dyDescent="0.2">
      <c r="A4" t="s">
        <v>123</v>
      </c>
      <c r="B4">
        <f>$C$2</f>
        <v>0.32076649222584069</v>
      </c>
      <c r="C4" t="s">
        <v>124</v>
      </c>
      <c r="D4">
        <f>$E$2</f>
        <v>0.67923350777415936</v>
      </c>
      <c r="E4" t="s">
        <v>47</v>
      </c>
      <c r="F4">
        <f>G2</f>
        <v>8.1135346272648654</v>
      </c>
      <c r="G4" t="s">
        <v>155</v>
      </c>
      <c r="H4">
        <f>I2</f>
        <v>-8.5884887751118164</v>
      </c>
      <c r="I4" t="s">
        <v>48</v>
      </c>
      <c r="J4">
        <f>K2</f>
        <v>-3.2310393152575481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263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0.32076649222584069</v>
      </c>
      <c r="C7" s="95">
        <v>1</v>
      </c>
      <c r="D7" s="22">
        <f>C7*D4</f>
        <v>0.67923350777415936</v>
      </c>
      <c r="E7" s="2"/>
      <c r="F7" s="2"/>
      <c r="G7" s="2"/>
      <c r="H7" s="2"/>
      <c r="I7" s="2"/>
      <c r="J7" s="2"/>
      <c r="K7" s="2"/>
      <c r="L7" s="2"/>
      <c r="M7" s="256"/>
      <c r="N7" s="96">
        <f>B7+D7</f>
        <v>1</v>
      </c>
      <c r="R7" s="296">
        <f>B7-D7</f>
        <v>-0.35846701554831867</v>
      </c>
      <c r="S7" s="297">
        <f>SUM(C7)*B4*F4*POWER(O2,A7-1)</f>
        <v>2.6025500419406447</v>
      </c>
      <c r="T7" s="276">
        <f>SUM(C7)*D4*H4*POWER(O2,A7-1)</f>
        <v>-5.8335893571981927</v>
      </c>
      <c r="U7" s="294">
        <f>S7+T7</f>
        <v>-3.2310393152575481</v>
      </c>
      <c r="V7" s="109">
        <f>(U7+W7*D7)/B7</f>
        <v>-7.9553378215289063</v>
      </c>
      <c r="W7" s="57">
        <f>COUNT(D7:M7)</f>
        <v>1</v>
      </c>
    </row>
    <row r="8" spans="1:23" x14ac:dyDescent="0.2">
      <c r="A8" s="99">
        <v>2</v>
      </c>
      <c r="B8" s="97">
        <f>C8*B4</f>
        <v>0.41012195702961274</v>
      </c>
      <c r="C8" s="97">
        <f>1/(1-B4*D4)</f>
        <v>1.2785685754884271</v>
      </c>
      <c r="D8" s="144">
        <f>C8*D4</f>
        <v>0.86844661845881443</v>
      </c>
      <c r="E8" s="1">
        <f>D8*D4</f>
        <v>0.58987804297038759</v>
      </c>
      <c r="F8" s="1"/>
      <c r="G8" s="1"/>
      <c r="H8" s="1"/>
      <c r="I8" s="1"/>
      <c r="J8" s="1"/>
      <c r="K8" s="1"/>
      <c r="L8" s="1"/>
      <c r="M8" s="257"/>
      <c r="N8" s="97">
        <f>B8+E8</f>
        <v>1.0000000000000004</v>
      </c>
      <c r="R8" s="298">
        <f>B8-E8</f>
        <v>-0.17975608594077486</v>
      </c>
      <c r="S8" s="299">
        <f>SUM(C8:D8)*B4*F4*POWER(O2,A8-1)</f>
        <v>27.938572415272972</v>
      </c>
      <c r="T8" s="277">
        <f>SUM(C8:D8)*D4*H4*POWER(O2,A8-1)</f>
        <v>-62.624024925767202</v>
      </c>
      <c r="U8" s="295">
        <f>S8+T8+U7</f>
        <v>-37.916491825751777</v>
      </c>
      <c r="V8" s="93">
        <f>(U8+W8*E8)/B8</f>
        <v>-89.575149806374398</v>
      </c>
      <c r="W8" s="9">
        <f>COUNT(D8:M8)</f>
        <v>2</v>
      </c>
    </row>
    <row r="9" spans="1:23" x14ac:dyDescent="0.2">
      <c r="A9" s="99">
        <v>3</v>
      </c>
      <c r="B9" s="97">
        <f>C9*B4</f>
        <v>0.44462506251790668</v>
      </c>
      <c r="C9" s="97">
        <f>1/(1-D4*B4/(1-D4*B4))</f>
        <v>1.3861331320257149</v>
      </c>
      <c r="D9" s="144">
        <f>C9*D4*C8</f>
        <v>1.2037826312414575</v>
      </c>
      <c r="E9" s="1">
        <f>D9*(D4)</f>
        <v>0.81764949921574248</v>
      </c>
      <c r="F9" s="1">
        <f>E9*D4</f>
        <v>0.55537493748209354</v>
      </c>
      <c r="G9" s="1"/>
      <c r="H9" s="1"/>
      <c r="I9" s="1"/>
      <c r="J9" s="1"/>
      <c r="K9" s="1"/>
      <c r="L9" s="1"/>
      <c r="M9" s="257"/>
      <c r="N9" s="97">
        <f>B9+F9</f>
        <v>1.0000000000000002</v>
      </c>
      <c r="R9" s="298">
        <f>B9-F9</f>
        <v>-0.11074987496418687</v>
      </c>
      <c r="S9" s="299">
        <f>SUM(C9:E9)*B4*F4*POWER(O2,A9-1)</f>
        <v>221.70897791975986</v>
      </c>
      <c r="T9" s="277">
        <f>SUM(C9:E9)*D4*H4*POWER(O2,A9-1)</f>
        <v>-496.95841122946496</v>
      </c>
      <c r="U9" s="295">
        <f t="shared" ref="U9:U16" si="0">S9+T9+U8</f>
        <v>-313.16592513545686</v>
      </c>
      <c r="V9" s="93">
        <f>(U9+W9*F9)/B9</f>
        <v>-700.58983755659369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0.45955364058414222</v>
      </c>
      <c r="C10" s="97">
        <f>1/(1-D4*B4/(1-D4*B4/(1-D4*B4)))</f>
        <v>1.4326734609816609</v>
      </c>
      <c r="D10" s="144">
        <f>C10*D4*C9</f>
        <v>1.3488736244839139</v>
      </c>
      <c r="E10" s="1">
        <f>D10*D4*C8</f>
        <v>1.1714247379113396</v>
      </c>
      <c r="F10" s="1">
        <f>E10*D4</f>
        <v>0.79567093382494447</v>
      </c>
      <c r="G10" s="1">
        <f>F10*D4</f>
        <v>0.54044635941585806</v>
      </c>
      <c r="H10" s="1"/>
      <c r="I10" s="1"/>
      <c r="J10" s="1"/>
      <c r="K10" s="1"/>
      <c r="L10" s="1"/>
      <c r="M10" s="257"/>
      <c r="N10" s="97">
        <f>B10+G10</f>
        <v>1.0000000000000002</v>
      </c>
      <c r="R10" s="298">
        <f>B10-G10</f>
        <v>-8.0892718831715837E-2</v>
      </c>
      <c r="S10" s="299">
        <f>SUM(C10:F10)*B4*F4*POWER(O2,A10-1)</f>
        <v>1544.8225508646046</v>
      </c>
      <c r="T10" s="277">
        <f>SUM(C10:F10)*D4*H4*POWER(O2,A10-1)</f>
        <v>-3462.7039811936306</v>
      </c>
      <c r="U10" s="295">
        <f t="shared" si="0"/>
        <v>-2231.0473554644827</v>
      </c>
      <c r="V10" s="93">
        <f>(U10+W10*G10)/B10</f>
        <v>-4850.1097003467648</v>
      </c>
      <c r="W10" s="9">
        <f t="shared" si="1"/>
        <v>4</v>
      </c>
    </row>
    <row r="11" spans="1:23" x14ac:dyDescent="0.2">
      <c r="A11" s="99">
        <v>5</v>
      </c>
      <c r="B11" s="97">
        <f>C11*B4</f>
        <v>0.46632812694745124</v>
      </c>
      <c r="C11" s="97">
        <f>1/(1-D4*B4/(1-D4*B4/(1-D4*B4/(1-D4*B4))))</f>
        <v>1.4537931431414151</v>
      </c>
      <c r="D11" s="144">
        <f>C11*D4*C10</f>
        <v>1.4147149223489182</v>
      </c>
      <c r="E11" s="1">
        <f>D11*D4*C9</f>
        <v>1.3319655154446188</v>
      </c>
      <c r="F11" s="1">
        <f>E11*D4*C8</f>
        <v>1.1567409477916308</v>
      </c>
      <c r="G11" s="1">
        <f>F11*D4</f>
        <v>0.78569721155451511</v>
      </c>
      <c r="H11" s="1">
        <f>G11*D4</f>
        <v>0.53367187305254904</v>
      </c>
      <c r="I11" s="1"/>
      <c r="J11" s="1"/>
      <c r="K11" s="1"/>
      <c r="L11" s="1"/>
      <c r="M11" s="257"/>
      <c r="N11" s="97">
        <f>B11+H11</f>
        <v>1.0000000000000002</v>
      </c>
      <c r="R11" s="298">
        <f>B11-H11</f>
        <v>-6.7343746105097801E-2</v>
      </c>
      <c r="S11" s="299">
        <f>SUM(C11:G11)*B4*F4*POWER(O2,A11-1)</f>
        <v>9992.0220045664064</v>
      </c>
      <c r="T11" s="277">
        <f>SUM(C11:G11)*D4*H4*POWER(O2,A11-1)</f>
        <v>-22397.015343944779</v>
      </c>
      <c r="U11" s="295">
        <f t="shared" si="0"/>
        <v>-14636.040694842855</v>
      </c>
      <c r="V11" s="93">
        <f>(U11+W11*H11)/B11</f>
        <v>-31379.990804471829</v>
      </c>
      <c r="W11" s="9">
        <f t="shared" si="1"/>
        <v>5</v>
      </c>
    </row>
    <row r="12" spans="1:23" x14ac:dyDescent="0.2">
      <c r="A12" s="99">
        <v>6</v>
      </c>
      <c r="B12" s="97">
        <f>C12*B4</f>
        <v>0.46946866967156831</v>
      </c>
      <c r="C12" s="97">
        <f>1/(1-D4*B4/(1-D4*B4/(1-D4*B4/(1-D4*B4/(1-D4*B4)))))</f>
        <v>1.4635838874997937</v>
      </c>
      <c r="D12" s="144">
        <f>C12*D4*C11</f>
        <v>1.4452378871712086</v>
      </c>
      <c r="E12" s="1">
        <f>D12*D4*C10</f>
        <v>1.406389633195736</v>
      </c>
      <c r="F12" s="1">
        <f>E12*D4*C9</f>
        <v>1.3241271885259118</v>
      </c>
      <c r="G12" s="1">
        <f>F12*D4*C8</f>
        <v>1.1499337792847051</v>
      </c>
      <c r="H12" s="1">
        <f>G12*D4</f>
        <v>0.78107355461154615</v>
      </c>
      <c r="I12" s="1">
        <f>H12*D4</f>
        <v>0.53053133032843192</v>
      </c>
      <c r="J12" s="1"/>
      <c r="K12" s="1"/>
      <c r="L12" s="1"/>
      <c r="M12" s="257"/>
      <c r="N12" s="97">
        <f>B12+I12</f>
        <v>1.0000000000000002</v>
      </c>
      <c r="R12" s="298">
        <f>B12-I12</f>
        <v>-6.106266065686361E-2</v>
      </c>
      <c r="S12" s="299">
        <f>SUM(C12:H12)*B4*F4*POWER(O2,A12-1)</f>
        <v>61569.387869933023</v>
      </c>
      <c r="T12" s="277">
        <f>SUM(C12:H12)*D4*H4*POWER(O2,A12-1)</f>
        <v>-138007.15452888122</v>
      </c>
      <c r="U12" s="295">
        <f t="shared" si="0"/>
        <v>-91073.807353791053</v>
      </c>
      <c r="V12" s="93">
        <f>(U12+W12*I12)/B12</f>
        <v>-193986.58536579326</v>
      </c>
      <c r="W12" s="9">
        <f t="shared" si="1"/>
        <v>6</v>
      </c>
    </row>
    <row r="13" spans="1:23" x14ac:dyDescent="0.2">
      <c r="A13" s="99">
        <v>7</v>
      </c>
      <c r="B13" s="97">
        <f>C13*B4</f>
        <v>0.47093897001122936</v>
      </c>
      <c r="C13" s="97">
        <f>1/(1-D4*B4/(1-D4*B4/(1-D4*B4/(1-D4*B4/(1-D4*B4/(1-D4*B4))))))</f>
        <v>1.4681675967565133</v>
      </c>
      <c r="D13" s="144">
        <f>C13*D4*C12</f>
        <v>1.4595277502579436</v>
      </c>
      <c r="E13" s="1">
        <f>D13*D4*C11</f>
        <v>1.441232593544</v>
      </c>
      <c r="F13" s="1">
        <f>E13*D4*C10</f>
        <v>1.4024920025805874</v>
      </c>
      <c r="G13" s="1">
        <f>F13*D4*C9</f>
        <v>1.3204575378497889</v>
      </c>
      <c r="H13" s="1">
        <f>G13*D4*C8</f>
        <v>1.146746883564101</v>
      </c>
      <c r="I13" s="1">
        <f>H13*D4</f>
        <v>0.77890890825232983</v>
      </c>
      <c r="J13" s="1">
        <f>I13*D4</f>
        <v>0.5290610299887708</v>
      </c>
      <c r="K13" s="1"/>
      <c r="L13" s="1"/>
      <c r="M13" s="257"/>
      <c r="N13" s="97">
        <f>B13+J13</f>
        <v>1.0000000000000002</v>
      </c>
      <c r="R13" s="298">
        <f>B13-J13</f>
        <v>-5.812205997754144E-2</v>
      </c>
      <c r="S13" s="299">
        <f>SUM(C13:I13)*B4*F4*POWER(O2,A13-1)</f>
        <v>366696.58745844522</v>
      </c>
      <c r="T13" s="277">
        <f>SUM(C13:I13)*D4*H4*POWER(O2,A13-1)</f>
        <v>-821946.65825652133</v>
      </c>
      <c r="U13" s="295">
        <f t="shared" si="0"/>
        <v>-546323.87815186719</v>
      </c>
      <c r="V13" s="93">
        <f>(U13+W13*J13)/B13</f>
        <v>-1160065.7611996529</v>
      </c>
      <c r="W13" s="9">
        <f t="shared" si="1"/>
        <v>7</v>
      </c>
    </row>
    <row r="14" spans="1:23" x14ac:dyDescent="0.2">
      <c r="A14" s="99">
        <v>8</v>
      </c>
      <c r="B14" s="97">
        <f>C14*B4</f>
        <v>0.4716304866992026</v>
      </c>
      <c r="C14" s="97">
        <f>1/(1-D4*B4/(1-D4*B4/(1-D4*B4/(1-D4*B4/(1-D4*B4/(1-D4*B4/(1-D4*B4)))))))</f>
        <v>1.4703234225822557</v>
      </c>
      <c r="D14" s="144">
        <f>C14*D4*C13</f>
        <v>1.4662486075731289</v>
      </c>
      <c r="E14" s="1">
        <f>D14*D4*C12</f>
        <v>1.4576200539078934</v>
      </c>
      <c r="F14" s="1">
        <f>E14*D4*C11</f>
        <v>1.4393488101368044</v>
      </c>
      <c r="G14" s="1">
        <f>F14*D4*C10</f>
        <v>1.4006588556097095</v>
      </c>
      <c r="H14" s="1">
        <f>G14*D4*C9</f>
        <v>1.3187316151841135</v>
      </c>
      <c r="I14" s="1">
        <f>H14*D4*C8</f>
        <v>1.1452480118613737</v>
      </c>
      <c r="J14" s="1">
        <f>I14*D4</f>
        <v>0.77789082436798296</v>
      </c>
      <c r="K14" s="1">
        <f>J14*D4</f>
        <v>0.52836951330079762</v>
      </c>
      <c r="L14" s="1"/>
      <c r="M14" s="257"/>
      <c r="N14" s="97">
        <f>B14+K14</f>
        <v>1.0000000000000002</v>
      </c>
      <c r="R14" s="298">
        <f>B14-K14</f>
        <v>-5.6739026601595022E-2</v>
      </c>
      <c r="S14" s="299">
        <f>SUM(C14:J14)*B4*F4*POWER(O2,A14-1)</f>
        <v>2130038.8235599017</v>
      </c>
      <c r="T14" s="277">
        <f>SUM(C14:J14)*D4*H4*POWER(O2,A14-1)</f>
        <v>-4774460.2836810267</v>
      </c>
      <c r="U14" s="295">
        <f t="shared" si="0"/>
        <v>-3190745.3382729921</v>
      </c>
      <c r="V14" s="93">
        <f>(U14+W14*K14)/B14</f>
        <v>-6765341.0907507399</v>
      </c>
      <c r="W14" s="9">
        <f t="shared" si="1"/>
        <v>8</v>
      </c>
    </row>
    <row r="15" spans="1:23" x14ac:dyDescent="0.2">
      <c r="A15" s="99">
        <v>9</v>
      </c>
      <c r="B15" s="97">
        <f>C15*B4</f>
        <v>0.47195642586272935</v>
      </c>
      <c r="C15" s="97">
        <f>1/(1-D4*B4/(1-D4*B4/(1-D4*B4/(1-D4*B4/(1-D4*B4/(1-D4*B4/(1-D4*B4/(1-D4*B4))))))))</f>
        <v>1.4713395485537217</v>
      </c>
      <c r="D15" s="144">
        <f>C15*D4*C14</f>
        <v>1.4694164134259624</v>
      </c>
      <c r="E15" s="1">
        <f>D15*D4*C13</f>
        <v>1.4653441120777531</v>
      </c>
      <c r="F15" s="1">
        <f>E15*D4*C12</f>
        <v>1.4567208811714831</v>
      </c>
      <c r="G15" s="1">
        <f>F15*D4*C11</f>
        <v>1.438460908516084</v>
      </c>
      <c r="H15" s="1">
        <f>G15*D4*C10</f>
        <v>1.3997948209440234</v>
      </c>
      <c r="I15" s="1">
        <f>H15*D4*C9</f>
        <v>1.3179181195740357</v>
      </c>
      <c r="J15" s="1">
        <f>I15*D4*C8</f>
        <v>1.1445415343496708</v>
      </c>
      <c r="K15" s="1">
        <f>J15*D4</f>
        <v>0.77741096116954533</v>
      </c>
      <c r="L15" s="1">
        <f>K15*D4</f>
        <v>0.5280435741372711</v>
      </c>
      <c r="M15" s="257"/>
      <c r="N15" s="97">
        <f>B15+L15</f>
        <v>1.0000000000000004</v>
      </c>
      <c r="R15" s="298">
        <f>B15-L15</f>
        <v>-5.6087148274541754E-2</v>
      </c>
      <c r="S15" s="299">
        <f>SUM(C15:K15)*B4*F4*POWER(O2,A15-1)</f>
        <v>12139419.099945078</v>
      </c>
      <c r="T15" s="277">
        <f>SUM(C15:K15)*D4*H4*POWER(O2,A15-1)</f>
        <v>-27210384.016747806</v>
      </c>
      <c r="U15" s="295">
        <f t="shared" si="0"/>
        <v>-18261710.255075719</v>
      </c>
      <c r="V15" s="93">
        <f>(U15+W15*L15)/B15</f>
        <v>-38693626.152671665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0.47211021014512533</v>
      </c>
      <c r="C16" s="145">
        <f>1/(1-D4*B4/(1-D4*B4/(1-D4*B4/(1-D4*B4/(1-D4*B4/(1-D4*B4/(1-D4*B4/(1-D4*B4/(1-D4*B4)))))))))</f>
        <v>1.471818976069136</v>
      </c>
      <c r="D16" s="153">
        <f>C16*D4*C15</f>
        <v>1.4709110443398323</v>
      </c>
      <c r="E16" s="111">
        <f>D16*D4*C14</f>
        <v>1.468988469294555</v>
      </c>
      <c r="F16" s="111">
        <f>E16*D4*C13</f>
        <v>1.4649173539392659</v>
      </c>
      <c r="G16" s="111">
        <f>F16*D4*C12</f>
        <v>1.4562966344116812</v>
      </c>
      <c r="H16" s="111">
        <f>G16*D4*C11</f>
        <v>1.4380419796825459</v>
      </c>
      <c r="I16" s="111">
        <f>H16*D4*C10</f>
        <v>1.3993871529927713</v>
      </c>
      <c r="J16" s="111">
        <f>I16*D4*C9</f>
        <v>1.317534296908252</v>
      </c>
      <c r="K16" s="111">
        <f>J16*D4*C8</f>
        <v>1.144208204853483</v>
      </c>
      <c r="L16" s="111">
        <f>K16*D4</f>
        <v>0.77718455260660513</v>
      </c>
      <c r="M16" s="259">
        <f>L16*D4</f>
        <v>0.52788978985487511</v>
      </c>
      <c r="N16" s="145">
        <f>B16+M16</f>
        <v>1.0000000000000004</v>
      </c>
      <c r="R16" s="300">
        <f>B16-M16</f>
        <v>-5.5779579709749783E-2</v>
      </c>
      <c r="S16" s="301">
        <f>SUM(C16:L16)*B4*F4*POWER(O2,A16-1)</f>
        <v>68160829.644033894</v>
      </c>
      <c r="T16" s="278">
        <f>SUM(C16:L16)*D4*H4*POWER(O2,A16-1)</f>
        <v>-152781803.99280235</v>
      </c>
      <c r="U16" s="295">
        <f t="shared" si="0"/>
        <v>-102882684.60384418</v>
      </c>
      <c r="V16" s="94">
        <f>(U16+W16*M16)/B16</f>
        <v>-217920894.55832875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5</v>
      </c>
      <c r="D21" s="57">
        <f>SUM($C$21:C21)</f>
        <v>5</v>
      </c>
      <c r="E21" s="57">
        <f t="shared" ref="E21:E30" si="3">D21/R7</f>
        <v>-13.948284732283932</v>
      </c>
      <c r="F21" s="8">
        <f t="shared" ref="F21:F30" si="4">U7/E21</f>
        <v>0.23164420409193126</v>
      </c>
      <c r="G21" s="281">
        <f>E21*U7</f>
        <v>45.067456350415988</v>
      </c>
      <c r="O21" s="101">
        <v>1</v>
      </c>
      <c r="P21" s="109">
        <v>1</v>
      </c>
      <c r="Q21" s="110">
        <f>P21*5+10</f>
        <v>15</v>
      </c>
      <c r="R21" s="57">
        <f>SUM($Q$21)</f>
        <v>15</v>
      </c>
      <c r="S21" s="276">
        <f>R21/R7</f>
        <v>-41.844854196851792</v>
      </c>
      <c r="T21" s="8">
        <f>U7/S21</f>
        <v>7.7214734697310425E-2</v>
      </c>
      <c r="U21" s="281">
        <f>S21*U7</f>
        <v>135.20236905124796</v>
      </c>
    </row>
    <row r="22" spans="1:21" x14ac:dyDescent="0.2">
      <c r="A22" s="97">
        <v>2</v>
      </c>
      <c r="B22" s="93">
        <f>C21</f>
        <v>5</v>
      </c>
      <c r="C22" s="1">
        <f t="shared" si="2"/>
        <v>25</v>
      </c>
      <c r="D22" s="9">
        <f>SUM($C$21:C22)</f>
        <v>30</v>
      </c>
      <c r="E22" s="9">
        <f t="shared" si="3"/>
        <v>-166.89281947251706</v>
      </c>
      <c r="F22" s="9">
        <f t="shared" si="4"/>
        <v>0.22719067210675079</v>
      </c>
      <c r="G22" s="282">
        <f t="shared" ref="G22:G30" si="5">E22*U8</f>
        <v>6327.9902253063601</v>
      </c>
      <c r="O22" s="99">
        <v>2</v>
      </c>
      <c r="P22" s="93">
        <f>Q21</f>
        <v>15</v>
      </c>
      <c r="Q22" s="1">
        <f t="shared" ref="Q22:Q30" si="6">P22*5+10</f>
        <v>85</v>
      </c>
      <c r="R22" s="9">
        <f>SUM($Q$21:Q22)</f>
        <v>100</v>
      </c>
      <c r="S22" s="277">
        <f t="shared" ref="S22:S30" si="7">R22/R8</f>
        <v>-556.30939824172356</v>
      </c>
      <c r="T22" s="9">
        <f>U8/S22</f>
        <v>6.8157201632025238E-2</v>
      </c>
      <c r="U22" s="282">
        <f t="shared" ref="U22:U30" si="8">S22*U8</f>
        <v>21093.300751021201</v>
      </c>
    </row>
    <row r="23" spans="1:21" x14ac:dyDescent="0.2">
      <c r="A23" s="97">
        <v>3</v>
      </c>
      <c r="B23" s="93">
        <f t="shared" ref="B23:B30" si="9">C22</f>
        <v>25</v>
      </c>
      <c r="C23" s="1">
        <f t="shared" si="2"/>
        <v>125</v>
      </c>
      <c r="D23" s="9">
        <f>SUM($C$21:C23)</f>
        <v>155</v>
      </c>
      <c r="E23" s="9">
        <f t="shared" si="3"/>
        <v>-1399.5501128116152</v>
      </c>
      <c r="F23" s="9">
        <f t="shared" si="4"/>
        <v>0.22376185194706935</v>
      </c>
      <c r="G23" s="282">
        <f t="shared" si="5"/>
        <v>438291.40585208248</v>
      </c>
      <c r="O23" s="99">
        <v>3</v>
      </c>
      <c r="P23" s="93">
        <f t="shared" ref="P23:P30" si="10">Q22</f>
        <v>85</v>
      </c>
      <c r="Q23" s="1">
        <f t="shared" si="6"/>
        <v>435</v>
      </c>
      <c r="R23" s="9">
        <f>SUM($Q$21:Q23)</f>
        <v>535</v>
      </c>
      <c r="S23" s="277">
        <f t="shared" si="7"/>
        <v>-4830.7052280917042</v>
      </c>
      <c r="T23" s="9">
        <f t="shared" ref="T23:T30" si="11">U9/S23</f>
        <v>6.4828200096814489E-2</v>
      </c>
      <c r="U23" s="282">
        <f t="shared" si="8"/>
        <v>1512812.2718120266</v>
      </c>
    </row>
    <row r="24" spans="1:21" x14ac:dyDescent="0.2">
      <c r="A24" s="97">
        <v>4</v>
      </c>
      <c r="B24" s="93">
        <f t="shared" si="9"/>
        <v>125</v>
      </c>
      <c r="C24" s="1">
        <f t="shared" si="2"/>
        <v>625</v>
      </c>
      <c r="D24" s="9">
        <f>SUM($C$21:C24)</f>
        <v>780</v>
      </c>
      <c r="E24" s="9">
        <f t="shared" si="3"/>
        <v>-9642.4005926004702</v>
      </c>
      <c r="F24" s="9">
        <f t="shared" si="4"/>
        <v>0.23137882875106613</v>
      </c>
      <c r="G24" s="282">
        <f t="shared" si="5"/>
        <v>21512652.34245044</v>
      </c>
      <c r="O24" s="99">
        <v>4</v>
      </c>
      <c r="P24" s="93">
        <f t="shared" si="10"/>
        <v>435</v>
      </c>
      <c r="Q24" s="1">
        <f t="shared" si="6"/>
        <v>2185</v>
      </c>
      <c r="R24" s="9">
        <f>SUM($Q$21:Q24)</f>
        <v>2720</v>
      </c>
      <c r="S24" s="277">
        <f t="shared" si="7"/>
        <v>-33624.781553683693</v>
      </c>
      <c r="T24" s="9">
        <f t="shared" si="11"/>
        <v>6.6351281774202783E-2</v>
      </c>
      <c r="U24" s="282">
        <f t="shared" si="8"/>
        <v>75018479.963416919</v>
      </c>
    </row>
    <row r="25" spans="1:21" x14ac:dyDescent="0.2">
      <c r="A25" s="97">
        <v>5</v>
      </c>
      <c r="B25" s="93">
        <f t="shared" si="9"/>
        <v>625</v>
      </c>
      <c r="C25" s="1">
        <f t="shared" si="2"/>
        <v>3125</v>
      </c>
      <c r="D25" s="9">
        <f>SUM($C$21:C25)</f>
        <v>3905</v>
      </c>
      <c r="E25" s="9">
        <f t="shared" si="3"/>
        <v>-57986.082240001771</v>
      </c>
      <c r="F25" s="9">
        <f t="shared" si="4"/>
        <v>0.25240609693658805</v>
      </c>
      <c r="G25" s="282">
        <f t="shared" si="5"/>
        <v>848686659.39917052</v>
      </c>
      <c r="O25" s="99">
        <v>5</v>
      </c>
      <c r="P25" s="93">
        <f t="shared" si="10"/>
        <v>2185</v>
      </c>
      <c r="Q25" s="1">
        <f t="shared" si="6"/>
        <v>10935</v>
      </c>
      <c r="R25" s="9">
        <f>SUM($Q$21:Q25)</f>
        <v>13655</v>
      </c>
      <c r="S25" s="277">
        <f t="shared" si="7"/>
        <v>-202765.67298008301</v>
      </c>
      <c r="T25" s="9">
        <f t="shared" si="11"/>
        <v>7.2182043832836065E-2</v>
      </c>
      <c r="U25" s="282">
        <f t="shared" si="8"/>
        <v>2967686641.2536931</v>
      </c>
    </row>
    <row r="26" spans="1:21" x14ac:dyDescent="0.2">
      <c r="A26" s="97">
        <v>6</v>
      </c>
      <c r="B26" s="93">
        <f t="shared" si="9"/>
        <v>3125</v>
      </c>
      <c r="C26" s="1">
        <f t="shared" si="2"/>
        <v>15625</v>
      </c>
      <c r="D26" s="9">
        <f>SUM($C$21:C26)</f>
        <v>19530</v>
      </c>
      <c r="E26" s="9">
        <f t="shared" si="3"/>
        <v>-319835.39187306562</v>
      </c>
      <c r="F26" s="9">
        <f t="shared" si="4"/>
        <v>0.28475212458643689</v>
      </c>
      <c r="G26" s="282">
        <f t="shared" si="5"/>
        <v>29128626864.371845</v>
      </c>
      <c r="O26" s="99">
        <v>6</v>
      </c>
      <c r="P26" s="93">
        <f t="shared" si="10"/>
        <v>10935</v>
      </c>
      <c r="Q26" s="1">
        <f t="shared" si="6"/>
        <v>54685</v>
      </c>
      <c r="R26" s="9">
        <f>SUM($Q$21:Q26)</f>
        <v>68340</v>
      </c>
      <c r="S26" s="277">
        <f t="shared" si="7"/>
        <v>-1119178.2222532157</v>
      </c>
      <c r="T26" s="9">
        <f t="shared" si="11"/>
        <v>8.1375607157932586E-2</v>
      </c>
      <c r="U26" s="282">
        <f t="shared" si="8"/>
        <v>101927821808.04771</v>
      </c>
    </row>
    <row r="27" spans="1:21" x14ac:dyDescent="0.2">
      <c r="A27" s="97">
        <v>7</v>
      </c>
      <c r="B27" s="93">
        <f t="shared" si="9"/>
        <v>15625</v>
      </c>
      <c r="C27" s="1">
        <f t="shared" si="2"/>
        <v>78125</v>
      </c>
      <c r="D27" s="9">
        <f>SUM($C$21:C27)</f>
        <v>97655</v>
      </c>
      <c r="E27" s="9">
        <f t="shared" si="3"/>
        <v>-1680171.0062880465</v>
      </c>
      <c r="F27" s="9">
        <f t="shared" si="4"/>
        <v>0.32515968678619495</v>
      </c>
      <c r="G27" s="282">
        <f t="shared" si="5"/>
        <v>917917540113.61084</v>
      </c>
      <c r="O27" s="99">
        <v>7</v>
      </c>
      <c r="P27" s="93">
        <f t="shared" si="10"/>
        <v>54685</v>
      </c>
      <c r="Q27" s="1">
        <f t="shared" si="6"/>
        <v>273435</v>
      </c>
      <c r="R27" s="9">
        <f>SUM($Q$21:Q27)</f>
        <v>341775</v>
      </c>
      <c r="S27" s="277">
        <f t="shared" si="7"/>
        <v>-5880297.4315098776</v>
      </c>
      <c r="T27" s="9">
        <f t="shared" si="11"/>
        <v>9.2907524579345674E-2</v>
      </c>
      <c r="U27" s="282">
        <f t="shared" si="8"/>
        <v>3212546897468.9399</v>
      </c>
    </row>
    <row r="28" spans="1:21" x14ac:dyDescent="0.2">
      <c r="A28" s="97">
        <v>8</v>
      </c>
      <c r="B28" s="93">
        <f t="shared" si="9"/>
        <v>78125</v>
      </c>
      <c r="C28" s="1">
        <f t="shared" si="2"/>
        <v>390625</v>
      </c>
      <c r="D28" s="9">
        <f>SUM($C$21:C28)</f>
        <v>488280</v>
      </c>
      <c r="E28" s="9">
        <f t="shared" si="3"/>
        <v>-8605716.8979750127</v>
      </c>
      <c r="F28" s="9">
        <f t="shared" si="4"/>
        <v>0.37077042808877403</v>
      </c>
      <c r="G28" s="282">
        <f t="shared" si="5"/>
        <v>27458651074710.887</v>
      </c>
      <c r="O28" s="99">
        <v>8</v>
      </c>
      <c r="P28" s="93">
        <f t="shared" si="10"/>
        <v>273435</v>
      </c>
      <c r="Q28" s="1">
        <f t="shared" si="6"/>
        <v>1367185</v>
      </c>
      <c r="R28" s="9">
        <f>SUM($Q$21:Q28)</f>
        <v>1708960</v>
      </c>
      <c r="S28" s="277">
        <f t="shared" si="7"/>
        <v>-30119656.651846025</v>
      </c>
      <c r="T28" s="9">
        <f t="shared" si="11"/>
        <v>0.10593564777829007</v>
      </c>
      <c r="U28" s="282">
        <f t="shared" si="8"/>
        <v>96104154052260.828</v>
      </c>
    </row>
    <row r="29" spans="1:21" x14ac:dyDescent="0.2">
      <c r="A29" s="97">
        <v>9</v>
      </c>
      <c r="B29" s="93">
        <f t="shared" si="9"/>
        <v>390625</v>
      </c>
      <c r="C29" s="1">
        <f t="shared" si="2"/>
        <v>1953125</v>
      </c>
      <c r="D29" s="9">
        <f>SUM($C$21:C29)</f>
        <v>2441405</v>
      </c>
      <c r="E29" s="9">
        <f t="shared" si="3"/>
        <v>-43528777.538296886</v>
      </c>
      <c r="F29" s="9">
        <f t="shared" si="4"/>
        <v>0.41953188873748992</v>
      </c>
      <c r="G29" s="282">
        <f t="shared" si="5"/>
        <v>794909923162025.88</v>
      </c>
      <c r="O29" s="99">
        <v>9</v>
      </c>
      <c r="P29" s="93">
        <f t="shared" si="10"/>
        <v>1367185</v>
      </c>
      <c r="Q29" s="1">
        <f t="shared" si="6"/>
        <v>6835935</v>
      </c>
      <c r="R29" s="9">
        <f>SUM($Q$21:Q29)</f>
        <v>8544895</v>
      </c>
      <c r="S29" s="277">
        <f t="shared" si="7"/>
        <v>-152350320.22261992</v>
      </c>
      <c r="T29" s="9">
        <f t="shared" si="11"/>
        <v>0.11986656955096013</v>
      </c>
      <c r="U29" s="282">
        <f t="shared" si="8"/>
        <v>2782177405173488</v>
      </c>
    </row>
    <row r="30" spans="1:21" ht="17" thickBot="1" x14ac:dyDescent="0.25">
      <c r="A30" s="145">
        <v>10</v>
      </c>
      <c r="B30" s="94">
        <f t="shared" si="9"/>
        <v>1953125</v>
      </c>
      <c r="C30" s="111">
        <f t="shared" si="2"/>
        <v>9765625</v>
      </c>
      <c r="D30" s="10">
        <f>SUM($C$21:C30)</f>
        <v>12207030</v>
      </c>
      <c r="E30" s="10">
        <f t="shared" si="3"/>
        <v>-218844065.57954609</v>
      </c>
      <c r="F30" s="10">
        <f t="shared" si="4"/>
        <v>0.4701186862499046</v>
      </c>
      <c r="G30" s="283">
        <f t="shared" si="5"/>
        <v>2.2515264976443432E+16</v>
      </c>
      <c r="O30" s="100">
        <v>10</v>
      </c>
      <c r="P30" s="94">
        <f t="shared" si="10"/>
        <v>6835935</v>
      </c>
      <c r="Q30" s="111">
        <f t="shared" si="6"/>
        <v>34179685</v>
      </c>
      <c r="R30" s="10">
        <f>SUM($Q$21:Q30)</f>
        <v>42724580</v>
      </c>
      <c r="S30" s="278">
        <f t="shared" si="7"/>
        <v>-765953781.33571911</v>
      </c>
      <c r="T30" s="10">
        <f t="shared" si="11"/>
        <v>0.13431970323905287</v>
      </c>
      <c r="U30" s="283">
        <f t="shared" si="8"/>
        <v>7.8803381306284624E+16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5</v>
      </c>
      <c r="D33" s="57">
        <f>SUM($C$33:C33)</f>
        <v>5</v>
      </c>
      <c r="E33" s="9">
        <f t="shared" ref="E33:E42" si="13">D33/R7</f>
        <v>-13.948284732283932</v>
      </c>
      <c r="F33" s="8">
        <f t="shared" ref="F33:F42" si="14">U7/E33</f>
        <v>0.23164420409193126</v>
      </c>
      <c r="G33" s="284">
        <f>E33*U7</f>
        <v>45.067456350415988</v>
      </c>
      <c r="O33" s="101">
        <v>1</v>
      </c>
      <c r="P33" s="109">
        <v>1</v>
      </c>
      <c r="Q33" s="110">
        <f>P33*5+10</f>
        <v>15</v>
      </c>
      <c r="R33" s="57">
        <f>SUM($Q$21)</f>
        <v>15</v>
      </c>
      <c r="S33" s="276">
        <f>R33/R7</f>
        <v>-41.844854196851792</v>
      </c>
      <c r="T33" s="8">
        <f>U7/S33</f>
        <v>7.7214734697310425E-2</v>
      </c>
      <c r="U33" s="284">
        <f>S33*U7</f>
        <v>135.20236905124796</v>
      </c>
    </row>
    <row r="34" spans="1:21" x14ac:dyDescent="0.2">
      <c r="A34" s="97">
        <v>2</v>
      </c>
      <c r="B34" s="93">
        <f t="shared" ref="B34:B42" si="15">B33*($O$2+1)</f>
        <v>6</v>
      </c>
      <c r="C34" s="1">
        <f t="shared" si="12"/>
        <v>30</v>
      </c>
      <c r="D34" s="9">
        <f>SUM($C$33:C34)</f>
        <v>35</v>
      </c>
      <c r="E34" s="9">
        <f t="shared" si="13"/>
        <v>-194.70828938460323</v>
      </c>
      <c r="F34" s="9">
        <f t="shared" si="14"/>
        <v>0.19473486180578639</v>
      </c>
      <c r="G34" s="282">
        <f t="shared" ref="G34:G42" si="16">E34*U8</f>
        <v>7382.65526285742</v>
      </c>
      <c r="O34" s="99">
        <v>2</v>
      </c>
      <c r="P34" s="93">
        <f>Q33+1</f>
        <v>16</v>
      </c>
      <c r="Q34" s="1">
        <f t="shared" ref="Q34:Q42" si="17">P34*5+10</f>
        <v>90</v>
      </c>
      <c r="R34" s="9">
        <f>SUM($Q$33:Q34)</f>
        <v>105</v>
      </c>
      <c r="S34" s="277">
        <f>R34/R8</f>
        <v>-584.12486815380976</v>
      </c>
      <c r="T34" s="9">
        <f t="shared" ref="T34:T42" si="18">U8/S34</f>
        <v>6.4911620601928788E-2</v>
      </c>
      <c r="U34" s="282">
        <f t="shared" ref="U34:U42" si="19">S34*U8</f>
        <v>22147.965788572263</v>
      </c>
    </row>
    <row r="35" spans="1:21" x14ac:dyDescent="0.2">
      <c r="A35" s="97">
        <v>3</v>
      </c>
      <c r="B35" s="93">
        <f t="shared" si="15"/>
        <v>36</v>
      </c>
      <c r="C35" s="1">
        <f t="shared" si="12"/>
        <v>180</v>
      </c>
      <c r="D35" s="9">
        <f>SUM($C$33:C35)</f>
        <v>215</v>
      </c>
      <c r="E35" s="9">
        <f t="shared" si="13"/>
        <v>-1941.3114468032081</v>
      </c>
      <c r="F35" s="9">
        <f t="shared" si="14"/>
        <v>0.16131668396184071</v>
      </c>
      <c r="G35" s="282">
        <f t="shared" si="16"/>
        <v>607952.5952141789</v>
      </c>
      <c r="O35" s="99">
        <v>3</v>
      </c>
      <c r="P35" s="93">
        <f t="shared" ref="P35:P42" si="20">Q34+1</f>
        <v>91</v>
      </c>
      <c r="Q35" s="1">
        <f t="shared" si="17"/>
        <v>465</v>
      </c>
      <c r="R35" s="9">
        <f>SUM($Q$33:Q35)</f>
        <v>570</v>
      </c>
      <c r="S35" s="277">
        <f t="shared" ref="S35:S42" si="21">R35/R9</f>
        <v>-5146.7326729201332</v>
      </c>
      <c r="T35" s="9">
        <f t="shared" si="18"/>
        <v>6.0847521143501317E-2</v>
      </c>
      <c r="U35" s="282">
        <f t="shared" si="19"/>
        <v>1611781.2989399163</v>
      </c>
    </row>
    <row r="36" spans="1:21" x14ac:dyDescent="0.2">
      <c r="A36" s="97">
        <v>4</v>
      </c>
      <c r="B36" s="93">
        <f t="shared" si="15"/>
        <v>216</v>
      </c>
      <c r="C36" s="1">
        <f t="shared" si="12"/>
        <v>1080</v>
      </c>
      <c r="D36" s="9">
        <f>SUM($C$33:C36)</f>
        <v>1295</v>
      </c>
      <c r="E36" s="9">
        <f t="shared" si="13"/>
        <v>-16008.85739412514</v>
      </c>
      <c r="F36" s="9">
        <f t="shared" si="14"/>
        <v>0.13936330998133711</v>
      </c>
      <c r="G36" s="282">
        <f t="shared" si="16"/>
        <v>35716518.953170925</v>
      </c>
      <c r="O36" s="99">
        <v>4</v>
      </c>
      <c r="P36" s="93">
        <f t="shared" si="20"/>
        <v>466</v>
      </c>
      <c r="Q36" s="1">
        <f t="shared" si="17"/>
        <v>2340</v>
      </c>
      <c r="R36" s="9">
        <f>SUM($Q$33:Q36)</f>
        <v>2910</v>
      </c>
      <c r="S36" s="277">
        <f t="shared" si="21"/>
        <v>-35973.57144162483</v>
      </c>
      <c r="T36" s="9">
        <f t="shared" si="18"/>
        <v>6.2019067500285768E-2</v>
      </c>
      <c r="U36" s="282">
        <f t="shared" si="19"/>
        <v>80258741.431449711</v>
      </c>
    </row>
    <row r="37" spans="1:21" x14ac:dyDescent="0.2">
      <c r="A37" s="97">
        <v>5</v>
      </c>
      <c r="B37" s="93">
        <f t="shared" si="15"/>
        <v>1296</v>
      </c>
      <c r="C37" s="1">
        <f t="shared" si="12"/>
        <v>6480</v>
      </c>
      <c r="D37" s="9">
        <f>SUM($C$33:C37)</f>
        <v>7775</v>
      </c>
      <c r="E37" s="9">
        <f t="shared" si="13"/>
        <v>-115452.44287221863</v>
      </c>
      <c r="F37" s="9">
        <f t="shared" si="14"/>
        <v>0.12677116508519312</v>
      </c>
      <c r="G37" s="282">
        <f t="shared" si="16"/>
        <v>1689766652.1968117</v>
      </c>
      <c r="O37" s="99">
        <v>5</v>
      </c>
      <c r="P37" s="93">
        <f t="shared" si="20"/>
        <v>2341</v>
      </c>
      <c r="Q37" s="1">
        <f t="shared" si="17"/>
        <v>11715</v>
      </c>
      <c r="R37" s="9">
        <f>SUM($Q$33:Q37)</f>
        <v>14625</v>
      </c>
      <c r="S37" s="277">
        <f t="shared" si="21"/>
        <v>-217169.38611012188</v>
      </c>
      <c r="T37" s="9">
        <f t="shared" si="18"/>
        <v>6.7394585199136853E-2</v>
      </c>
      <c r="U37" s="282">
        <f t="shared" si="19"/>
        <v>3178499972.7817845</v>
      </c>
    </row>
    <row r="38" spans="1:21" x14ac:dyDescent="0.2">
      <c r="A38" s="97">
        <v>6</v>
      </c>
      <c r="B38" s="93">
        <f t="shared" si="15"/>
        <v>7776</v>
      </c>
      <c r="C38" s="1">
        <f t="shared" si="12"/>
        <v>38880</v>
      </c>
      <c r="D38" s="9">
        <f>SUM($C$33:C38)</f>
        <v>46655</v>
      </c>
      <c r="E38" s="9">
        <f t="shared" si="13"/>
        <v>-764051.21391899011</v>
      </c>
      <c r="F38" s="9">
        <f t="shared" si="14"/>
        <v>0.11919856378036894</v>
      </c>
      <c r="G38" s="282">
        <f t="shared" si="16"/>
        <v>69585053064.888306</v>
      </c>
      <c r="O38" s="99">
        <v>6</v>
      </c>
      <c r="P38" s="93">
        <f t="shared" si="20"/>
        <v>11716</v>
      </c>
      <c r="Q38" s="1">
        <f t="shared" si="17"/>
        <v>58590</v>
      </c>
      <c r="R38" s="9">
        <f>SUM($Q$33:Q38)</f>
        <v>73215</v>
      </c>
      <c r="S38" s="277">
        <f t="shared" si="21"/>
        <v>-1199014.2455702254</v>
      </c>
      <c r="T38" s="9">
        <f t="shared" si="18"/>
        <v>7.595723544592109E-2</v>
      </c>
      <c r="U38" s="282">
        <f t="shared" si="19"/>
        <v>109198792415.51382</v>
      </c>
    </row>
    <row r="39" spans="1:21" x14ac:dyDescent="0.2">
      <c r="A39" s="97">
        <v>7</v>
      </c>
      <c r="B39" s="93">
        <f t="shared" si="15"/>
        <v>46656</v>
      </c>
      <c r="C39" s="1">
        <f t="shared" si="12"/>
        <v>233280</v>
      </c>
      <c r="D39" s="9">
        <f>SUM($C$33:C39)</f>
        <v>279935</v>
      </c>
      <c r="E39" s="9">
        <f t="shared" si="13"/>
        <v>-4816329.6364266481</v>
      </c>
      <c r="F39" s="9">
        <f t="shared" si="14"/>
        <v>0.11343157952062395</v>
      </c>
      <c r="G39" s="282">
        <f t="shared" si="16"/>
        <v>2631275885430.3789</v>
      </c>
      <c r="O39" s="99">
        <v>7</v>
      </c>
      <c r="P39" s="93">
        <f t="shared" si="20"/>
        <v>58591</v>
      </c>
      <c r="Q39" s="1">
        <f t="shared" si="17"/>
        <v>292965</v>
      </c>
      <c r="R39" s="9">
        <f>SUM($Q$33:Q39)</f>
        <v>366180</v>
      </c>
      <c r="S39" s="277">
        <f t="shared" si="21"/>
        <v>-6300189.6378327468</v>
      </c>
      <c r="T39" s="9">
        <f t="shared" si="18"/>
        <v>8.6715465653792859E-2</v>
      </c>
      <c r="U39" s="282">
        <f t="shared" si="19"/>
        <v>3441944036032.9937</v>
      </c>
    </row>
    <row r="40" spans="1:21" x14ac:dyDescent="0.2">
      <c r="A40" s="97">
        <v>8</v>
      </c>
      <c r="B40" s="93">
        <f t="shared" si="15"/>
        <v>279936</v>
      </c>
      <c r="C40" s="1">
        <f t="shared" si="12"/>
        <v>1399680</v>
      </c>
      <c r="D40" s="9">
        <f>SUM($C$33:C40)</f>
        <v>1679615</v>
      </c>
      <c r="E40" s="9">
        <f t="shared" si="13"/>
        <v>-29602464.134497214</v>
      </c>
      <c r="F40" s="9">
        <f t="shared" si="14"/>
        <v>0.10778647763159212</v>
      </c>
      <c r="G40" s="282">
        <f t="shared" si="16"/>
        <v>94453924438540.422</v>
      </c>
      <c r="O40" s="99">
        <v>8</v>
      </c>
      <c r="P40" s="93">
        <f t="shared" si="20"/>
        <v>292966</v>
      </c>
      <c r="Q40" s="1">
        <f t="shared" si="17"/>
        <v>1464840</v>
      </c>
      <c r="R40" s="9">
        <f>SUM($Q$33:Q40)</f>
        <v>1831020</v>
      </c>
      <c r="S40" s="277">
        <f t="shared" si="21"/>
        <v>-32270909.630806517</v>
      </c>
      <c r="T40" s="9">
        <f t="shared" si="18"/>
        <v>9.887373410841313E-2</v>
      </c>
      <c r="U40" s="282">
        <f t="shared" si="19"/>
        <v>102968254466324.89</v>
      </c>
    </row>
    <row r="41" spans="1:21" x14ac:dyDescent="0.2">
      <c r="A41" s="97">
        <v>9</v>
      </c>
      <c r="B41" s="93">
        <f t="shared" si="15"/>
        <v>1679616</v>
      </c>
      <c r="C41" s="1">
        <f t="shared" si="12"/>
        <v>8398080</v>
      </c>
      <c r="D41" s="9">
        <f>SUM($C$33:C41)</f>
        <v>10077695</v>
      </c>
      <c r="E41" s="9">
        <f t="shared" si="13"/>
        <v>-179679219.03731942</v>
      </c>
      <c r="F41" s="9">
        <f t="shared" si="14"/>
        <v>0.10163507139511084</v>
      </c>
      <c r="G41" s="282">
        <f t="shared" si="16"/>
        <v>3281249836917812.5</v>
      </c>
      <c r="O41" s="99">
        <v>9</v>
      </c>
      <c r="P41" s="93">
        <f t="shared" si="20"/>
        <v>1464841</v>
      </c>
      <c r="Q41" s="1">
        <f t="shared" si="17"/>
        <v>7324215</v>
      </c>
      <c r="R41" s="9">
        <f>SUM($Q$33:Q41)</f>
        <v>9155235</v>
      </c>
      <c r="S41" s="277">
        <f t="shared" si="21"/>
        <v>-163232314.02648455</v>
      </c>
      <c r="T41" s="9">
        <f t="shared" si="18"/>
        <v>0.11187558274835671</v>
      </c>
      <c r="U41" s="282">
        <f t="shared" si="19"/>
        <v>2980901223017193</v>
      </c>
    </row>
    <row r="42" spans="1:21" ht="17" thickBot="1" x14ac:dyDescent="0.25">
      <c r="A42" s="145">
        <v>10</v>
      </c>
      <c r="B42" s="94">
        <f t="shared" si="15"/>
        <v>10077696</v>
      </c>
      <c r="C42" s="111">
        <f t="shared" si="12"/>
        <v>50388480</v>
      </c>
      <c r="D42" s="10">
        <f>SUM($C$33:C42)</f>
        <v>60466175</v>
      </c>
      <c r="E42" s="9">
        <f t="shared" si="13"/>
        <v>-1084019910.4159088</v>
      </c>
      <c r="F42" s="10">
        <f t="shared" si="14"/>
        <v>9.4908482413732523E-2</v>
      </c>
      <c r="G42" s="283">
        <f t="shared" si="16"/>
        <v>1.1152687854760738E+17</v>
      </c>
      <c r="O42" s="100">
        <v>10</v>
      </c>
      <c r="P42" s="94">
        <f t="shared" si="20"/>
        <v>7324216</v>
      </c>
      <c r="Q42" s="111">
        <f t="shared" si="17"/>
        <v>36621090</v>
      </c>
      <c r="R42" s="10">
        <f>SUM($Q$33:Q42)</f>
        <v>45776325</v>
      </c>
      <c r="S42" s="278">
        <f t="shared" si="21"/>
        <v>-820664573.63425958</v>
      </c>
      <c r="T42" s="10">
        <f t="shared" si="18"/>
        <v>0.12536508569906329</v>
      </c>
      <c r="U42" s="283">
        <f t="shared" si="19"/>
        <v>8.4432174494761792E+16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5</v>
      </c>
      <c r="D45" s="57">
        <f>SUM(C45:C45)</f>
        <v>5</v>
      </c>
      <c r="E45" s="57">
        <f t="shared" ref="E45:E54" si="23">D45/R7</f>
        <v>-13.948284732283932</v>
      </c>
      <c r="F45" s="8">
        <f t="shared" ref="F45:F54" si="24">U7/E45</f>
        <v>0.23164420409193126</v>
      </c>
      <c r="G45" s="281">
        <f>E45*U7</f>
        <v>45.067456350415988</v>
      </c>
      <c r="O45" s="101">
        <v>1</v>
      </c>
      <c r="P45" s="109">
        <v>1</v>
      </c>
      <c r="Q45" s="110">
        <f>P45*5+10</f>
        <v>15</v>
      </c>
      <c r="R45" s="57">
        <f>SUM($Q$21)</f>
        <v>15</v>
      </c>
      <c r="S45" s="276">
        <f>R45/R7</f>
        <v>-41.844854196851792</v>
      </c>
      <c r="T45" s="8">
        <f>U7/S45</f>
        <v>7.7214734697310425E-2</v>
      </c>
      <c r="U45" s="284">
        <f>S45*U7</f>
        <v>135.20236905124796</v>
      </c>
    </row>
    <row r="46" spans="1:21" x14ac:dyDescent="0.2">
      <c r="A46" s="97">
        <v>2</v>
      </c>
      <c r="B46" s="93">
        <f t="shared" ref="B46:B54" si="25">B45*$O$2*2</f>
        <v>10</v>
      </c>
      <c r="C46" s="1">
        <f t="shared" si="22"/>
        <v>50</v>
      </c>
      <c r="D46" s="9">
        <f>SUM($C$45:C46)</f>
        <v>55</v>
      </c>
      <c r="E46" s="9">
        <f t="shared" si="23"/>
        <v>-305.97016903294792</v>
      </c>
      <c r="F46" s="9">
        <f t="shared" si="24"/>
        <v>0.12392218478550043</v>
      </c>
      <c r="G46" s="282">
        <f t="shared" ref="G46:G54" si="26">E46*U8</f>
        <v>11601.315413061659</v>
      </c>
      <c r="O46" s="99">
        <v>2</v>
      </c>
      <c r="P46" s="93">
        <f>Q45*2</f>
        <v>30</v>
      </c>
      <c r="Q46" s="1">
        <f t="shared" ref="Q46:Q54" si="27">P46*5+10</f>
        <v>160</v>
      </c>
      <c r="R46" s="9">
        <f>SUM($Q$45:Q46)</f>
        <v>175</v>
      </c>
      <c r="S46" s="277">
        <f t="shared" ref="S46:S54" si="28">R46/R8</f>
        <v>-973.54144692301622</v>
      </c>
      <c r="T46" s="9">
        <f t="shared" ref="T46:T54" si="29">U8/S46</f>
        <v>3.8946972361157274E-2</v>
      </c>
      <c r="U46" s="282">
        <f t="shared" ref="U46:U54" si="30">S46*U8</f>
        <v>36913.276314287104</v>
      </c>
    </row>
    <row r="47" spans="1:21" x14ac:dyDescent="0.2">
      <c r="A47" s="97">
        <v>3</v>
      </c>
      <c r="B47" s="93">
        <f t="shared" si="25"/>
        <v>100</v>
      </c>
      <c r="C47" s="1">
        <f t="shared" si="22"/>
        <v>500</v>
      </c>
      <c r="D47" s="9">
        <f>SUM($C$45:C47)</f>
        <v>555</v>
      </c>
      <c r="E47" s="9">
        <f t="shared" si="23"/>
        <v>-5011.2923394222344</v>
      </c>
      <c r="F47" s="9">
        <f t="shared" si="24"/>
        <v>6.2492048741974338E-2</v>
      </c>
      <c r="G47" s="282">
        <f t="shared" si="26"/>
        <v>1569366.0015993919</v>
      </c>
      <c r="O47" s="99">
        <v>3</v>
      </c>
      <c r="P47" s="93">
        <f t="shared" ref="P47:P54" si="31">Q46*2</f>
        <v>320</v>
      </c>
      <c r="Q47" s="1">
        <f t="shared" si="27"/>
        <v>1610</v>
      </c>
      <c r="R47" s="9">
        <f>SUM($Q$45:Q47)</f>
        <v>1785</v>
      </c>
      <c r="S47" s="277">
        <f t="shared" si="28"/>
        <v>-16117.39968624989</v>
      </c>
      <c r="T47" s="9">
        <f t="shared" si="29"/>
        <v>1.9430300869353365E-2</v>
      </c>
      <c r="U47" s="282">
        <f t="shared" si="30"/>
        <v>5047420.383522369</v>
      </c>
    </row>
    <row r="48" spans="1:21" x14ac:dyDescent="0.2">
      <c r="A48" s="97">
        <v>4</v>
      </c>
      <c r="B48" s="93">
        <f t="shared" si="25"/>
        <v>1000</v>
      </c>
      <c r="C48" s="1">
        <f t="shared" si="22"/>
        <v>5000</v>
      </c>
      <c r="D48" s="9">
        <f>SUM($C$45:C48)</f>
        <v>5555</v>
      </c>
      <c r="E48" s="9">
        <f t="shared" si="23"/>
        <v>-68671.199092173862</v>
      </c>
      <c r="F48" s="9">
        <f t="shared" si="24"/>
        <v>3.2488836440293711E-2</v>
      </c>
      <c r="G48" s="282">
        <f t="shared" si="26"/>
        <v>153208697.13116947</v>
      </c>
      <c r="O48" s="99">
        <v>4</v>
      </c>
      <c r="P48" s="93">
        <f t="shared" si="31"/>
        <v>3220</v>
      </c>
      <c r="Q48" s="1">
        <f t="shared" si="27"/>
        <v>16110</v>
      </c>
      <c r="R48" s="9">
        <f>SUM($Q$45:Q48)</f>
        <v>17895</v>
      </c>
      <c r="S48" s="277">
        <f t="shared" si="28"/>
        <v>-221218.92128793002</v>
      </c>
      <c r="T48" s="9">
        <f t="shared" si="29"/>
        <v>1.0085246517230041E-2</v>
      </c>
      <c r="U48" s="282">
        <f t="shared" si="30"/>
        <v>493549889.31814182</v>
      </c>
    </row>
    <row r="49" spans="1:21" x14ac:dyDescent="0.2">
      <c r="A49" s="97">
        <v>5</v>
      </c>
      <c r="B49" s="93">
        <f t="shared" si="25"/>
        <v>10000</v>
      </c>
      <c r="C49" s="1">
        <f t="shared" si="22"/>
        <v>50000</v>
      </c>
      <c r="D49" s="9">
        <f>SUM($C$45:C49)</f>
        <v>55555</v>
      </c>
      <c r="E49" s="9">
        <f t="shared" si="23"/>
        <v>-824946.68344258599</v>
      </c>
      <c r="F49" s="9">
        <f t="shared" si="24"/>
        <v>1.7741801971692492E-2</v>
      </c>
      <c r="G49" s="282">
        <f t="shared" si="26"/>
        <v>12073953229.941336</v>
      </c>
      <c r="O49" s="99">
        <v>5</v>
      </c>
      <c r="P49" s="93">
        <f t="shared" si="31"/>
        <v>32220</v>
      </c>
      <c r="Q49" s="1">
        <f t="shared" si="27"/>
        <v>161110</v>
      </c>
      <c r="R49" s="9">
        <f>SUM($Q$45:Q49)</f>
        <v>179005</v>
      </c>
      <c r="S49" s="277">
        <f t="shared" si="28"/>
        <v>-2658079.0400439221</v>
      </c>
      <c r="T49" s="9">
        <f t="shared" si="29"/>
        <v>5.5062473592211196E-3</v>
      </c>
      <c r="U49" s="282">
        <f t="shared" si="30"/>
        <v>38903753000.191673</v>
      </c>
    </row>
    <row r="50" spans="1:21" x14ac:dyDescent="0.2">
      <c r="A50" s="97">
        <v>6</v>
      </c>
      <c r="B50" s="93">
        <f t="shared" si="25"/>
        <v>100000</v>
      </c>
      <c r="C50" s="1">
        <f t="shared" si="22"/>
        <v>500000</v>
      </c>
      <c r="D50" s="9">
        <f>SUM($C$45:C50)</f>
        <v>555555</v>
      </c>
      <c r="E50" s="9">
        <f t="shared" si="23"/>
        <v>-9098113.2172063999</v>
      </c>
      <c r="F50" s="9">
        <f t="shared" si="24"/>
        <v>1.00101861978978E-2</v>
      </c>
      <c r="G50" s="282">
        <f t="shared" si="26"/>
        <v>828599810426.83582</v>
      </c>
      <c r="O50" s="99">
        <v>6</v>
      </c>
      <c r="P50" s="93">
        <f t="shared" si="31"/>
        <v>322220</v>
      </c>
      <c r="Q50" s="1">
        <f t="shared" si="27"/>
        <v>1611110</v>
      </c>
      <c r="R50" s="9">
        <f>SUM($Q$45:Q50)</f>
        <v>1790115</v>
      </c>
      <c r="S50" s="277">
        <f t="shared" si="28"/>
        <v>-29316033.411308393</v>
      </c>
      <c r="T50" s="9">
        <f t="shared" si="29"/>
        <v>3.1066210791893885E-3</v>
      </c>
      <c r="U50" s="282">
        <f t="shared" si="30"/>
        <v>2669922779278.8027</v>
      </c>
    </row>
    <row r="51" spans="1:21" x14ac:dyDescent="0.2">
      <c r="A51" s="97">
        <v>7</v>
      </c>
      <c r="B51" s="93">
        <f t="shared" si="25"/>
        <v>1000000</v>
      </c>
      <c r="C51" s="1">
        <f t="shared" si="22"/>
        <v>5000000</v>
      </c>
      <c r="D51" s="9">
        <f>SUM($C$45:C51)</f>
        <v>5555555</v>
      </c>
      <c r="E51" s="9">
        <f t="shared" si="23"/>
        <v>-95584275.611474976</v>
      </c>
      <c r="F51" s="9">
        <f t="shared" si="24"/>
        <v>5.7156250299215585E-3</v>
      </c>
      <c r="G51" s="282">
        <f t="shared" si="26"/>
        <v>52219972142397.945</v>
      </c>
      <c r="O51" s="99">
        <v>7</v>
      </c>
      <c r="P51" s="93">
        <f t="shared" si="31"/>
        <v>3222220</v>
      </c>
      <c r="Q51" s="1">
        <f t="shared" si="27"/>
        <v>16111110</v>
      </c>
      <c r="R51" s="9">
        <f>SUM($Q$45:Q51)</f>
        <v>17901225</v>
      </c>
      <c r="S51" s="277">
        <f t="shared" si="28"/>
        <v>-307993643.152309</v>
      </c>
      <c r="T51" s="9">
        <f t="shared" si="29"/>
        <v>1.7738154351507156E-3</v>
      </c>
      <c r="U51" s="282">
        <f t="shared" si="30"/>
        <v>168264281573091.72</v>
      </c>
    </row>
    <row r="52" spans="1:21" x14ac:dyDescent="0.2">
      <c r="A52" s="97">
        <v>8</v>
      </c>
      <c r="B52" s="93">
        <f t="shared" si="25"/>
        <v>10000000</v>
      </c>
      <c r="C52" s="1">
        <f t="shared" si="22"/>
        <v>50000000</v>
      </c>
      <c r="D52" s="9">
        <f>SUM($C$45:C52)</f>
        <v>55555555</v>
      </c>
      <c r="E52" s="9">
        <f t="shared" si="23"/>
        <v>-979141841.64798915</v>
      </c>
      <c r="F52" s="9">
        <f t="shared" si="24"/>
        <v>3.2587161558765205E-3</v>
      </c>
      <c r="G52" s="282">
        <f t="shared" si="26"/>
        <v>3124192266746353.5</v>
      </c>
      <c r="O52" s="99">
        <v>8</v>
      </c>
      <c r="P52" s="93">
        <f t="shared" si="31"/>
        <v>32222220</v>
      </c>
      <c r="Q52" s="1">
        <f t="shared" si="27"/>
        <v>161111110</v>
      </c>
      <c r="R52" s="9">
        <f>SUM($Q$45:Q52)</f>
        <v>179012335</v>
      </c>
      <c r="S52" s="277">
        <f t="shared" si="28"/>
        <v>-3155012444.2030468</v>
      </c>
      <c r="T52" s="9">
        <f t="shared" si="29"/>
        <v>1.0113257537654409E-3</v>
      </c>
      <c r="U52" s="282">
        <f t="shared" si="30"/>
        <v>1.006684124853415E+16</v>
      </c>
    </row>
    <row r="53" spans="1:21" x14ac:dyDescent="0.2">
      <c r="A53" s="97">
        <v>9</v>
      </c>
      <c r="B53" s="93">
        <f t="shared" si="25"/>
        <v>100000000</v>
      </c>
      <c r="C53" s="1">
        <f t="shared" si="22"/>
        <v>500000000</v>
      </c>
      <c r="D53" s="9">
        <f>SUM($C$45:C53)</f>
        <v>555555555</v>
      </c>
      <c r="E53" s="9">
        <f t="shared" si="23"/>
        <v>-9905220216.9488716</v>
      </c>
      <c r="F53" s="9">
        <f t="shared" si="24"/>
        <v>1.8436450533253178E-3</v>
      </c>
      <c r="G53" s="282">
        <f t="shared" si="26"/>
        <v>1.8088626161463856E+17</v>
      </c>
      <c r="O53" s="99">
        <v>9</v>
      </c>
      <c r="P53" s="93">
        <f t="shared" si="31"/>
        <v>322222220</v>
      </c>
      <c r="Q53" s="1">
        <f t="shared" si="27"/>
        <v>1611111110</v>
      </c>
      <c r="R53" s="9">
        <f>SUM($Q$45:Q53)</f>
        <v>1790123445</v>
      </c>
      <c r="S53" s="277">
        <f t="shared" si="28"/>
        <v>-31916820520.763512</v>
      </c>
      <c r="T53" s="9">
        <f t="shared" si="29"/>
        <v>5.7216570940064502E-4</v>
      </c>
      <c r="U53" s="282">
        <f t="shared" si="30"/>
        <v>5.8285572861343821E+17</v>
      </c>
    </row>
    <row r="54" spans="1:21" ht="17" thickBot="1" x14ac:dyDescent="0.25">
      <c r="A54" s="145">
        <v>10</v>
      </c>
      <c r="B54" s="94">
        <f t="shared" si="25"/>
        <v>1000000000</v>
      </c>
      <c r="C54" s="111">
        <f t="shared" si="22"/>
        <v>5000000000</v>
      </c>
      <c r="D54" s="10">
        <f>SUM($C$45:C54)</f>
        <v>5555555555</v>
      </c>
      <c r="E54" s="10">
        <f t="shared" si="23"/>
        <v>-99598376034.893951</v>
      </c>
      <c r="F54" s="10">
        <f t="shared" si="24"/>
        <v>1.0329755232936688E-3</v>
      </c>
      <c r="G54" s="283">
        <f t="shared" si="26"/>
        <v>1.0246948308653066E+19</v>
      </c>
      <c r="O54" s="100">
        <v>10</v>
      </c>
      <c r="P54" s="94">
        <f t="shared" si="31"/>
        <v>3222222220</v>
      </c>
      <c r="Q54" s="111">
        <f t="shared" si="27"/>
        <v>16111111110</v>
      </c>
      <c r="R54" s="10">
        <f>SUM($Q$45:Q54)</f>
        <v>17901234555</v>
      </c>
      <c r="S54" s="278">
        <f t="shared" si="28"/>
        <v>-320928100357.68378</v>
      </c>
      <c r="T54" s="10">
        <f t="shared" si="29"/>
        <v>3.2057861087632529E-4</v>
      </c>
      <c r="U54" s="283">
        <f t="shared" si="30"/>
        <v>3.3017944529610433E+19</v>
      </c>
    </row>
  </sheetData>
  <mergeCells count="2">
    <mergeCell ref="A18:F18"/>
    <mergeCell ref="O18:T18"/>
  </mergeCells>
  <conditionalFormatting sqref="F45:F54">
    <cfRule type="cellIs" dxfId="448" priority="63" operator="equal">
      <formula>MAX($F$45:$F$54)</formula>
    </cfRule>
  </conditionalFormatting>
  <conditionalFormatting sqref="F21:F30">
    <cfRule type="cellIs" dxfId="447" priority="61" operator="equal">
      <formula>MAX($F$21:$F$30)</formula>
    </cfRule>
  </conditionalFormatting>
  <conditionalFormatting sqref="E33:E42">
    <cfRule type="cellIs" dxfId="446" priority="59" stopIfTrue="1" operator="lessThan">
      <formula>0</formula>
    </cfRule>
    <cfRule type="cellIs" dxfId="445" priority="60" operator="equal">
      <formula>MIN($E$33:$E$42)</formula>
    </cfRule>
  </conditionalFormatting>
  <conditionalFormatting sqref="E21:E30">
    <cfRule type="cellIs" dxfId="444" priority="55" stopIfTrue="1" operator="lessThan">
      <formula>0</formula>
    </cfRule>
    <cfRule type="cellIs" dxfId="443" priority="56" operator="equal">
      <formula>MIN($E$21:$E$30)</formula>
    </cfRule>
  </conditionalFormatting>
  <conditionalFormatting sqref="E45:E54">
    <cfRule type="cellIs" dxfId="442" priority="51" stopIfTrue="1" operator="lessThan">
      <formula>0</formula>
    </cfRule>
    <cfRule type="cellIs" dxfId="441" priority="52" operator="equal">
      <formula>MIN($E$45:$E$54)</formula>
    </cfRule>
  </conditionalFormatting>
  <conditionalFormatting sqref="F33:F42">
    <cfRule type="cellIs" dxfId="440" priority="41" operator="lessThanOrEqual">
      <formula>0</formula>
    </cfRule>
    <cfRule type="cellIs" dxfId="439" priority="42" operator="equal">
      <formula>MAX($F$33:$F$42)</formula>
    </cfRule>
  </conditionalFormatting>
  <conditionalFormatting sqref="R7:R16">
    <cfRule type="cellIs" dxfId="438" priority="27" operator="lessThanOrEqual">
      <formula>0</formula>
    </cfRule>
    <cfRule type="cellIs" dxfId="437" priority="28" operator="greaterThan">
      <formula>0</formula>
    </cfRule>
  </conditionalFormatting>
  <conditionalFormatting sqref="T21:T30">
    <cfRule type="cellIs" dxfId="436" priority="19" operator="equal">
      <formula>MAX($T$21:$T$30)</formula>
    </cfRule>
  </conditionalFormatting>
  <conditionalFormatting sqref="S33:S42">
    <cfRule type="cellIs" dxfId="435" priority="17" stopIfTrue="1" operator="lessThan">
      <formula>0</formula>
    </cfRule>
    <cfRule type="cellIs" dxfId="434" priority="18" operator="equal">
      <formula>MIN($E$21:$E$30)</formula>
    </cfRule>
  </conditionalFormatting>
  <conditionalFormatting sqref="T33:T42">
    <cfRule type="cellIs" dxfId="433" priority="16" operator="equal">
      <formula>MAX($T$21:$T$30)</formula>
    </cfRule>
  </conditionalFormatting>
  <conditionalFormatting sqref="S45:S54">
    <cfRule type="cellIs" dxfId="432" priority="14" stopIfTrue="1" operator="lessThan">
      <formula>0</formula>
    </cfRule>
    <cfRule type="cellIs" dxfId="431" priority="15" operator="equal">
      <formula>MIN($E$21:$E$30)</formula>
    </cfRule>
  </conditionalFormatting>
  <conditionalFormatting sqref="T45:T54">
    <cfRule type="cellIs" dxfId="430" priority="13" operator="equal">
      <formula>MAX($T$21:$T$30)</formula>
    </cfRule>
  </conditionalFormatting>
  <conditionalFormatting sqref="S21:S30">
    <cfRule type="cellIs" dxfId="429" priority="11" stopIfTrue="1" operator="lessThan">
      <formula>0</formula>
    </cfRule>
    <cfRule type="cellIs" dxfId="428" priority="12" operator="equal">
      <formula>MIN($E$21:$E$30)</formula>
    </cfRule>
  </conditionalFormatting>
  <conditionalFormatting sqref="U7:U16">
    <cfRule type="cellIs" dxfId="427" priority="7" operator="lessThanOrEqual">
      <formula>0</formula>
    </cfRule>
    <cfRule type="cellIs" dxfId="426" priority="8" operator="greaterThan">
      <formula>0</formula>
    </cfRule>
  </conditionalFormatting>
  <conditionalFormatting sqref="S7:T16">
    <cfRule type="cellIs" dxfId="425" priority="1" operator="lessThanOrEqual">
      <formula>0</formula>
    </cfRule>
    <cfRule type="cellIs" dxfId="42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49" t="s">
        <v>125</v>
      </c>
      <c r="C2" s="155">
        <f>Analysis!B44</f>
        <v>0.33485542418995212</v>
      </c>
      <c r="D2" s="149" t="s">
        <v>126</v>
      </c>
      <c r="E2" s="155">
        <f>Analysis!K44</f>
        <v>0.66514457581004782</v>
      </c>
      <c r="F2" s="149" t="s">
        <v>47</v>
      </c>
      <c r="G2" s="155">
        <f>Analysis!S44</f>
        <v>9.9551238731162357</v>
      </c>
      <c r="H2" t="s">
        <v>155</v>
      </c>
      <c r="I2" s="169">
        <f>Analysis!T44</f>
        <v>-10.537881893274053</v>
      </c>
      <c r="J2" t="s">
        <v>48</v>
      </c>
      <c r="K2" s="169">
        <f>C2*G2+E2*I2</f>
        <v>-3.675687754442297</v>
      </c>
      <c r="L2" t="s">
        <v>47</v>
      </c>
      <c r="M2" s="176">
        <v>3</v>
      </c>
      <c r="N2" t="s">
        <v>155</v>
      </c>
      <c r="O2" s="176">
        <v>6</v>
      </c>
    </row>
    <row r="4" spans="1:23" x14ac:dyDescent="0.2">
      <c r="A4" t="s">
        <v>123</v>
      </c>
      <c r="B4">
        <f>$C$2</f>
        <v>0.33485542418995212</v>
      </c>
      <c r="C4" t="s">
        <v>124</v>
      </c>
      <c r="D4">
        <f>$E$2</f>
        <v>0.66514457581004782</v>
      </c>
      <c r="E4" t="s">
        <v>47</v>
      </c>
      <c r="F4">
        <f>G2</f>
        <v>9.9551238731162357</v>
      </c>
      <c r="G4" t="s">
        <v>155</v>
      </c>
      <c r="H4">
        <f>I2</f>
        <v>-10.537881893274053</v>
      </c>
      <c r="I4" t="s">
        <v>48</v>
      </c>
      <c r="J4">
        <f>K2</f>
        <v>-3.675687754442297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263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0.33485542418995212</v>
      </c>
      <c r="C7" s="95">
        <v>1</v>
      </c>
      <c r="D7" s="22">
        <f>C7*D4</f>
        <v>0.66514457581004782</v>
      </c>
      <c r="E7" s="2"/>
      <c r="F7" s="2"/>
      <c r="G7" s="2"/>
      <c r="H7" s="2"/>
      <c r="I7" s="2"/>
      <c r="J7" s="2"/>
      <c r="K7" s="2"/>
      <c r="L7" s="2"/>
      <c r="M7" s="256"/>
      <c r="N7" s="96">
        <f>B7+D7</f>
        <v>1</v>
      </c>
      <c r="R7" s="296">
        <f>B7-D7</f>
        <v>-0.3302891516200957</v>
      </c>
      <c r="S7" s="297">
        <f>SUM(C7)*B4*F4*POWER(O2,A7-1)</f>
        <v>3.3335272273958561</v>
      </c>
      <c r="T7" s="276">
        <f>SUM(C7)*D4*H4*POWER(O2,A7-1)</f>
        <v>-7.0092149818381531</v>
      </c>
      <c r="U7" s="294">
        <f>S7+T7</f>
        <v>-3.675687754442297</v>
      </c>
      <c r="V7" s="109">
        <f>(U7+W7*D7)/B7</f>
        <v>-8.9905761147965464</v>
      </c>
      <c r="W7" s="57">
        <f>COUNT(D7:M7)</f>
        <v>1</v>
      </c>
    </row>
    <row r="8" spans="1:23" x14ac:dyDescent="0.2">
      <c r="A8" s="99">
        <v>2</v>
      </c>
      <c r="B8" s="97">
        <f>C8*B4</f>
        <v>0.43080814605940487</v>
      </c>
      <c r="C8" s="97">
        <f>1/(1-B4*D4)</f>
        <v>1.286549701566196</v>
      </c>
      <c r="D8" s="144">
        <f>C8*D4</f>
        <v>0.85574155550679099</v>
      </c>
      <c r="E8" s="1">
        <f>D8*D4</f>
        <v>0.56919185394059502</v>
      </c>
      <c r="F8" s="1"/>
      <c r="G8" s="1"/>
      <c r="H8" s="1"/>
      <c r="I8" s="1"/>
      <c r="J8" s="1"/>
      <c r="K8" s="1"/>
      <c r="L8" s="1"/>
      <c r="M8" s="257"/>
      <c r="N8" s="97">
        <f>B8+E8</f>
        <v>0.99999999999999989</v>
      </c>
      <c r="R8" s="298">
        <f>B8-E8</f>
        <v>-0.13838370788119014</v>
      </c>
      <c r="S8" s="299">
        <f>SUM(C8:D8)*B4*F4*POWER(O2,A8-1)</f>
        <v>42.848317406789391</v>
      </c>
      <c r="T8" s="277">
        <f>SUM(C8:D8)*D4*H4*POWER(O2,A8-1)</f>
        <v>-90.094679847221229</v>
      </c>
      <c r="U8" s="295">
        <f>S8+T8+U7</f>
        <v>-50.922050194874132</v>
      </c>
      <c r="V8" s="93">
        <f>(U8+W8*E8)/B8</f>
        <v>-115.55878630049904</v>
      </c>
      <c r="W8" s="9">
        <f>COUNT(D8:M8)</f>
        <v>2</v>
      </c>
    </row>
    <row r="9" spans="1:23" x14ac:dyDescent="0.2">
      <c r="A9" s="99">
        <v>3</v>
      </c>
      <c r="B9" s="97">
        <f>C9*B4</f>
        <v>0.46934653321337272</v>
      </c>
      <c r="C9" s="97">
        <f>1/(1-D4*B4/(1-D4*B4))</f>
        <v>1.4016393324037313</v>
      </c>
      <c r="D9" s="144">
        <f>C9*D4*C8</f>
        <v>1.1994410225706691</v>
      </c>
      <c r="E9" s="1">
        <f>D9*(D4)</f>
        <v>0.79780169016693769</v>
      </c>
      <c r="F9" s="1">
        <f>E9*D4</f>
        <v>0.53065346678662695</v>
      </c>
      <c r="G9" s="1"/>
      <c r="H9" s="1"/>
      <c r="I9" s="1"/>
      <c r="J9" s="1"/>
      <c r="K9" s="1"/>
      <c r="L9" s="1"/>
      <c r="M9" s="257"/>
      <c r="N9" s="97">
        <f>B9+F9</f>
        <v>0.99999999999999967</v>
      </c>
      <c r="R9" s="298">
        <f>B9-F9</f>
        <v>-6.130693357325423E-2</v>
      </c>
      <c r="S9" s="299">
        <f>SUM(C9:E9)*B4*F4*POWER(O2,A9-1)</f>
        <v>407.88957024668025</v>
      </c>
      <c r="T9" s="277">
        <f>SUM(C9:E9)*D4*H4*POWER(O2,A9-1)</f>
        <v>-857.64581828299322</v>
      </c>
      <c r="U9" s="295">
        <f t="shared" ref="U9:U16" si="0">S9+T9+U8</f>
        <v>-500.67829823118711</v>
      </c>
      <c r="V9" s="93">
        <f>(U9+W9*F9)/B9</f>
        <v>-1063.3642788705426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0.48683817149430514</v>
      </c>
      <c r="C10" s="97">
        <f>1/(1-D4*B4/(1-D4*B4/(1-D4*B4)))</f>
        <v>1.4538757216551415</v>
      </c>
      <c r="D10" s="144">
        <f>C10*D4*C9</f>
        <v>1.3554378662167743</v>
      </c>
      <c r="E10" s="1">
        <f>D10*D4*C8</f>
        <v>1.1599045080291484</v>
      </c>
      <c r="F10" s="1">
        <f>E10*D4</f>
        <v>0.77150419197321007</v>
      </c>
      <c r="G10" s="1">
        <f>F10*D4</f>
        <v>0.51316182850569447</v>
      </c>
      <c r="H10" s="1"/>
      <c r="I10" s="1"/>
      <c r="J10" s="1"/>
      <c r="K10" s="1"/>
      <c r="L10" s="1"/>
      <c r="M10" s="257"/>
      <c r="N10" s="97">
        <f>B10+G10</f>
        <v>0.99999999999999956</v>
      </c>
      <c r="R10" s="298">
        <f>B10-G10</f>
        <v>-2.6323657011389334E-2</v>
      </c>
      <c r="S10" s="299">
        <f>SUM(C10:F10)*B4*F4*POWER(O2,A10-1)</f>
        <v>3413.5185940166743</v>
      </c>
      <c r="T10" s="277">
        <f>SUM(C10:F10)*D4*H4*POWER(O2,A10-1)</f>
        <v>-7177.4082039389205</v>
      </c>
      <c r="U10" s="295">
        <f t="shared" si="0"/>
        <v>-4264.5679081534336</v>
      </c>
      <c r="V10" s="93">
        <f>(U10+W10*G10)/B10</f>
        <v>-8755.5074980172794</v>
      </c>
      <c r="W10" s="9">
        <f t="shared" si="1"/>
        <v>4</v>
      </c>
    </row>
    <row r="11" spans="1:23" x14ac:dyDescent="0.2">
      <c r="A11" s="99">
        <v>5</v>
      </c>
      <c r="B11" s="97">
        <f>C11*B4</f>
        <v>0.49521476441014656</v>
      </c>
      <c r="C11" s="97">
        <f>1/(1-D4*B4/(1-D4*B4/(1-D4*B4/(1-D4*B4))))</f>
        <v>1.4788912725786638</v>
      </c>
      <c r="D11" s="144">
        <f>C11*D4*C10</f>
        <v>1.4301433931887124</v>
      </c>
      <c r="E11" s="1">
        <f>D11*D4*C9</f>
        <v>1.3333123872795023</v>
      </c>
      <c r="F11" s="1">
        <f>E11*D4*C8</f>
        <v>1.1409708162670344</v>
      </c>
      <c r="G11" s="1">
        <f>F11*D4</f>
        <v>0.75891054959758064</v>
      </c>
      <c r="H11" s="1">
        <f>G11*D4</f>
        <v>0.504785235589853</v>
      </c>
      <c r="I11" s="1"/>
      <c r="J11" s="1"/>
      <c r="K11" s="1"/>
      <c r="L11" s="1"/>
      <c r="M11" s="257"/>
      <c r="N11" s="97">
        <f>B11+H11</f>
        <v>0.99999999999999956</v>
      </c>
      <c r="R11" s="298">
        <f>B11-H11</f>
        <v>-9.5704711797064412E-3</v>
      </c>
      <c r="S11" s="299">
        <f>SUM(C11:G11)*B4*F4*POWER(O2,A11-1)</f>
        <v>26535.970230038583</v>
      </c>
      <c r="T11" s="277">
        <f>SUM(C11:G11)*D4*H4*POWER(O2,A11-1)</f>
        <v>-55795.65049459564</v>
      </c>
      <c r="U11" s="295">
        <f t="shared" si="0"/>
        <v>-33524.24817271049</v>
      </c>
      <c r="V11" s="93">
        <f>(U11+W11*H11)/B11</f>
        <v>-67691.285994795573</v>
      </c>
      <c r="W11" s="9">
        <f t="shared" si="1"/>
        <v>5</v>
      </c>
    </row>
    <row r="12" spans="1:23" x14ac:dyDescent="0.2">
      <c r="A12" s="99">
        <v>6</v>
      </c>
      <c r="B12" s="97">
        <f>C12*B4</f>
        <v>0.49932916566561319</v>
      </c>
      <c r="C12" s="97">
        <f>1/(1-D4*B4/(1-D4*B4/(1-D4*B4/(1-D4*B4/(1-D4*B4)))))</f>
        <v>1.4911783701086494</v>
      </c>
      <c r="D12" s="144">
        <f>C12*D4*C11</f>
        <v>1.466837132164897</v>
      </c>
      <c r="E12" s="1">
        <f>D12*D4*C10</f>
        <v>1.4184865867736887</v>
      </c>
      <c r="F12" s="1">
        <f>E12*D4*C9</f>
        <v>1.3224448305972194</v>
      </c>
      <c r="G12" s="1">
        <f>F12*D4*C8</f>
        <v>1.1316709964071794</v>
      </c>
      <c r="H12" s="1">
        <f>G12*D4</f>
        <v>0.75272482486178749</v>
      </c>
      <c r="I12" s="1">
        <f>H12*D4</f>
        <v>0.50067083433438619</v>
      </c>
      <c r="J12" s="1"/>
      <c r="K12" s="1"/>
      <c r="L12" s="1"/>
      <c r="M12" s="257"/>
      <c r="N12" s="97">
        <f>B12+I12</f>
        <v>0.99999999999999933</v>
      </c>
      <c r="R12" s="298">
        <f>B12-I12</f>
        <v>-1.3416686687729995E-3</v>
      </c>
      <c r="S12" s="299">
        <f>SUM(C12:H12)*B4*F4*POWER(O2,A12-1)</f>
        <v>196571.67740373872</v>
      </c>
      <c r="T12" s="277">
        <f>SUM(C12:H12)*D4*H4*POWER(O2,A12-1)</f>
        <v>-413319.90179653832</v>
      </c>
      <c r="U12" s="295">
        <f t="shared" si="0"/>
        <v>-250272.47256551008</v>
      </c>
      <c r="V12" s="93">
        <f>(U12+W12*I12)/B12</f>
        <v>-501211.39670840406</v>
      </c>
      <c r="W12" s="9">
        <f t="shared" si="1"/>
        <v>6</v>
      </c>
    </row>
    <row r="13" spans="1:23" x14ac:dyDescent="0.2">
      <c r="A13" s="99">
        <v>7</v>
      </c>
      <c r="B13" s="97">
        <f>C13*B4</f>
        <v>0.50137521052093437</v>
      </c>
      <c r="C13" s="97">
        <f>1/(1-D4*B4/(1-D4*B4/(1-D4*B4/(1-D4*B4/(1-D4*B4/(1-D4*B4))))))</f>
        <v>1.4972886036826485</v>
      </c>
      <c r="D13" s="144">
        <f>C13*D4*C12</f>
        <v>1.4850845103842591</v>
      </c>
      <c r="E13" s="1">
        <f>D13*D4*C11</f>
        <v>1.46084274550994</v>
      </c>
      <c r="F13" s="1">
        <f>E13*D4*C10</f>
        <v>1.4126897897881623</v>
      </c>
      <c r="G13" s="1">
        <f>F13*D4*C9</f>
        <v>1.3170405185092449</v>
      </c>
      <c r="H13" s="1">
        <f>G13*D4*C8</f>
        <v>1.1270463019745718</v>
      </c>
      <c r="I13" s="1">
        <f>H13*D4</f>
        <v>0.74964873444515956</v>
      </c>
      <c r="J13" s="1">
        <f>I13*D4</f>
        <v>0.49862478947906486</v>
      </c>
      <c r="K13" s="1"/>
      <c r="L13" s="1"/>
      <c r="M13" s="257"/>
      <c r="N13" s="97">
        <f>B13+J13</f>
        <v>0.99999999999999922</v>
      </c>
      <c r="R13" s="298">
        <f>B13-J13</f>
        <v>2.7504210418695108E-3</v>
      </c>
      <c r="S13" s="299">
        <f>SUM(C13:I13)*B4*F4*POWER(O2,A13-1)</f>
        <v>1407482.0660545181</v>
      </c>
      <c r="T13" s="277">
        <f>SUM(C13:I13)*D4*H4*POWER(O2,A13-1)</f>
        <v>-2959431.1703776391</v>
      </c>
      <c r="U13" s="295">
        <f t="shared" si="0"/>
        <v>-1802221.5768886311</v>
      </c>
      <c r="V13" s="93">
        <f>(U13+W13*J13)/B13</f>
        <v>-3594549.6480421922</v>
      </c>
      <c r="W13" s="9">
        <f t="shared" si="1"/>
        <v>7</v>
      </c>
    </row>
    <row r="14" spans="1:23" x14ac:dyDescent="0.2">
      <c r="A14" s="99">
        <v>8</v>
      </c>
      <c r="B14" s="97">
        <f>C14*B4</f>
        <v>0.50239894053964007</v>
      </c>
      <c r="C14" s="97">
        <f>1/(1-D4*B4/(1-D4*B4/(1-D4*B4/(1-D4*B4/(1-D4*B4/(1-D4*B4/(1-D4*B4)))))))</f>
        <v>1.500345833593683</v>
      </c>
      <c r="D14" s="144">
        <f>C14*D4*C13</f>
        <v>1.4942145100503252</v>
      </c>
      <c r="E14" s="1">
        <f>D14*D4*C12</f>
        <v>1.482035473060656</v>
      </c>
      <c r="F14" s="1">
        <f>E14*D4*C11</f>
        <v>1.4578434791221826</v>
      </c>
      <c r="G14" s="1">
        <f>F14*D4*C10</f>
        <v>1.4097893865682656</v>
      </c>
      <c r="H14" s="1">
        <f>G14*D4*C9</f>
        <v>1.3143364934725867</v>
      </c>
      <c r="I14" s="1">
        <f>H14*D4*C8</f>
        <v>1.1247323553835726</v>
      </c>
      <c r="J14" s="1">
        <f>I14*D4</f>
        <v>0.74810962542144233</v>
      </c>
      <c r="K14" s="1">
        <f>J14*D4</f>
        <v>0.49760105946035904</v>
      </c>
      <c r="L14" s="1"/>
      <c r="M14" s="257"/>
      <c r="N14" s="97">
        <f>B14+K14</f>
        <v>0.99999999999999911</v>
      </c>
      <c r="R14" s="298">
        <f>B14-K14</f>
        <v>4.79788107928103E-3</v>
      </c>
      <c r="S14" s="299">
        <f>SUM(C14:J14)*B4*F4*POWER(O2,A14-1)</f>
        <v>9827638.2689968478</v>
      </c>
      <c r="T14" s="277">
        <f>SUM(C14:J14)*D4*H4*POWER(O2,A14-1)</f>
        <v>-20664006.828871988</v>
      </c>
      <c r="U14" s="295">
        <f t="shared" si="0"/>
        <v>-12638590.13676377</v>
      </c>
      <c r="V14" s="93">
        <f>(U14+W14*K14)/B14</f>
        <v>-25156474.538699966</v>
      </c>
      <c r="W14" s="9">
        <f t="shared" si="1"/>
        <v>8</v>
      </c>
    </row>
    <row r="15" spans="1:23" x14ac:dyDescent="0.2">
      <c r="A15" s="99">
        <v>9</v>
      </c>
      <c r="B15" s="97">
        <f>C15*B4</f>
        <v>0.50291273036283979</v>
      </c>
      <c r="C15" s="97">
        <f>1/(1-D4*B4/(1-D4*B4/(1-D4*B4/(1-D4*B4/(1-D4*B4/(1-D4*B4/(1-D4*B4/(1-D4*B4))))))))</f>
        <v>1.5018801967429216</v>
      </c>
      <c r="D15" s="144">
        <f>C15*D4*C14</f>
        <v>1.4987966760789933</v>
      </c>
      <c r="E15" s="1">
        <f>D15*D4*C13</f>
        <v>1.4926716833333287</v>
      </c>
      <c r="F15" s="1">
        <f>E15*D4*C12</f>
        <v>1.4805052216088095</v>
      </c>
      <c r="G15" s="1">
        <f>F15*D4*C11</f>
        <v>1.4563382067174104</v>
      </c>
      <c r="H15" s="1">
        <f>G15*D4*C10</f>
        <v>1.40833373162963</v>
      </c>
      <c r="I15" s="1">
        <f>H15*D4*C9</f>
        <v>1.3129793968551908</v>
      </c>
      <c r="J15" s="1">
        <f>I15*D4*C8</f>
        <v>1.1235710314132292</v>
      </c>
      <c r="K15" s="1">
        <f>J15*D4</f>
        <v>0.74733717708181024</v>
      </c>
      <c r="L15" s="1">
        <f>K15*D4</f>
        <v>0.49708726963715927</v>
      </c>
      <c r="M15" s="257"/>
      <c r="N15" s="97">
        <f>B15+L15</f>
        <v>0.99999999999999911</v>
      </c>
      <c r="R15" s="298">
        <f>B15-L15</f>
        <v>5.8254607256805202E-3</v>
      </c>
      <c r="S15" s="299">
        <f>SUM(C15:K15)*B4*F4*POWER(O2,A15-1)</f>
        <v>67314041.221260503</v>
      </c>
      <c r="T15" s="277">
        <f>SUM(C15:K15)*D4*H4*POWER(O2,A15-1)</f>
        <v>-141537342.88971555</v>
      </c>
      <c r="U15" s="295">
        <f t="shared" si="0"/>
        <v>-86861891.805218816</v>
      </c>
      <c r="V15" s="93">
        <f>(U15+W15*L15)/B15</f>
        <v>-172717614.98016676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0.50317098756071921</v>
      </c>
      <c r="C16" s="145">
        <f>1/(1-D4*B4/(1-D4*B4/(1-D4*B4/(1-D4*B4/(1-D4*B4/(1-D4*B4/(1-D4*B4/(1-D4*B4/(1-D4*B4)))))))))</f>
        <v>1.5026514465994953</v>
      </c>
      <c r="D16" s="153">
        <f>C16*D4*C15</f>
        <v>1.5010999084618626</v>
      </c>
      <c r="E16" s="111">
        <f>D16*D4*C14</f>
        <v>1.498017989813224</v>
      </c>
      <c r="F16" s="111">
        <f>E16*D4*C13</f>
        <v>1.4918961792521779</v>
      </c>
      <c r="G16" s="111">
        <f>F16*D4*C12</f>
        <v>1.4797360385028777</v>
      </c>
      <c r="H16" s="111">
        <f>G16*D4*C11</f>
        <v>1.455581579365625</v>
      </c>
      <c r="I16" s="111">
        <f>H16*D4*C10</f>
        <v>1.4076020445689748</v>
      </c>
      <c r="J16" s="111">
        <f>I16*D4*C9</f>
        <v>1.3122972502772812</v>
      </c>
      <c r="K16" s="111">
        <f>J16*D4*C8</f>
        <v>1.1229872902395652</v>
      </c>
      <c r="L16" s="111">
        <f>K16*D4</f>
        <v>0.74694890480647069</v>
      </c>
      <c r="M16" s="259">
        <f>L16*D4</f>
        <v>0.49682901243927974</v>
      </c>
      <c r="N16" s="145">
        <f>B16+M16</f>
        <v>0.99999999999999889</v>
      </c>
      <c r="R16" s="300">
        <f>B16-M16</f>
        <v>6.3419751214394693E-3</v>
      </c>
      <c r="S16" s="301">
        <f>SUM(C16:L16)*B4*F4*POWER(O2,A16-1)</f>
        <v>454154897.34918481</v>
      </c>
      <c r="T16" s="278">
        <f>SUM(C16:L16)*D4*H4*POWER(O2,A16-1)</f>
        <v>-954925246.87186599</v>
      </c>
      <c r="U16" s="295">
        <f t="shared" si="0"/>
        <v>-587632241.32789993</v>
      </c>
      <c r="V16" s="94">
        <f>(U16+W16*M16)/B16</f>
        <v>-1167857946.6760261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6</v>
      </c>
      <c r="D21" s="57">
        <f>SUM($C$21:C21)</f>
        <v>6</v>
      </c>
      <c r="E21" s="57">
        <f t="shared" ref="E21:E30" si="3">D21/R7</f>
        <v>-18.165900910064718</v>
      </c>
      <c r="F21" s="8">
        <f t="shared" ref="F21:F30" si="4">U7/E21</f>
        <v>0.20233996500585349</v>
      </c>
      <c r="G21" s="281">
        <f>E21*U7</f>
        <v>66.772179523537062</v>
      </c>
      <c r="O21" s="101">
        <v>1</v>
      </c>
      <c r="P21" s="109">
        <v>1</v>
      </c>
      <c r="Q21" s="110">
        <f>P21*6+15</f>
        <v>21</v>
      </c>
      <c r="R21" s="57">
        <f>SUM($Q$21)</f>
        <v>21</v>
      </c>
      <c r="S21" s="276">
        <f>R21/R7</f>
        <v>-63.58065318522651</v>
      </c>
      <c r="T21" s="8">
        <f>U7/S21</f>
        <v>5.7811418573101001E-2</v>
      </c>
      <c r="U21" s="281">
        <f>S21*U7</f>
        <v>233.7026283323797</v>
      </c>
    </row>
    <row r="22" spans="1:21" x14ac:dyDescent="0.2">
      <c r="A22" s="97">
        <v>2</v>
      </c>
      <c r="B22" s="93">
        <f>C21</f>
        <v>6</v>
      </c>
      <c r="C22" s="1">
        <f t="shared" si="2"/>
        <v>36</v>
      </c>
      <c r="D22" s="9">
        <f>SUM($C$21:C22)</f>
        <v>42</v>
      </c>
      <c r="E22" s="9">
        <f t="shared" si="3"/>
        <v>-303.50393585391754</v>
      </c>
      <c r="F22" s="9">
        <f t="shared" si="4"/>
        <v>0.16778052663997056</v>
      </c>
      <c r="G22" s="282">
        <f t="shared" ref="G22:G30" si="5">E22*U8</f>
        <v>15455.042655895048</v>
      </c>
      <c r="O22" s="99">
        <v>2</v>
      </c>
      <c r="P22" s="93">
        <f>Q21</f>
        <v>21</v>
      </c>
      <c r="Q22" s="1">
        <f t="shared" ref="Q22:Q30" si="6">P22*6+15</f>
        <v>141</v>
      </c>
      <c r="R22" s="9">
        <f>SUM($Q$21:Q22)</f>
        <v>162</v>
      </c>
      <c r="S22" s="277">
        <f t="shared" ref="S22:S30" si="7">R22/R8</f>
        <v>-1170.658038293682</v>
      </c>
      <c r="T22" s="9">
        <f>U8/S22</f>
        <v>4.3498655054807184E-2</v>
      </c>
      <c r="U22" s="282">
        <f t="shared" ref="U22:U30" si="8">S22*U8</f>
        <v>59612.307387023757</v>
      </c>
    </row>
    <row r="23" spans="1:21" x14ac:dyDescent="0.2">
      <c r="A23" s="97">
        <v>3</v>
      </c>
      <c r="B23" s="93">
        <f t="shared" ref="B23:B30" si="9">C22</f>
        <v>36</v>
      </c>
      <c r="C23" s="1">
        <f t="shared" si="2"/>
        <v>216</v>
      </c>
      <c r="D23" s="9">
        <f>SUM($C$21:C23)</f>
        <v>258</v>
      </c>
      <c r="E23" s="9">
        <f t="shared" si="3"/>
        <v>-4208.33313562685</v>
      </c>
      <c r="F23" s="9">
        <f t="shared" si="4"/>
        <v>0.11897306655515257</v>
      </c>
      <c r="G23" s="282">
        <f t="shared" si="5"/>
        <v>2107021.0727355666</v>
      </c>
      <c r="O23" s="99">
        <v>3</v>
      </c>
      <c r="P23" s="93">
        <f t="shared" ref="P23:P30" si="10">Q22</f>
        <v>141</v>
      </c>
      <c r="Q23" s="1">
        <f t="shared" si="6"/>
        <v>861</v>
      </c>
      <c r="R23" s="9">
        <f>SUM($Q$21:Q23)</f>
        <v>1023</v>
      </c>
      <c r="S23" s="277">
        <f t="shared" si="7"/>
        <v>-16686.530223822745</v>
      </c>
      <c r="T23" s="9">
        <f t="shared" ref="T23:T30" si="11">U9/S23</f>
        <v>3.0004937606284806E-2</v>
      </c>
      <c r="U23" s="282">
        <f t="shared" si="8"/>
        <v>8354583.555846842</v>
      </c>
    </row>
    <row r="24" spans="1:21" x14ac:dyDescent="0.2">
      <c r="A24" s="97">
        <v>4</v>
      </c>
      <c r="B24" s="93">
        <f t="shared" si="9"/>
        <v>216</v>
      </c>
      <c r="C24" s="1">
        <f t="shared" si="2"/>
        <v>1296</v>
      </c>
      <c r="D24" s="9">
        <f>SUM($C$21:C24)</f>
        <v>1554</v>
      </c>
      <c r="E24" s="9">
        <f t="shared" si="3"/>
        <v>-59034.350710755651</v>
      </c>
      <c r="F24" s="9">
        <f t="shared" si="4"/>
        <v>7.2238753485205337E-2</v>
      </c>
      <c r="G24" s="282">
        <f t="shared" si="5"/>
        <v>251755997.51976338</v>
      </c>
      <c r="O24" s="99">
        <v>4</v>
      </c>
      <c r="P24" s="93">
        <f t="shared" si="10"/>
        <v>861</v>
      </c>
      <c r="Q24" s="1">
        <f t="shared" si="6"/>
        <v>5181</v>
      </c>
      <c r="R24" s="9">
        <f>SUM($Q$21:Q24)</f>
        <v>6204</v>
      </c>
      <c r="S24" s="277">
        <f t="shared" si="7"/>
        <v>-235681.53913097046</v>
      </c>
      <c r="T24" s="9">
        <f t="shared" si="11"/>
        <v>1.8094620070278702E-2</v>
      </c>
      <c r="U24" s="282">
        <f t="shared" si="8"/>
        <v>1005079928.3221443</v>
      </c>
    </row>
    <row r="25" spans="1:21" x14ac:dyDescent="0.2">
      <c r="A25" s="97">
        <v>5</v>
      </c>
      <c r="B25" s="93">
        <f t="shared" si="9"/>
        <v>1296</v>
      </c>
      <c r="C25" s="1">
        <f t="shared" si="2"/>
        <v>7776</v>
      </c>
      <c r="D25" s="9">
        <f>SUM($C$21:C25)</f>
        <v>9330</v>
      </c>
      <c r="E25" s="9">
        <f t="shared" si="3"/>
        <v>-974873.63211370981</v>
      </c>
      <c r="F25" s="9">
        <f t="shared" si="4"/>
        <v>3.4388301281699042E-2</v>
      </c>
      <c r="G25" s="282">
        <f t="shared" si="5"/>
        <v>32681905580.011673</v>
      </c>
      <c r="O25" s="99">
        <v>5</v>
      </c>
      <c r="P25" s="93">
        <f t="shared" si="10"/>
        <v>5181</v>
      </c>
      <c r="Q25" s="1">
        <f t="shared" si="6"/>
        <v>31101</v>
      </c>
      <c r="R25" s="9">
        <f>SUM($Q$21:Q25)</f>
        <v>37305</v>
      </c>
      <c r="S25" s="277">
        <f t="shared" si="7"/>
        <v>-3897927.207502888</v>
      </c>
      <c r="T25" s="9">
        <f t="shared" si="11"/>
        <v>8.6005321259416175E-3</v>
      </c>
      <c r="U25" s="282">
        <f t="shared" si="8"/>
        <v>130675079063.4872</v>
      </c>
    </row>
    <row r="26" spans="1:21" x14ac:dyDescent="0.2">
      <c r="A26" s="97">
        <v>6</v>
      </c>
      <c r="B26" s="93">
        <f t="shared" si="9"/>
        <v>7776</v>
      </c>
      <c r="C26" s="1">
        <f t="shared" si="2"/>
        <v>46656</v>
      </c>
      <c r="D26" s="9">
        <f>SUM($C$21:C26)</f>
        <v>55986</v>
      </c>
      <c r="E26" s="9">
        <f t="shared" si="3"/>
        <v>-41728633.382488579</v>
      </c>
      <c r="F26" s="9">
        <f t="shared" si="4"/>
        <v>5.9976196745167533E-3</v>
      </c>
      <c r="G26" s="282">
        <f t="shared" si="5"/>
        <v>10443528253415.102</v>
      </c>
      <c r="O26" s="99">
        <v>6</v>
      </c>
      <c r="P26" s="93">
        <f t="shared" si="10"/>
        <v>31101</v>
      </c>
      <c r="Q26" s="1">
        <f t="shared" si="6"/>
        <v>186621</v>
      </c>
      <c r="R26" s="9">
        <f>SUM($Q$21:Q26)</f>
        <v>223926</v>
      </c>
      <c r="S26" s="277">
        <f t="shared" si="7"/>
        <v>-166901117.40090626</v>
      </c>
      <c r="T26" s="9">
        <f t="shared" si="11"/>
        <v>1.499525446341626E-3</v>
      </c>
      <c r="U26" s="282">
        <f t="shared" si="8"/>
        <v>41770755325871.289</v>
      </c>
    </row>
    <row r="27" spans="1:21" x14ac:dyDescent="0.2">
      <c r="A27" s="97">
        <v>7</v>
      </c>
      <c r="B27" s="93">
        <f t="shared" si="9"/>
        <v>46656</v>
      </c>
      <c r="C27" s="1">
        <f t="shared" si="2"/>
        <v>279936</v>
      </c>
      <c r="D27" s="9">
        <f>SUM($C$21:C27)</f>
        <v>335922</v>
      </c>
      <c r="E27" s="9">
        <f t="shared" si="3"/>
        <v>122134754.96524988</v>
      </c>
      <c r="F27" s="9">
        <f t="shared" si="4"/>
        <v>-1.4756009273538921E-2</v>
      </c>
      <c r="G27" s="282">
        <f t="shared" si="5"/>
        <v>-220113890686379.22</v>
      </c>
      <c r="O27" s="99">
        <v>7</v>
      </c>
      <c r="P27" s="93">
        <f t="shared" si="10"/>
        <v>186621</v>
      </c>
      <c r="Q27" s="1">
        <f t="shared" si="6"/>
        <v>1119741</v>
      </c>
      <c r="R27" s="9">
        <f>SUM($Q$21:Q27)</f>
        <v>1343667</v>
      </c>
      <c r="S27" s="277">
        <f t="shared" si="7"/>
        <v>488531384.66635835</v>
      </c>
      <c r="T27" s="9">
        <f t="shared" si="11"/>
        <v>-3.6890599733309971E-3</v>
      </c>
      <c r="U27" s="282">
        <f t="shared" si="8"/>
        <v>-880441802432990.75</v>
      </c>
    </row>
    <row r="28" spans="1:21" x14ac:dyDescent="0.2">
      <c r="A28" s="97">
        <v>8</v>
      </c>
      <c r="B28" s="93">
        <f t="shared" si="9"/>
        <v>279936</v>
      </c>
      <c r="C28" s="1">
        <f t="shared" si="2"/>
        <v>1679616</v>
      </c>
      <c r="D28" s="9">
        <f>SUM($C$21:C28)</f>
        <v>2015538</v>
      </c>
      <c r="E28" s="9">
        <f t="shared" si="3"/>
        <v>420089194.93728501</v>
      </c>
      <c r="F28" s="9">
        <f t="shared" si="4"/>
        <v>-3.008549205520647E-2</v>
      </c>
      <c r="G28" s="282">
        <f t="shared" si="5"/>
        <v>-5309335155695403</v>
      </c>
      <c r="O28" s="99">
        <v>8</v>
      </c>
      <c r="P28" s="93">
        <f t="shared" si="10"/>
        <v>1119741</v>
      </c>
      <c r="Q28" s="1">
        <f t="shared" si="6"/>
        <v>6718461</v>
      </c>
      <c r="R28" s="9">
        <f>SUM($Q$21:Q28)</f>
        <v>8062128</v>
      </c>
      <c r="S28" s="277">
        <f t="shared" si="7"/>
        <v>1680351777.5409563</v>
      </c>
      <c r="T28" s="9">
        <f t="shared" si="11"/>
        <v>-7.5213954040380818E-3</v>
      </c>
      <c r="U28" s="282">
        <f t="shared" si="8"/>
        <v>-2.12372774019226E+16</v>
      </c>
    </row>
    <row r="29" spans="1:21" x14ac:dyDescent="0.2">
      <c r="A29" s="97">
        <v>9</v>
      </c>
      <c r="B29" s="93">
        <f t="shared" si="9"/>
        <v>1679616</v>
      </c>
      <c r="C29" s="1">
        <f t="shared" si="2"/>
        <v>10077696</v>
      </c>
      <c r="D29" s="9">
        <f>SUM($C$21:C29)</f>
        <v>12093234</v>
      </c>
      <c r="E29" s="9">
        <f t="shared" si="3"/>
        <v>2075927479.2960327</v>
      </c>
      <c r="F29" s="9">
        <f t="shared" si="4"/>
        <v>-4.1842450023675461E-2</v>
      </c>
      <c r="G29" s="282">
        <f t="shared" si="5"/>
        <v>-1.8031898810209261E+17</v>
      </c>
      <c r="O29" s="99">
        <v>9</v>
      </c>
      <c r="P29" s="93">
        <f t="shared" si="10"/>
        <v>6718461</v>
      </c>
      <c r="Q29" s="1">
        <f t="shared" si="6"/>
        <v>40310781</v>
      </c>
      <c r="R29" s="9">
        <f>SUM($Q$21:Q29)</f>
        <v>48372909</v>
      </c>
      <c r="S29" s="277">
        <f t="shared" si="7"/>
        <v>8303705282.3575878</v>
      </c>
      <c r="T29" s="9">
        <f t="shared" si="11"/>
        <v>-1.0460618344652641E-2</v>
      </c>
      <c r="U29" s="282">
        <f t="shared" si="8"/>
        <v>-7.212755498185687E+17</v>
      </c>
    </row>
    <row r="30" spans="1:21" ht="17" thickBot="1" x14ac:dyDescent="0.25">
      <c r="A30" s="145">
        <v>10</v>
      </c>
      <c r="B30" s="94">
        <f t="shared" si="9"/>
        <v>10077696</v>
      </c>
      <c r="C30" s="111">
        <f t="shared" si="2"/>
        <v>60466176</v>
      </c>
      <c r="D30" s="10">
        <f>SUM($C$21:C30)</f>
        <v>72559410</v>
      </c>
      <c r="E30" s="10">
        <f t="shared" si="3"/>
        <v>11441137596.820284</v>
      </c>
      <c r="F30" s="10">
        <f t="shared" si="4"/>
        <v>-5.1361347274698842E-2</v>
      </c>
      <c r="G30" s="283">
        <f t="shared" si="5"/>
        <v>-6.7231813293604065E+18</v>
      </c>
      <c r="O30" s="100">
        <v>10</v>
      </c>
      <c r="P30" s="94">
        <f t="shared" si="10"/>
        <v>40310781</v>
      </c>
      <c r="Q30" s="111">
        <f t="shared" si="6"/>
        <v>241864701</v>
      </c>
      <c r="R30" s="10">
        <f>SUM($Q$21:Q30)</f>
        <v>290237610</v>
      </c>
      <c r="S30" s="278">
        <f t="shared" si="7"/>
        <v>45764545656.893608</v>
      </c>
      <c r="T30" s="10">
        <f t="shared" si="11"/>
        <v>-1.2840338145897962E-2</v>
      </c>
      <c r="U30" s="283">
        <f t="shared" si="8"/>
        <v>-2.6892722537713398E+19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6</v>
      </c>
      <c r="D33" s="57">
        <f>SUM($C$33:C33)</f>
        <v>6</v>
      </c>
      <c r="E33" s="9">
        <f t="shared" ref="E33:E42" si="13">D33/R7</f>
        <v>-18.165900910064718</v>
      </c>
      <c r="F33" s="8">
        <f t="shared" ref="F33:F42" si="14">U7/E33</f>
        <v>0.20233996500585349</v>
      </c>
      <c r="G33" s="284">
        <f>E33*U7</f>
        <v>66.772179523537062</v>
      </c>
      <c r="O33" s="101">
        <v>1</v>
      </c>
      <c r="P33" s="109">
        <v>1</v>
      </c>
      <c r="Q33" s="110">
        <f>P33*6+15</f>
        <v>21</v>
      </c>
      <c r="R33" s="57">
        <f>SUM($Q$21)</f>
        <v>21</v>
      </c>
      <c r="S33" s="276">
        <f>R33/R7</f>
        <v>-63.58065318522651</v>
      </c>
      <c r="T33" s="8">
        <f>U7/S33</f>
        <v>5.7811418573101001E-2</v>
      </c>
      <c r="U33" s="284">
        <f>S33*U7</f>
        <v>233.7026283323797</v>
      </c>
    </row>
    <row r="34" spans="1:21" x14ac:dyDescent="0.2">
      <c r="A34" s="97">
        <v>2</v>
      </c>
      <c r="B34" s="93">
        <f t="shared" ref="B34:B42" si="15">B33*($O$2+1)</f>
        <v>7</v>
      </c>
      <c r="C34" s="1">
        <f t="shared" si="12"/>
        <v>42</v>
      </c>
      <c r="D34" s="9">
        <f>SUM($C$33:C34)</f>
        <v>48</v>
      </c>
      <c r="E34" s="9">
        <f t="shared" si="13"/>
        <v>-346.8616409759058</v>
      </c>
      <c r="F34" s="9">
        <f t="shared" si="14"/>
        <v>0.14680796080997424</v>
      </c>
      <c r="G34" s="282">
        <f t="shared" ref="G34:G42" si="16">E34*U8</f>
        <v>17662.905892451487</v>
      </c>
      <c r="O34" s="99">
        <v>2</v>
      </c>
      <c r="P34" s="93">
        <f>Q33+1</f>
        <v>22</v>
      </c>
      <c r="Q34" s="1">
        <f t="shared" ref="Q34:Q42" si="17">P34*6+15</f>
        <v>147</v>
      </c>
      <c r="R34" s="9">
        <f>SUM($Q$33:Q34)</f>
        <v>168</v>
      </c>
      <c r="S34" s="277">
        <f>R34/R8</f>
        <v>-1214.0157434156702</v>
      </c>
      <c r="T34" s="9">
        <f t="shared" ref="T34:T42" si="18">U8/S34</f>
        <v>4.194513165999264E-2</v>
      </c>
      <c r="U34" s="282">
        <f t="shared" ref="U34:U42" si="19">S34*U8</f>
        <v>61820.17062358019</v>
      </c>
    </row>
    <row r="35" spans="1:21" x14ac:dyDescent="0.2">
      <c r="A35" s="97">
        <v>3</v>
      </c>
      <c r="B35" s="93">
        <f t="shared" si="15"/>
        <v>49</v>
      </c>
      <c r="C35" s="1">
        <f t="shared" si="12"/>
        <v>294</v>
      </c>
      <c r="D35" s="9">
        <f>SUM($C$33:C35)</f>
        <v>342</v>
      </c>
      <c r="E35" s="9">
        <f t="shared" si="13"/>
        <v>-5578.4881100169878</v>
      </c>
      <c r="F35" s="9">
        <f t="shared" si="14"/>
        <v>8.9751611611781745E-2</v>
      </c>
      <c r="G35" s="282">
        <f t="shared" si="16"/>
        <v>2793027.9336262168</v>
      </c>
      <c r="O35" s="99">
        <v>3</v>
      </c>
      <c r="P35" s="93">
        <f t="shared" ref="P35:P42" si="20">Q34+1</f>
        <v>148</v>
      </c>
      <c r="Q35" s="1">
        <f t="shared" si="17"/>
        <v>903</v>
      </c>
      <c r="R35" s="9">
        <f>SUM($Q$33:Q35)</f>
        <v>1071</v>
      </c>
      <c r="S35" s="277">
        <f t="shared" ref="S35:S42" si="21">R35/R9</f>
        <v>-17469.475923474252</v>
      </c>
      <c r="T35" s="9">
        <f t="shared" si="18"/>
        <v>2.8660178497879885E-2</v>
      </c>
      <c r="U35" s="282">
        <f t="shared" si="19"/>
        <v>8746587.4763557855</v>
      </c>
    </row>
    <row r="36" spans="1:21" x14ac:dyDescent="0.2">
      <c r="A36" s="97">
        <v>4</v>
      </c>
      <c r="B36" s="93">
        <f t="shared" si="15"/>
        <v>343</v>
      </c>
      <c r="C36" s="1">
        <f t="shared" si="12"/>
        <v>2058</v>
      </c>
      <c r="D36" s="9">
        <f>SUM($C$33:C36)</f>
        <v>2400</v>
      </c>
      <c r="E36" s="9">
        <f t="shared" si="13"/>
        <v>-91172.74241043345</v>
      </c>
      <c r="F36" s="9">
        <f t="shared" si="14"/>
        <v>4.6774592881670449E-2</v>
      </c>
      <c r="G36" s="282">
        <f t="shared" si="16"/>
        <v>388812351.38187402</v>
      </c>
      <c r="O36" s="99">
        <v>4</v>
      </c>
      <c r="P36" s="93">
        <f t="shared" si="20"/>
        <v>904</v>
      </c>
      <c r="Q36" s="1">
        <f t="shared" si="17"/>
        <v>5439</v>
      </c>
      <c r="R36" s="9">
        <f>SUM($Q$33:Q36)</f>
        <v>6510</v>
      </c>
      <c r="S36" s="277">
        <f t="shared" si="21"/>
        <v>-247306.0637883007</v>
      </c>
      <c r="T36" s="9">
        <f t="shared" si="18"/>
        <v>1.7244089541629658E-2</v>
      </c>
      <c r="U36" s="282">
        <f t="shared" si="19"/>
        <v>1054653503.1233331</v>
      </c>
    </row>
    <row r="37" spans="1:21" x14ac:dyDescent="0.2">
      <c r="A37" s="97">
        <v>5</v>
      </c>
      <c r="B37" s="93">
        <f t="shared" si="15"/>
        <v>2401</v>
      </c>
      <c r="C37" s="1">
        <f t="shared" si="12"/>
        <v>14406</v>
      </c>
      <c r="D37" s="9">
        <f>SUM($C$33:C37)</f>
        <v>16806</v>
      </c>
      <c r="E37" s="9">
        <f t="shared" si="13"/>
        <v>-1756026.3945662389</v>
      </c>
      <c r="F37" s="9">
        <f t="shared" si="14"/>
        <v>1.9090970543749378E-2</v>
      </c>
      <c r="G37" s="282">
        <f t="shared" si="16"/>
        <v>58869464649.268623</v>
      </c>
      <c r="O37" s="99">
        <v>5</v>
      </c>
      <c r="P37" s="93">
        <f t="shared" si="20"/>
        <v>5440</v>
      </c>
      <c r="Q37" s="1">
        <f t="shared" si="17"/>
        <v>32655</v>
      </c>
      <c r="R37" s="9">
        <f>SUM($Q$33:Q37)</f>
        <v>39165</v>
      </c>
      <c r="S37" s="277">
        <f t="shared" si="21"/>
        <v>-4092275.0055448497</v>
      </c>
      <c r="T37" s="9">
        <f t="shared" si="18"/>
        <v>8.192080964081503E-3</v>
      </c>
      <c r="U37" s="282">
        <f t="shared" si="19"/>
        <v>137190442876.86574</v>
      </c>
    </row>
    <row r="38" spans="1:21" x14ac:dyDescent="0.2">
      <c r="A38" s="97">
        <v>6</v>
      </c>
      <c r="B38" s="93">
        <f t="shared" si="15"/>
        <v>16807</v>
      </c>
      <c r="C38" s="1">
        <f t="shared" si="12"/>
        <v>100842</v>
      </c>
      <c r="D38" s="9">
        <f>SUM($C$33:C38)</f>
        <v>117648</v>
      </c>
      <c r="E38" s="9">
        <f t="shared" si="13"/>
        <v>-87687819.458132684</v>
      </c>
      <c r="F38" s="9">
        <f t="shared" si="14"/>
        <v>2.8541304152853849E-3</v>
      </c>
      <c r="G38" s="282">
        <f t="shared" si="16"/>
        <v>21945847389664.914</v>
      </c>
      <c r="O38" s="99">
        <v>6</v>
      </c>
      <c r="P38" s="93">
        <f t="shared" si="20"/>
        <v>32656</v>
      </c>
      <c r="Q38" s="1">
        <f t="shared" si="17"/>
        <v>195951</v>
      </c>
      <c r="R38" s="9">
        <f>SUM($Q$33:Q38)</f>
        <v>235116</v>
      </c>
      <c r="S38" s="277">
        <f t="shared" si="21"/>
        <v>-175241477.62578475</v>
      </c>
      <c r="T38" s="9">
        <f t="shared" si="18"/>
        <v>1.4281577395732104E-3</v>
      </c>
      <c r="U38" s="282">
        <f t="shared" si="19"/>
        <v>43858117901438.664</v>
      </c>
    </row>
    <row r="39" spans="1:21" x14ac:dyDescent="0.2">
      <c r="A39" s="97">
        <v>7</v>
      </c>
      <c r="B39" s="93">
        <f t="shared" si="15"/>
        <v>117649</v>
      </c>
      <c r="C39" s="1">
        <f t="shared" si="12"/>
        <v>705894</v>
      </c>
      <c r="D39" s="9">
        <f>SUM($C$33:C39)</f>
        <v>823542</v>
      </c>
      <c r="E39" s="9">
        <f t="shared" si="13"/>
        <v>299423974.53454024</v>
      </c>
      <c r="F39" s="9">
        <f t="shared" si="14"/>
        <v>-6.0189621745894454E-3</v>
      </c>
      <c r="G39" s="282">
        <f t="shared" si="16"/>
        <v>-539628347543900.44</v>
      </c>
      <c r="O39" s="99">
        <v>7</v>
      </c>
      <c r="P39" s="93">
        <f t="shared" si="20"/>
        <v>195952</v>
      </c>
      <c r="Q39" s="1">
        <f t="shared" si="17"/>
        <v>1175727</v>
      </c>
      <c r="R39" s="9">
        <f>SUM($Q$33:Q39)</f>
        <v>1410843</v>
      </c>
      <c r="S39" s="277">
        <f t="shared" si="21"/>
        <v>512955281.58155179</v>
      </c>
      <c r="T39" s="9">
        <f t="shared" si="18"/>
        <v>-3.5134087543303837E-3</v>
      </c>
      <c r="U39" s="282">
        <f t="shared" si="19"/>
        <v>-924459076445256</v>
      </c>
    </row>
    <row r="40" spans="1:21" x14ac:dyDescent="0.2">
      <c r="A40" s="97">
        <v>8</v>
      </c>
      <c r="B40" s="93">
        <f t="shared" si="15"/>
        <v>823543</v>
      </c>
      <c r="C40" s="1">
        <f t="shared" si="12"/>
        <v>4941258</v>
      </c>
      <c r="D40" s="9">
        <f>SUM($C$33:C40)</f>
        <v>5764800</v>
      </c>
      <c r="E40" s="9">
        <f t="shared" si="13"/>
        <v>1201530405.7648432</v>
      </c>
      <c r="F40" s="9">
        <f t="shared" si="14"/>
        <v>-1.0518743492569862E-2</v>
      </c>
      <c r="G40" s="282">
        <f t="shared" si="16"/>
        <v>-1.5185650335321318E+16</v>
      </c>
      <c r="O40" s="99">
        <v>8</v>
      </c>
      <c r="P40" s="93">
        <f t="shared" si="20"/>
        <v>1175728</v>
      </c>
      <c r="Q40" s="1">
        <f t="shared" si="17"/>
        <v>7054383</v>
      </c>
      <c r="R40" s="9">
        <f>SUM($Q$33:Q40)</f>
        <v>8465226</v>
      </c>
      <c r="S40" s="277">
        <f t="shared" si="21"/>
        <v>1764367615.6451397</v>
      </c>
      <c r="T40" s="9">
        <f t="shared" si="18"/>
        <v>-7.1632408261712958E-3</v>
      </c>
      <c r="U40" s="282">
        <f t="shared" si="19"/>
        <v>-2.2299119144718072E+16</v>
      </c>
    </row>
    <row r="41" spans="1:21" x14ac:dyDescent="0.2">
      <c r="A41" s="97">
        <v>9</v>
      </c>
      <c r="B41" s="93">
        <f t="shared" si="15"/>
        <v>5764801</v>
      </c>
      <c r="C41" s="1">
        <f t="shared" si="12"/>
        <v>34588806</v>
      </c>
      <c r="D41" s="9">
        <f>SUM($C$33:C41)</f>
        <v>40353606</v>
      </c>
      <c r="E41" s="9">
        <f t="shared" si="13"/>
        <v>6927109785.8592052</v>
      </c>
      <c r="F41" s="9">
        <f t="shared" si="14"/>
        <v>-1.2539413188244263E-2</v>
      </c>
      <c r="G41" s="282">
        <f t="shared" si="16"/>
        <v>-6.0170186074217472E+17</v>
      </c>
      <c r="O41" s="99">
        <v>9</v>
      </c>
      <c r="P41" s="93">
        <f t="shared" si="20"/>
        <v>7054384</v>
      </c>
      <c r="Q41" s="1">
        <f t="shared" si="17"/>
        <v>42326319</v>
      </c>
      <c r="R41" s="9">
        <f>SUM($Q$33:Q41)</f>
        <v>50791545</v>
      </c>
      <c r="S41" s="277">
        <f t="shared" si="21"/>
        <v>8718888924.2861767</v>
      </c>
      <c r="T41" s="9">
        <f t="shared" si="18"/>
        <v>-9.9624955151416013E-3</v>
      </c>
      <c r="U41" s="282">
        <f t="shared" si="19"/>
        <v>-7.573391864030665E+17</v>
      </c>
    </row>
    <row r="42" spans="1:21" ht="17" thickBot="1" x14ac:dyDescent="0.25">
      <c r="A42" s="145">
        <v>10</v>
      </c>
      <c r="B42" s="94">
        <f t="shared" si="15"/>
        <v>40353607</v>
      </c>
      <c r="C42" s="111">
        <f t="shared" si="12"/>
        <v>242121642</v>
      </c>
      <c r="D42" s="10">
        <f>SUM($C$33:C42)</f>
        <v>282475248</v>
      </c>
      <c r="E42" s="9">
        <f t="shared" si="13"/>
        <v>44540579644.51384</v>
      </c>
      <c r="F42" s="10">
        <f t="shared" si="14"/>
        <v>-1.3193188010077454E-2</v>
      </c>
      <c r="G42" s="283">
        <f t="shared" si="16"/>
        <v>-2.6173480646549504E+19</v>
      </c>
      <c r="O42" s="100">
        <v>10</v>
      </c>
      <c r="P42" s="94">
        <f t="shared" si="20"/>
        <v>42326320</v>
      </c>
      <c r="Q42" s="111">
        <f t="shared" si="17"/>
        <v>253957935</v>
      </c>
      <c r="R42" s="10">
        <f>SUM($Q$33:Q42)</f>
        <v>304749480</v>
      </c>
      <c r="S42" s="278">
        <f t="shared" si="21"/>
        <v>48052771284.102661</v>
      </c>
      <c r="T42" s="10">
        <f t="shared" si="18"/>
        <v>-1.2228893893624545E-2</v>
      </c>
      <c r="U42" s="283">
        <f t="shared" si="19"/>
        <v>-2.8237357691694195E+19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6</v>
      </c>
      <c r="D45" s="57">
        <f>SUM(C45:C45)</f>
        <v>6</v>
      </c>
      <c r="E45" s="57">
        <f t="shared" ref="E45:E54" si="23">D45/R7</f>
        <v>-18.165900910064718</v>
      </c>
      <c r="F45" s="8">
        <f t="shared" ref="F45:F54" si="24">U7/E45</f>
        <v>0.20233996500585349</v>
      </c>
      <c r="G45" s="281">
        <f>E45*U7</f>
        <v>66.772179523537062</v>
      </c>
      <c r="O45" s="101">
        <v>1</v>
      </c>
      <c r="P45" s="109">
        <v>1</v>
      </c>
      <c r="Q45" s="110">
        <f>P45*6+15</f>
        <v>21</v>
      </c>
      <c r="R45" s="57">
        <f>SUM($Q$21)</f>
        <v>21</v>
      </c>
      <c r="S45" s="276">
        <f>R45/R7</f>
        <v>-63.58065318522651</v>
      </c>
      <c r="T45" s="8">
        <f>U7/S45</f>
        <v>5.7811418573101001E-2</v>
      </c>
      <c r="U45" s="284">
        <f>S45*U7</f>
        <v>233.7026283323797</v>
      </c>
    </row>
    <row r="46" spans="1:21" x14ac:dyDescent="0.2">
      <c r="A46" s="97">
        <v>2</v>
      </c>
      <c r="B46" s="93">
        <f t="shared" ref="B46:B54" si="25">B45*$O$2*2</f>
        <v>12</v>
      </c>
      <c r="C46" s="1">
        <f t="shared" si="22"/>
        <v>72</v>
      </c>
      <c r="D46" s="9">
        <f>SUM($C$45:C46)</f>
        <v>78</v>
      </c>
      <c r="E46" s="9">
        <f t="shared" si="23"/>
        <v>-563.65016658584693</v>
      </c>
      <c r="F46" s="9">
        <f t="shared" si="24"/>
        <v>9.0343360498445685E-2</v>
      </c>
      <c r="G46" s="282">
        <f t="shared" ref="G46:G54" si="26">E46*U8</f>
        <v>28702.222075233665</v>
      </c>
      <c r="O46" s="99">
        <v>2</v>
      </c>
      <c r="P46" s="93">
        <f>Q45*2</f>
        <v>42</v>
      </c>
      <c r="Q46" s="1">
        <f t="shared" ref="Q46:Q54" si="27">P46*6+15</f>
        <v>267</v>
      </c>
      <c r="R46" s="9">
        <f>SUM($Q$45:Q46)</f>
        <v>288</v>
      </c>
      <c r="S46" s="277">
        <f t="shared" ref="S46:S54" si="28">R46/R8</f>
        <v>-2081.1698458554347</v>
      </c>
      <c r="T46" s="9">
        <f t="shared" ref="T46:T54" si="29">U8/S46</f>
        <v>2.4467993468329039E-2</v>
      </c>
      <c r="U46" s="282">
        <f t="shared" ref="U46:U54" si="30">S46*U8</f>
        <v>105977.4353547089</v>
      </c>
    </row>
    <row r="47" spans="1:21" x14ac:dyDescent="0.2">
      <c r="A47" s="97">
        <v>3</v>
      </c>
      <c r="B47" s="93">
        <f t="shared" si="25"/>
        <v>144</v>
      </c>
      <c r="C47" s="1">
        <f t="shared" si="22"/>
        <v>864</v>
      </c>
      <c r="D47" s="9">
        <f>SUM($C$45:C47)</f>
        <v>942</v>
      </c>
      <c r="E47" s="9">
        <f t="shared" si="23"/>
        <v>-15365.309355660826</v>
      </c>
      <c r="F47" s="9">
        <f t="shared" si="24"/>
        <v>3.2584980011920762E-2</v>
      </c>
      <c r="G47" s="282">
        <f t="shared" si="26"/>
        <v>7693076.9399880003</v>
      </c>
      <c r="O47" s="99">
        <v>3</v>
      </c>
      <c r="P47" s="93">
        <f t="shared" ref="P47:P54" si="31">Q46*2</f>
        <v>534</v>
      </c>
      <c r="Q47" s="1">
        <f t="shared" si="27"/>
        <v>3219</v>
      </c>
      <c r="R47" s="9">
        <f>SUM($Q$45:Q47)</f>
        <v>3507</v>
      </c>
      <c r="S47" s="277">
        <f t="shared" si="28"/>
        <v>-57203.97018078823</v>
      </c>
      <c r="T47" s="9">
        <f t="shared" si="29"/>
        <v>8.7525096011489487E-3</v>
      </c>
      <c r="U47" s="282">
        <f t="shared" si="30"/>
        <v>28640786.442184623</v>
      </c>
    </row>
    <row r="48" spans="1:21" x14ac:dyDescent="0.2">
      <c r="A48" s="97">
        <v>4</v>
      </c>
      <c r="B48" s="93">
        <f t="shared" si="25"/>
        <v>1728</v>
      </c>
      <c r="C48" s="1">
        <f t="shared" si="22"/>
        <v>10368</v>
      </c>
      <c r="D48" s="9">
        <f>SUM($C$45:C48)</f>
        <v>11310</v>
      </c>
      <c r="E48" s="9">
        <f t="shared" si="23"/>
        <v>-429651.54860916757</v>
      </c>
      <c r="F48" s="9">
        <f t="shared" si="24"/>
        <v>9.9256430518133588E-3</v>
      </c>
      <c r="G48" s="282">
        <f t="shared" si="26"/>
        <v>1832278205.8870809</v>
      </c>
      <c r="O48" s="99">
        <v>4</v>
      </c>
      <c r="P48" s="93">
        <f t="shared" si="31"/>
        <v>6438</v>
      </c>
      <c r="Q48" s="1">
        <f t="shared" si="27"/>
        <v>38643</v>
      </c>
      <c r="R48" s="9">
        <f>SUM($Q$45:Q48)</f>
        <v>42150</v>
      </c>
      <c r="S48" s="277">
        <f t="shared" si="28"/>
        <v>-1601221.2885832374</v>
      </c>
      <c r="T48" s="9">
        <f t="shared" si="29"/>
        <v>2.6633220146146871E-3</v>
      </c>
      <c r="U48" s="282">
        <f t="shared" si="30"/>
        <v>6828516921.1441622</v>
      </c>
    </row>
    <row r="49" spans="1:21" x14ac:dyDescent="0.2">
      <c r="A49" s="97">
        <v>5</v>
      </c>
      <c r="B49" s="93">
        <f t="shared" si="25"/>
        <v>20736</v>
      </c>
      <c r="C49" s="1">
        <f t="shared" si="22"/>
        <v>124416</v>
      </c>
      <c r="D49" s="9">
        <f>SUM($C$45:C49)</f>
        <v>135726</v>
      </c>
      <c r="E49" s="9">
        <f t="shared" si="23"/>
        <v>-14181746.901636161</v>
      </c>
      <c r="F49" s="9">
        <f t="shared" si="24"/>
        <v>2.3639011755909115E-3</v>
      </c>
      <c r="G49" s="282">
        <f t="shared" si="26"/>
        <v>475432402653.01874</v>
      </c>
      <c r="O49" s="99">
        <v>5</v>
      </c>
      <c r="P49" s="93">
        <f t="shared" si="31"/>
        <v>77286</v>
      </c>
      <c r="Q49" s="1">
        <f t="shared" si="27"/>
        <v>463731</v>
      </c>
      <c r="R49" s="9">
        <f>SUM($Q$45:Q49)</f>
        <v>505881</v>
      </c>
      <c r="S49" s="277">
        <f t="shared" si="28"/>
        <v>-52858526.032938443</v>
      </c>
      <c r="T49" s="9">
        <f t="shared" si="29"/>
        <v>6.3422593645195622E-4</v>
      </c>
      <c r="U49" s="282">
        <f t="shared" si="30"/>
        <v>1772042344771.9065</v>
      </c>
    </row>
    <row r="50" spans="1:21" x14ac:dyDescent="0.2">
      <c r="A50" s="97">
        <v>6</v>
      </c>
      <c r="B50" s="93">
        <f t="shared" si="25"/>
        <v>248832</v>
      </c>
      <c r="C50" s="1">
        <f t="shared" si="22"/>
        <v>1492992</v>
      </c>
      <c r="D50" s="9">
        <f>SUM($C$45:C50)</f>
        <v>1628718</v>
      </c>
      <c r="E50" s="9">
        <f t="shared" si="23"/>
        <v>-1213949492.8278503</v>
      </c>
      <c r="F50" s="9">
        <f t="shared" si="24"/>
        <v>2.0616382645583518E-4</v>
      </c>
      <c r="G50" s="282">
        <f t="shared" si="26"/>
        <v>303818141139673.06</v>
      </c>
      <c r="O50" s="99">
        <v>6</v>
      </c>
      <c r="P50" s="93">
        <f t="shared" si="31"/>
        <v>927462</v>
      </c>
      <c r="Q50" s="1">
        <f t="shared" si="27"/>
        <v>5564787</v>
      </c>
      <c r="R50" s="9">
        <f>SUM($Q$45:Q50)</f>
        <v>6070668</v>
      </c>
      <c r="S50" s="277">
        <f t="shared" si="28"/>
        <v>-4524714738.6633301</v>
      </c>
      <c r="T50" s="9">
        <f t="shared" si="29"/>
        <v>5.5312320670063807E-5</v>
      </c>
      <c r="U50" s="282">
        <f t="shared" si="30"/>
        <v>1132411545298877.5</v>
      </c>
    </row>
    <row r="51" spans="1:21" x14ac:dyDescent="0.2">
      <c r="A51" s="97">
        <v>7</v>
      </c>
      <c r="B51" s="93">
        <f t="shared" si="25"/>
        <v>2985984</v>
      </c>
      <c r="C51" s="1">
        <f t="shared" si="22"/>
        <v>17915904</v>
      </c>
      <c r="D51" s="9">
        <f>SUM($C$45:C51)</f>
        <v>19544622</v>
      </c>
      <c r="E51" s="9">
        <f t="shared" si="23"/>
        <v>7106047293.2955637</v>
      </c>
      <c r="F51" s="9">
        <f t="shared" si="24"/>
        <v>-2.5361801047806096E-4</v>
      </c>
      <c r="G51" s="282">
        <f t="shared" si="26"/>
        <v>-1.280667175836832E+16</v>
      </c>
      <c r="O51" s="99">
        <v>7</v>
      </c>
      <c r="P51" s="93">
        <f t="shared" si="31"/>
        <v>11129574</v>
      </c>
      <c r="Q51" s="1">
        <f t="shared" si="27"/>
        <v>66777459</v>
      </c>
      <c r="R51" s="9">
        <f>SUM($Q$45:Q51)</f>
        <v>72848127</v>
      </c>
      <c r="S51" s="277">
        <f t="shared" si="28"/>
        <v>26486172804.467716</v>
      </c>
      <c r="T51" s="9">
        <f t="shared" si="29"/>
        <v>-6.8043865385663816E-5</v>
      </c>
      <c r="U51" s="282">
        <f t="shared" si="30"/>
        <v>-4.7733952117412584E+16</v>
      </c>
    </row>
    <row r="52" spans="1:21" x14ac:dyDescent="0.2">
      <c r="A52" s="97">
        <v>8</v>
      </c>
      <c r="B52" s="93">
        <f t="shared" si="25"/>
        <v>35831808</v>
      </c>
      <c r="C52" s="1">
        <f t="shared" si="22"/>
        <v>214990848</v>
      </c>
      <c r="D52" s="9">
        <f>SUM($C$45:C52)</f>
        <v>234535470</v>
      </c>
      <c r="E52" s="9">
        <f t="shared" si="23"/>
        <v>48883135310.045135</v>
      </c>
      <c r="F52" s="9">
        <f t="shared" si="24"/>
        <v>-2.5854704401840261E-4</v>
      </c>
      <c r="G52" s="282">
        <f t="shared" si="26"/>
        <v>-6.1781391178362522E+17</v>
      </c>
      <c r="O52" s="99">
        <v>8</v>
      </c>
      <c r="P52" s="93">
        <f t="shared" si="31"/>
        <v>133554918</v>
      </c>
      <c r="Q52" s="1">
        <f t="shared" si="27"/>
        <v>801329523</v>
      </c>
      <c r="R52" s="9">
        <f>SUM($Q$45:Q52)</f>
        <v>874177650</v>
      </c>
      <c r="S52" s="277">
        <f t="shared" si="28"/>
        <v>182200774790.9827</v>
      </c>
      <c r="T52" s="9">
        <f t="shared" si="29"/>
        <v>-6.9366280968138159E-5</v>
      </c>
      <c r="U52" s="282">
        <f t="shared" si="30"/>
        <v>-2.302760915184031E+18</v>
      </c>
    </row>
    <row r="53" spans="1:21" x14ac:dyDescent="0.2">
      <c r="A53" s="97">
        <v>9</v>
      </c>
      <c r="B53" s="93">
        <f t="shared" si="25"/>
        <v>429981696</v>
      </c>
      <c r="C53" s="1">
        <f t="shared" si="22"/>
        <v>2579890176</v>
      </c>
      <c r="D53" s="9">
        <f>SUM($C$45:C53)</f>
        <v>2814425646</v>
      </c>
      <c r="E53" s="9">
        <f t="shared" si="23"/>
        <v>483124988482.55884</v>
      </c>
      <c r="F53" s="9">
        <f t="shared" si="24"/>
        <v>-1.797917596397616E-4</v>
      </c>
      <c r="G53" s="282">
        <f t="shared" si="26"/>
        <v>-4.1965150477969613E+19</v>
      </c>
      <c r="O53" s="99">
        <v>9</v>
      </c>
      <c r="P53" s="93">
        <f t="shared" si="31"/>
        <v>1602659046</v>
      </c>
      <c r="Q53" s="1">
        <f t="shared" si="27"/>
        <v>9615954291</v>
      </c>
      <c r="R53" s="9">
        <f>SUM($Q$45:Q53)</f>
        <v>10490131941</v>
      </c>
      <c r="S53" s="277">
        <f t="shared" si="28"/>
        <v>1800738591328.2527</v>
      </c>
      <c r="T53" s="9">
        <f t="shared" si="29"/>
        <v>-4.8236813618320988E-5</v>
      </c>
      <c r="U53" s="282">
        <f t="shared" si="30"/>
        <v>-1.5641556068943682E+20</v>
      </c>
    </row>
    <row r="54" spans="1:21" ht="17" thickBot="1" x14ac:dyDescent="0.25">
      <c r="A54" s="145">
        <v>10</v>
      </c>
      <c r="B54" s="94">
        <f t="shared" si="25"/>
        <v>5159780352</v>
      </c>
      <c r="C54" s="111">
        <f t="shared" si="22"/>
        <v>30958682112</v>
      </c>
      <c r="D54" s="10">
        <f>SUM($C$45:C54)</f>
        <v>33773107758</v>
      </c>
      <c r="E54" s="10">
        <f t="shared" si="23"/>
        <v>5325329587596.1035</v>
      </c>
      <c r="F54" s="10">
        <f t="shared" si="24"/>
        <v>-1.1034664271233621E-4</v>
      </c>
      <c r="G54" s="283">
        <f t="shared" si="26"/>
        <v>-3.1293353613688795E+21</v>
      </c>
      <c r="O54" s="100">
        <v>10</v>
      </c>
      <c r="P54" s="94">
        <f t="shared" si="31"/>
        <v>19231908582</v>
      </c>
      <c r="Q54" s="111">
        <f t="shared" si="27"/>
        <v>115391451507</v>
      </c>
      <c r="R54" s="10">
        <f>SUM($Q$45:Q54)</f>
        <v>125881583448</v>
      </c>
      <c r="S54" s="278">
        <f t="shared" si="28"/>
        <v>19848955733435.301</v>
      </c>
      <c r="T54" s="10">
        <f t="shared" si="29"/>
        <v>-2.9605196828467972E-5</v>
      </c>
      <c r="U54" s="283">
        <f t="shared" si="30"/>
        <v>-1.1663886345656856E+22</v>
      </c>
    </row>
  </sheetData>
  <mergeCells count="2">
    <mergeCell ref="A18:F18"/>
    <mergeCell ref="O18:T18"/>
  </mergeCells>
  <conditionalFormatting sqref="F45:F54">
    <cfRule type="cellIs" dxfId="423" priority="63" operator="equal">
      <formula>MAX($F$45:$F$54)</formula>
    </cfRule>
  </conditionalFormatting>
  <conditionalFormatting sqref="F21:F30">
    <cfRule type="cellIs" dxfId="422" priority="61" operator="equal">
      <formula>MAX($F$21:$F$30)</formula>
    </cfRule>
  </conditionalFormatting>
  <conditionalFormatting sqref="E33:E42">
    <cfRule type="cellIs" dxfId="421" priority="59" stopIfTrue="1" operator="lessThan">
      <formula>0</formula>
    </cfRule>
    <cfRule type="cellIs" dxfId="420" priority="60" operator="equal">
      <formula>MIN($E$33:$E$42)</formula>
    </cfRule>
  </conditionalFormatting>
  <conditionalFormatting sqref="E21:E30">
    <cfRule type="cellIs" dxfId="419" priority="55" stopIfTrue="1" operator="lessThan">
      <formula>0</formula>
    </cfRule>
    <cfRule type="cellIs" dxfId="418" priority="56" operator="equal">
      <formula>MIN($E$21:$E$30)</formula>
    </cfRule>
  </conditionalFormatting>
  <conditionalFormatting sqref="E45:E54">
    <cfRule type="cellIs" dxfId="417" priority="51" stopIfTrue="1" operator="lessThan">
      <formula>0</formula>
    </cfRule>
    <cfRule type="cellIs" dxfId="416" priority="52" operator="equal">
      <formula>MIN($E$45:$E$54)</formula>
    </cfRule>
  </conditionalFormatting>
  <conditionalFormatting sqref="F33:F42">
    <cfRule type="cellIs" dxfId="415" priority="41" operator="lessThanOrEqual">
      <formula>0</formula>
    </cfRule>
    <cfRule type="cellIs" dxfId="414" priority="42" operator="equal">
      <formula>MAX($F$33:$F$42)</formula>
    </cfRule>
  </conditionalFormatting>
  <conditionalFormatting sqref="R7:R16">
    <cfRule type="cellIs" dxfId="413" priority="27" operator="lessThanOrEqual">
      <formula>0</formula>
    </cfRule>
    <cfRule type="cellIs" dxfId="412" priority="28" operator="greaterThan">
      <formula>0</formula>
    </cfRule>
  </conditionalFormatting>
  <conditionalFormatting sqref="T21:T30">
    <cfRule type="cellIs" dxfId="411" priority="19" operator="equal">
      <formula>MAX($T$21:$T$30)</formula>
    </cfRule>
  </conditionalFormatting>
  <conditionalFormatting sqref="S33:S42">
    <cfRule type="cellIs" dxfId="410" priority="17" stopIfTrue="1" operator="lessThan">
      <formula>0</formula>
    </cfRule>
    <cfRule type="cellIs" dxfId="409" priority="18" operator="equal">
      <formula>MIN($E$21:$E$30)</formula>
    </cfRule>
  </conditionalFormatting>
  <conditionalFormatting sqref="T33:T42">
    <cfRule type="cellIs" dxfId="408" priority="16" operator="equal">
      <formula>MAX($T$21:$T$30)</formula>
    </cfRule>
  </conditionalFormatting>
  <conditionalFormatting sqref="S45:S54">
    <cfRule type="cellIs" dxfId="407" priority="14" stopIfTrue="1" operator="lessThan">
      <formula>0</formula>
    </cfRule>
    <cfRule type="cellIs" dxfId="406" priority="15" operator="equal">
      <formula>MIN($E$21:$E$30)</formula>
    </cfRule>
  </conditionalFormatting>
  <conditionalFormatting sqref="T45:T54">
    <cfRule type="cellIs" dxfId="405" priority="13" operator="equal">
      <formula>MAX($T$21:$T$30)</formula>
    </cfRule>
  </conditionalFormatting>
  <conditionalFormatting sqref="S21:S30">
    <cfRule type="cellIs" dxfId="404" priority="11" stopIfTrue="1" operator="lessThan">
      <formula>0</formula>
    </cfRule>
    <cfRule type="cellIs" dxfId="403" priority="12" operator="equal">
      <formula>MIN($E$21:$E$30)</formula>
    </cfRule>
  </conditionalFormatting>
  <conditionalFormatting sqref="U7:U16">
    <cfRule type="cellIs" dxfId="402" priority="7" operator="lessThanOrEqual">
      <formula>0</formula>
    </cfRule>
    <cfRule type="cellIs" dxfId="401" priority="8" operator="greaterThan">
      <formula>0</formula>
    </cfRule>
  </conditionalFormatting>
  <conditionalFormatting sqref="S7:T16">
    <cfRule type="cellIs" dxfId="400" priority="1" operator="lessThanOrEqual">
      <formula>0</formula>
    </cfRule>
    <cfRule type="cellIs" dxfId="399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54"/>
  <sheetViews>
    <sheetView topLeftCell="A14"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 t="s">
        <v>53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(SUM(HS!B4:B11)+Rules!$B$5*HS!B12+HS!B36)/(9+Rules!$B$5)</f>
        <v>-0.34456837192534162</v>
      </c>
      <c r="C2">
        <f>(SUM(HS!C4:C11)+Rules!$B$5*HS!C12+HS!C36)/(9+Rules!$B$5)</f>
        <v>-7.5884358318949102E-2</v>
      </c>
      <c r="D2">
        <f>(SUM(HS!D4:D11)+Rules!$B$5*HS!D12+HS!D36)/(9+Rules!$B$5)</f>
        <v>-4.9750706146412041E-2</v>
      </c>
      <c r="E2">
        <f>(SUM(HS!E4:E11)+Rules!$B$5*HS!E12+HS!E36)/(9+Rules!$B$5)</f>
        <v>-2.2100412135834389E-2</v>
      </c>
      <c r="F2">
        <f>(SUM(HS!F4:F11)+Rules!$B$5*HS!F12+HS!F36)/(9+Rules!$B$5)</f>
        <v>1.3730032284783571E-2</v>
      </c>
      <c r="G2">
        <f>(SUM(HS!G4:G11)+Rules!$B$5*HS!G12+HS!G36)/(9+Rules!$B$5)</f>
        <v>3.8883411946301231E-2</v>
      </c>
      <c r="H2">
        <f>(SUM(HS!H4:H11)+Rules!$B$5*HS!H12+HS!H36)/(9+Rules!$B$5)</f>
        <v>-2.7257021375862247E-2</v>
      </c>
      <c r="I2">
        <f>(SUM(HS!I4:I11)+Rules!$B$5*HS!I12+HS!I36)/(9+Rules!$B$5)</f>
        <v>-0.10316172777512723</v>
      </c>
      <c r="J2">
        <f>(SUM(HS!J4:J11)+Rules!$B$5*HS!J12+HS!J36)/(9+Rules!$B$5)</f>
        <v>-0.19004714305350842</v>
      </c>
      <c r="K2">
        <f>(SUM(HS!K4:K11)+Rules!$B$5*HS!K12+HS!K36)/(9+Rules!$B$5)</f>
        <v>-0.29096372773977425</v>
      </c>
    </row>
    <row r="3" spans="1:11" x14ac:dyDescent="0.2">
      <c r="A3">
        <v>3</v>
      </c>
      <c r="B3">
        <f>(SUM(HS!B5:B12)+Rules!$B$5*HS!B13+HS!B37)/(9+Rules!$B$5)</f>
        <v>-0.36474464099475529</v>
      </c>
      <c r="C3">
        <f>(SUM(HS!C5:C12)+Rules!$B$5*HS!C13+HS!C37)/(9+Rules!$B$5)</f>
        <v>-0.10052250439785246</v>
      </c>
      <c r="D3">
        <f>(SUM(HS!D5:D12)+Rules!$B$5*HS!D13+HS!D37)/(9+Rules!$B$5)</f>
        <v>-6.8875858278897514E-2</v>
      </c>
      <c r="E3">
        <f>(SUM(HS!E5:E12)+Rules!$B$5*HS!E13+HS!E37)/(9+Rules!$B$5)</f>
        <v>-3.6261290708905339E-2</v>
      </c>
      <c r="F3">
        <f>(SUM(HS!F5:F12)+Rules!$B$5*HS!F13+HS!F37)/(9+Rules!$B$5)</f>
        <v>1.6995712139687808E-4</v>
      </c>
      <c r="G3">
        <f>(SUM(HS!G5:G12)+Rules!$B$5*HS!G13+HS!G37)/(9+Rules!$B$5)</f>
        <v>2.447130320655936E-2</v>
      </c>
      <c r="H3">
        <f>(SUM(HS!H5:H12)+Rules!$B$5*HS!H13+HS!H37)/(9+Rules!$B$5)</f>
        <v>-5.7437588540356667E-2</v>
      </c>
      <c r="I3">
        <f>(SUM(HS!I5:I12)+Rules!$B$5*HS!I13+HS!I37)/(9+Rules!$B$5)</f>
        <v>-0.13094188065020099</v>
      </c>
      <c r="J3">
        <f>(SUM(HS!J5:J12)+Rules!$B$5*HS!J13+HS!J37)/(9+Rules!$B$5)</f>
        <v>-0.21507662281362433</v>
      </c>
      <c r="K3">
        <f>(SUM(HS!K5:K12)+Rules!$B$5*HS!K13+HS!K37)/(9+Rules!$B$5)</f>
        <v>-0.31277980128259808</v>
      </c>
    </row>
    <row r="4" spans="1:11" x14ac:dyDescent="0.2">
      <c r="A4">
        <v>4</v>
      </c>
      <c r="B4">
        <f>(SUM(HS!B6:B13)+Rules!$B$5*HS!B14+HS!B38)/(9+Rules!$B$5)</f>
        <v>-0.38538530661686615</v>
      </c>
      <c r="C4">
        <f>(SUM(HS!C6:C13)+Rules!$B$5*HS!C14+HS!C38)/(9+Rules!$B$5)</f>
        <v>-0.11491332761892134</v>
      </c>
      <c r="D4">
        <f>(SUM(HS!D6:D13)+Rules!$B$5*HS!D14+HS!D38)/(9+Rules!$B$5)</f>
        <v>-8.2613314299744348E-2</v>
      </c>
      <c r="E4">
        <f>(SUM(HS!E6:E13)+Rules!$B$5*HS!E14+HS!E38)/(9+Rules!$B$5)</f>
        <v>-4.9367420106916922E-2</v>
      </c>
      <c r="F4">
        <f>(SUM(HS!F6:F13)+Rules!$B$5*HS!F14+HS!F38)/(9+Rules!$B$5)</f>
        <v>-1.2379926519926384E-2</v>
      </c>
      <c r="G4">
        <f>(SUM(HS!G6:G13)+Rules!$B$5*HS!G14+HS!G38)/(9+Rules!$B$5)</f>
        <v>1.1130417280979797E-2</v>
      </c>
      <c r="H4">
        <f>(SUM(HS!H6:H13)+Rules!$B$5*HS!H14+HS!H38)/(9+Rules!$B$5)</f>
        <v>-8.8279201058463722E-2</v>
      </c>
      <c r="I4">
        <f>(SUM(HS!I6:I13)+Rules!$B$5*HS!I14+HS!I38)/(9+Rules!$B$5)</f>
        <v>-0.15933415266020512</v>
      </c>
      <c r="J4">
        <f>(SUM(HS!J6:J13)+Rules!$B$5*HS!J14+HS!J38)/(9+Rules!$B$5)</f>
        <v>-0.24066617915336547</v>
      </c>
      <c r="K4">
        <f>(SUM(HS!K6:K13)+Rules!$B$5*HS!K14+HS!K38)/(9+Rules!$B$5)</f>
        <v>-0.33509986436351097</v>
      </c>
    </row>
    <row r="5" spans="1:11" x14ac:dyDescent="0.2">
      <c r="A5">
        <v>5</v>
      </c>
      <c r="B5">
        <f>(SUM(HS!B7:B14)+Rules!$B$5*HS!B15+HS!B39)/(9+Rules!$B$5)</f>
        <v>-0.40632230211141912</v>
      </c>
      <c r="C5">
        <f>(SUM(HS!C7:C14)+Rules!$B$5*HS!C15+HS!C39)/(9+Rules!$B$5)</f>
        <v>-0.12821556706374745</v>
      </c>
      <c r="D5">
        <f>(SUM(HS!D7:D14)+Rules!$B$5*HS!D15+HS!D39)/(9+Rules!$B$5)</f>
        <v>-9.5310227261489883E-2</v>
      </c>
      <c r="E5">
        <f>(SUM(HS!E7:E14)+Rules!$B$5*HS!E15+HS!E39)/(9+Rules!$B$5)</f>
        <v>-6.1479464199694238E-2</v>
      </c>
      <c r="F5">
        <f>(SUM(HS!F7:F14)+Rules!$B$5*HS!F15+HS!F39)/(9+Rules!$B$5)</f>
        <v>-2.397897039185962E-2</v>
      </c>
      <c r="G5">
        <f>(SUM(HS!G7:G14)+Rules!$B$5*HS!G15+HS!G39)/(9+Rules!$B$5)</f>
        <v>-1.1863378384401623E-3</v>
      </c>
      <c r="H5">
        <f>(SUM(HS!H7:H14)+Rules!$B$5*HS!H15+HS!H39)/(9+Rules!$B$5)</f>
        <v>-0.11944744188414852</v>
      </c>
      <c r="I5">
        <f>(SUM(HS!I7:I14)+Rules!$B$5*HS!I15+HS!I39)/(9+Rules!$B$5)</f>
        <v>-0.18809330390318518</v>
      </c>
      <c r="J5">
        <f>(SUM(HS!J7:J14)+Rules!$B$5*HS!J15+HS!J39)/(9+Rules!$B$5)</f>
        <v>-0.26661505335795899</v>
      </c>
      <c r="K5">
        <f>(SUM(HS!K7:K14)+Rules!$B$5*HS!K15+HS!K39)/(9+Rules!$B$5)</f>
        <v>-0.3577434525808979</v>
      </c>
    </row>
    <row r="6" spans="1:11" x14ac:dyDescent="0.2">
      <c r="A6">
        <v>6</v>
      </c>
      <c r="B6">
        <f>(SUM(HS!B8:B15)+Rules!$B$5*HS!B16+HS!B40)/(9+Rules!$B$5)</f>
        <v>-0.41968690347101079</v>
      </c>
      <c r="C6">
        <f>(SUM(HS!C8:C15)+Rules!$B$5*HS!C16+HS!C40)/(9+Rules!$B$5)</f>
        <v>-0.14075911746001987</v>
      </c>
      <c r="D6">
        <f>(SUM(HS!D8:D15)+Rules!$B$5*HS!D16+HS!D40)/(9+Rules!$B$5)</f>
        <v>-0.10729107800860835</v>
      </c>
      <c r="E6">
        <f>(SUM(HS!E8:E15)+Rules!$B$5*HS!E16+HS!E40)/(9+Rules!$B$5)</f>
        <v>-7.2917141926387305E-2</v>
      </c>
      <c r="F6">
        <f>(SUM(HS!F8:F15)+Rules!$B$5*HS!F16+HS!F40)/(9+Rules!$B$5)</f>
        <v>-3.4915973330102178E-2</v>
      </c>
      <c r="G6">
        <f>(SUM(HS!G8:G15)+Rules!$B$5*HS!G16+HS!G40)/(9+Rules!$B$5)</f>
        <v>-1.3005835529874294E-2</v>
      </c>
      <c r="H6">
        <f>(SUM(HS!H8:H15)+Rules!$B$5*HS!H16+HS!H40)/(9+Rules!$B$5)</f>
        <v>-0.15193270723669944</v>
      </c>
      <c r="I6">
        <f>(SUM(HS!I8:I15)+Rules!$B$5*HS!I16+HS!I40)/(9+Rules!$B$5)</f>
        <v>-0.21724188132078476</v>
      </c>
      <c r="J6">
        <f>(SUM(HS!J8:J15)+Rules!$B$5*HS!J16+HS!J40)/(9+Rules!$B$5)</f>
        <v>-0.29264070019772598</v>
      </c>
      <c r="K6">
        <f>(SUM(HS!K8:K15)+Rules!$B$5*HS!K16+HS!K40)/(9+Rules!$B$5)</f>
        <v>-0.38050766229289529</v>
      </c>
    </row>
    <row r="7" spans="1:11" x14ac:dyDescent="0.2">
      <c r="A7">
        <v>7</v>
      </c>
      <c r="B7">
        <f>(SUM(HS!B9:B16)+Rules!$B$5*HS!B17+HS!B41)/(9+Rules!$B$5)</f>
        <v>-0.39971038372569095</v>
      </c>
      <c r="C7">
        <f>(SUM(HS!C9:C16)+Rules!$B$5*HS!C17+HS!C41)/(9+Rules!$B$5)</f>
        <v>-0.10918342786661633</v>
      </c>
      <c r="D7">
        <f>(SUM(HS!D9:D16)+Rules!$B$5*HS!D17+HS!D41)/(9+Rules!$B$5)</f>
        <v>-7.6582981904463582E-2</v>
      </c>
      <c r="E7">
        <f>(SUM(HS!E9:E16)+Rules!$B$5*HS!E17+HS!E41)/(9+Rules!$B$5)</f>
        <v>-4.3021794004341876E-2</v>
      </c>
      <c r="F7">
        <f>(SUM(HS!F9:F16)+Rules!$B$5*HS!F17+HS!F41)/(9+Rules!$B$5)</f>
        <v>-7.2713609029408845E-3</v>
      </c>
      <c r="G7">
        <f>(SUM(HS!G9:G16)+Rules!$B$5*HS!G17+HS!G41)/(9+Rules!$B$5)</f>
        <v>2.9185342353860864E-2</v>
      </c>
      <c r="H7">
        <f>(SUM(HS!H9:H16)+Rules!$B$5*HS!H17+HS!H41)/(9+Rules!$B$5)</f>
        <v>-6.8807799580427764E-2</v>
      </c>
      <c r="I7">
        <f>(SUM(HS!I9:I16)+Rules!$B$5*HS!I17+HS!I41)/(9+Rules!$B$5)</f>
        <v>-0.21060476872434966</v>
      </c>
      <c r="J7">
        <f>(SUM(HS!J9:J16)+Rules!$B$5*HS!J17+HS!J41)/(9+Rules!$B$5)</f>
        <v>-0.28536544048687662</v>
      </c>
      <c r="K7">
        <f>(SUM(HS!K9:K16)+Rules!$B$5*HS!K17+HS!K41)/(9+Rules!$B$5)</f>
        <v>-0.36507789921394679</v>
      </c>
    </row>
    <row r="8" spans="1:11" x14ac:dyDescent="0.2">
      <c r="A8">
        <v>8</v>
      </c>
      <c r="B8">
        <f>(SUM(HS!B10:B17)+Rules!$B$5*HS!B18+HS!B42)/(9+Rules!$B$5)</f>
        <v>-0.33034033459070061</v>
      </c>
      <c r="C8">
        <f>(SUM(HS!C10:C17)+Rules!$B$5*HS!C18+HS!C42)/(9+Rules!$B$5)</f>
        <v>-2.1798188008805671E-2</v>
      </c>
      <c r="D8">
        <f>(SUM(HS!D10:D17)+Rules!$B$5*HS!D18+HS!D42)/(9+Rules!$B$5)</f>
        <v>8.0052625306546912E-3</v>
      </c>
      <c r="E8">
        <f>(SUM(HS!E10:E17)+Rules!$B$5*HS!E18+HS!E42)/(9+Rules!$B$5)</f>
        <v>3.8784473277208804E-2</v>
      </c>
      <c r="F8">
        <f>(SUM(HS!F10:F17)+Rules!$B$5*HS!F18+HS!F42)/(9+Rules!$B$5)</f>
        <v>7.0804635983033826E-2</v>
      </c>
      <c r="G8">
        <f>(SUM(HS!G10:G17)+Rules!$B$5*HS!G18+HS!G42)/(9+Rules!$B$5)</f>
        <v>0.11496015009622321</v>
      </c>
      <c r="H8">
        <f>(SUM(HS!H10:H17)+Rules!$B$5*HS!H18+HS!H42)/(9+Rules!$B$5)</f>
        <v>8.2207439363742862E-2</v>
      </c>
      <c r="I8">
        <f>(SUM(HS!I10:I17)+Rules!$B$5*HS!I18+HS!I42)/(9+Rules!$B$5)</f>
        <v>-5.989827565865629E-2</v>
      </c>
      <c r="J8">
        <f>(SUM(HS!J10:J17)+Rules!$B$5*HS!J18+HS!J42)/(9+Rules!$B$5)</f>
        <v>-0.2101863319982176</v>
      </c>
      <c r="K8">
        <f>(SUM(HS!K10:K17)+Rules!$B$5*HS!K18+HS!K42)/(9+Rules!$B$5)</f>
        <v>-0.30177738614031369</v>
      </c>
    </row>
    <row r="9" spans="1:11" x14ac:dyDescent="0.2">
      <c r="A9">
        <v>9</v>
      </c>
      <c r="B9">
        <f>(SUM(HS!B11:B18)+Rules!$B$5*HS!B19+HS!B43)/(9+Rules!$B$5)</f>
        <v>-0.25192476177072076</v>
      </c>
      <c r="C9">
        <f>(SUM(HS!C11:C18)+Rules!$B$5*HS!C19+HS!C43)/(9+Rules!$B$5)</f>
        <v>7.444603757634051E-2</v>
      </c>
      <c r="D9">
        <f>(SUM(HS!D11:D18)+Rules!$B$5*HS!D19+HS!D43)/(9+Rules!$B$5)</f>
        <v>0.10126470173887678</v>
      </c>
      <c r="E9">
        <f>(SUM(HS!E11:E18)+Rules!$B$5*HS!E19+HS!E43)/(9+Rules!$B$5)</f>
        <v>0.12898088119574178</v>
      </c>
      <c r="F9">
        <f>(SUM(HS!F11:F18)+Rules!$B$5*HS!F19+HS!F43)/(9+Rules!$B$5)</f>
        <v>0.15803185626651736</v>
      </c>
      <c r="G9">
        <f>(SUM(HS!G11:G18)+Rules!$B$5*HS!G19+HS!G43)/(9+Rules!$B$5)</f>
        <v>0.19601883925727875</v>
      </c>
      <c r="H9">
        <f>(SUM(HS!H11:H18)+Rules!$B$5*HS!H19+HS!H43)/(9+Rules!$B$5)</f>
        <v>0.17186785993695267</v>
      </c>
      <c r="I9">
        <f>(SUM(HS!I11:I18)+Rules!$B$5*HS!I19+HS!I43)/(9+Rules!$B$5)</f>
        <v>9.8376217435392585E-2</v>
      </c>
      <c r="J9">
        <f>(SUM(HS!J11:J18)+Rules!$B$5*HS!J19+HS!J43)/(9+Rules!$B$5)</f>
        <v>-5.217805346265169E-2</v>
      </c>
      <c r="K9">
        <f>(SUM(HS!K11:K18)+Rules!$B$5*HS!K19+HS!K43)/(9+Rules!$B$5)</f>
        <v>-0.21343169035706566</v>
      </c>
    </row>
    <row r="10" spans="1:11" x14ac:dyDescent="0.2">
      <c r="A10">
        <v>10</v>
      </c>
      <c r="B10">
        <f>(SUM(HS!B12:B19)+Rules!$B$5*HS!B20+HS!B44)/(9+Rules!$B$5)</f>
        <v>-0.14666789263035868</v>
      </c>
      <c r="C10">
        <f>(SUM(HS!C12:C19)+Rules!$B$5*HS!C20+HS!C44)/(9+Rules!$B$5)</f>
        <v>0.18249999400904487</v>
      </c>
      <c r="D10">
        <f>(SUM(HS!D12:D19)+Rules!$B$5*HS!D20+HS!D44)/(9+Rules!$B$5)</f>
        <v>0.20608797581394089</v>
      </c>
      <c r="E10">
        <f>(SUM(HS!E12:E19)+Rules!$B$5*HS!E20+HS!E44)/(9+Rules!$B$5)</f>
        <v>0.230470121897177</v>
      </c>
      <c r="F10">
        <f>(SUM(HS!F12:F19)+Rules!$B$5*HS!F20+HS!F44)/(9+Rules!$B$5)</f>
        <v>0.25625855450163387</v>
      </c>
      <c r="G10">
        <f>(SUM(HS!G12:G19)+Rules!$B$5*HS!G20+HS!G44)/(9+Rules!$B$5)</f>
        <v>0.28779508429888429</v>
      </c>
      <c r="H10">
        <f>(SUM(HS!H12:H19)+Rules!$B$5*HS!H20+HS!H44)/(9+Rules!$B$5)</f>
        <v>0.25690874433608657</v>
      </c>
      <c r="I10">
        <f>(SUM(HS!I12:I19)+Rules!$B$5*HS!I20+HS!I44)/(9+Rules!$B$5)</f>
        <v>0.19795370833197609</v>
      </c>
      <c r="J10">
        <f>(SUM(HS!J12:J19)+Rules!$B$5*HS!J20+HS!J44)/(9+Rules!$B$5)</f>
        <v>0.1165295910692839</v>
      </c>
      <c r="K10">
        <f>(SUM(HS!K12:K19)+Rules!$B$5*HS!K20+HS!K44)/(9+Rules!$B$5)</f>
        <v>-4.4990260383613007E-2</v>
      </c>
    </row>
    <row r="11" spans="1:11" x14ac:dyDescent="0.2">
      <c r="A11">
        <v>11</v>
      </c>
      <c r="B11">
        <f>(SUM(HS!B12:B20)+Rules!$B$5*HS!B21)/(9+Rules!$B$5)</f>
        <v>-4.1986836980868178E-2</v>
      </c>
      <c r="C11">
        <f>(SUM(HS!C12:C20)+Rules!$B$5*HS!C21)/(9+Rules!$B$5)</f>
        <v>0.2383507494576298</v>
      </c>
      <c r="D11">
        <f>(SUM(HS!D12:D20)+Rules!$B$5*HS!D21)/(9+Rules!$B$5)</f>
        <v>0.26032526728707961</v>
      </c>
      <c r="E11">
        <f>(SUM(HS!E12:E20)+Rules!$B$5*HS!E21)/(9+Rules!$B$5)</f>
        <v>0.28302027520898798</v>
      </c>
      <c r="F11">
        <f>(SUM(HS!F12:F20)+Rules!$B$5*HS!F21)/(9+Rules!$B$5)</f>
        <v>0.30734950895451402</v>
      </c>
      <c r="G11">
        <f>(SUM(HS!G12:G20)+Rules!$B$5*HS!G21)/(9+Rules!$B$5)</f>
        <v>0.33369004745378472</v>
      </c>
      <c r="H11">
        <f>(SUM(HS!H12:H20)+Rules!$B$5*HS!H21)/(9+Rules!$B$5)</f>
        <v>0.29214699112701309</v>
      </c>
      <c r="I11">
        <f>(SUM(HS!I12:I20)+Rules!$B$5*HS!I21)/(9+Rules!$B$5)</f>
        <v>0.22998214532399175</v>
      </c>
      <c r="J11">
        <f>(SUM(HS!J12:J20)+Rules!$B$5*HS!J21)/(9+Rules!$B$5)</f>
        <v>0.15825711845512572</v>
      </c>
      <c r="K11">
        <f>(SUM(HS!K12:K20)+Rules!$B$5*HS!K21)/(9+Rules!$B$5)</f>
        <v>5.9690795265877464E-2</v>
      </c>
    </row>
    <row r="12" spans="1:11" x14ac:dyDescent="0.2">
      <c r="A12">
        <v>12</v>
      </c>
      <c r="B12">
        <f>(SUM(HS!B13:B21)+Rules!$B$5*HS!B22)/(9+Rules!$B$5)</f>
        <v>-0.46566058377683939</v>
      </c>
      <c r="C12">
        <f>(SUM(HS!C13:C21)+Rules!$B$5*HS!C22)/(9+Rules!$B$5)</f>
        <v>-0.25338998596663809</v>
      </c>
      <c r="D12">
        <f>(SUM(HS!D13:D21)+Rules!$B$5*HS!D22)/(9+Rules!$B$5)</f>
        <v>-0.2336908997980866</v>
      </c>
      <c r="E12">
        <f>(SUM(HS!E13:E21)+Rules!$B$5*HS!E22)/(9+Rules!$B$5)</f>
        <v>-0.21353655324507695</v>
      </c>
      <c r="F12">
        <f>(SUM(HS!F13:F21)+Rules!$B$5*HS!F22)/(9+Rules!$B$5)</f>
        <v>-0.19327116942628339</v>
      </c>
      <c r="G12">
        <f>(SUM(HS!G13:G21)+Rules!$B$5*HS!G22)/(9+Rules!$B$5)</f>
        <v>-0.17052619990757953</v>
      </c>
      <c r="H12">
        <f>(SUM(HS!H13:H21)+Rules!$B$5*HS!H22)/(9+Rules!$B$5)</f>
        <v>-0.21284771451731424</v>
      </c>
      <c r="I12">
        <f>(SUM(HS!I13:I21)+Rules!$B$5*HS!I22)/(9+Rules!$B$5)</f>
        <v>-0.27157480502428616</v>
      </c>
      <c r="J12">
        <f>(SUM(HS!J13:J21)+Rules!$B$5*HS!J22)/(9+Rules!$B$5)</f>
        <v>-0.3400132806089356</v>
      </c>
      <c r="K12">
        <f>(SUM(HS!K13:K21)+Rules!$B$5*HS!K22)/(9+Rules!$B$5)</f>
        <v>-0.42069618899826788</v>
      </c>
    </row>
    <row r="13" spans="1:11" x14ac:dyDescent="0.2">
      <c r="A13">
        <v>13</v>
      </c>
      <c r="B13">
        <f>(SUM(HS!B14:B22)+Rules!$B$5*HS!B23)/(9+Rules!$B$5)</f>
        <v>-0.50382768493563657</v>
      </c>
      <c r="C13">
        <f>(SUM(HS!C14:C22)+Rules!$B$5*HS!C23)/(9+Rules!$B$5)</f>
        <v>-0.30779123771977057</v>
      </c>
      <c r="D13">
        <f>(SUM(HS!D14:D22)+Rules!$B$5*HS!D23)/(9+Rules!$B$5)</f>
        <v>-0.29121011293380095</v>
      </c>
      <c r="E13">
        <f>(SUM(HS!E14:E22)+Rules!$B$5*HS!E23)/(9+Rules!$B$5)</f>
        <v>-0.27422400639931432</v>
      </c>
      <c r="F13">
        <f>(SUM(HS!F14:F22)+Rules!$B$5*HS!F23)/(9+Rules!$B$5)</f>
        <v>-0.25733327243893911</v>
      </c>
      <c r="G13">
        <f>(SUM(HS!G14:G22)+Rules!$B$5*HS!G23)/(9+Rules!$B$5)</f>
        <v>-0.23562627561296379</v>
      </c>
      <c r="H13">
        <f>(SUM(HS!H14:H22)+Rules!$B$5*HS!H23)/(9+Rules!$B$5)</f>
        <v>-0.26907287776607752</v>
      </c>
      <c r="I13">
        <f>(SUM(HS!I14:I22)+Rules!$B$5*HS!I23)/(9+Rules!$B$5)</f>
        <v>-0.32360517609397998</v>
      </c>
      <c r="J13">
        <f>(SUM(HS!J14:J22)+Rules!$B$5*HS!J23)/(9+Rules!$B$5)</f>
        <v>-0.38715518913686875</v>
      </c>
      <c r="K13">
        <f>(SUM(HS!K14:K22)+Rules!$B$5*HS!K23)/(9+Rules!$B$5)</f>
        <v>-0.46207503264124877</v>
      </c>
    </row>
    <row r="14" spans="1:11" x14ac:dyDescent="0.2">
      <c r="A14">
        <v>14</v>
      </c>
      <c r="B14">
        <f>(SUM(HS!B15:B23)+Rules!$B$5*HS!B24)/(9+Rules!$B$5)</f>
        <v>-0.53926856458309114</v>
      </c>
      <c r="C14">
        <f>(SUM(HS!C15:C23)+Rules!$B$5*HS!C24)/(9+Rules!$B$5)</f>
        <v>-0.36219248947290311</v>
      </c>
      <c r="D14">
        <f>(SUM(HS!D15:D23)+Rules!$B$5*HS!D24)/(9+Rules!$B$5)</f>
        <v>-0.34872932606951529</v>
      </c>
      <c r="E14">
        <f>(SUM(HS!E15:E23)+Rules!$B$5*HS!E24)/(9+Rules!$B$5)</f>
        <v>-0.33491145955355167</v>
      </c>
      <c r="F14">
        <f>(SUM(HS!F15:F23)+Rules!$B$5*HS!F24)/(9+Rules!$B$5)</f>
        <v>-0.32139537545159491</v>
      </c>
      <c r="G14">
        <f>(SUM(HS!G15:G23)+Rules!$B$5*HS!G24)/(9+Rules!$B$5)</f>
        <v>-0.30072635131834807</v>
      </c>
      <c r="H14">
        <f>(SUM(HS!H15:H23)+Rules!$B$5*HS!H24)/(9+Rules!$B$5)</f>
        <v>-0.3212819579256434</v>
      </c>
      <c r="I14">
        <f>(SUM(HS!I15:I23)+Rules!$B$5*HS!I24)/(9+Rules!$B$5)</f>
        <v>-0.37191909208726714</v>
      </c>
      <c r="J14">
        <f>(SUM(HS!J15:J23)+Rules!$B$5*HS!J24)/(9+Rules!$B$5)</f>
        <v>-0.43092981848423528</v>
      </c>
      <c r="K14">
        <f>(SUM(HS!K15:K23)+Rules!$B$5*HS!K24)/(9+Rules!$B$5)</f>
        <v>-0.50049824459544523</v>
      </c>
    </row>
    <row r="15" spans="1:11" x14ac:dyDescent="0.2">
      <c r="A15">
        <v>15</v>
      </c>
      <c r="B15">
        <f>(SUM(HS!B16:B24)+Rules!$B$5*HS!B25)/(9+Rules!$B$5)</f>
        <v>-0.572177952827156</v>
      </c>
      <c r="C15">
        <f>(SUM(HS!C16:C24)+Rules!$B$5*HS!C25)/(9+Rules!$B$5)</f>
        <v>-0.4165937412260356</v>
      </c>
      <c r="D15">
        <f>(SUM(HS!D16:D24)+Rules!$B$5*HS!D25)/(9+Rules!$B$5)</f>
        <v>-0.40624853920522963</v>
      </c>
      <c r="E15">
        <f>(SUM(HS!E16:E24)+Rules!$B$5*HS!E25)/(9+Rules!$B$5)</f>
        <v>-0.39559891270778902</v>
      </c>
      <c r="F15">
        <f>(SUM(HS!F16:F24)+Rules!$B$5*HS!F25)/(9+Rules!$B$5)</f>
        <v>-0.38545747846425066</v>
      </c>
      <c r="G15">
        <f>(SUM(HS!G16:G24)+Rules!$B$5*HS!G25)/(9+Rules!$B$5)</f>
        <v>-0.36582642702373236</v>
      </c>
      <c r="H15">
        <f>(SUM(HS!H16:H24)+Rules!$B$5*HS!H25)/(9+Rules!$B$5)</f>
        <v>-0.36976181807381175</v>
      </c>
      <c r="I15">
        <f>(SUM(HS!I16:I24)+Rules!$B$5*HS!I25)/(9+Rules!$B$5)</f>
        <v>-0.41678201408103371</v>
      </c>
      <c r="J15">
        <f>(SUM(HS!J16:J24)+Rules!$B$5*HS!J25)/(9+Rules!$B$5)</f>
        <v>-0.47157768859250415</v>
      </c>
      <c r="K15">
        <f>(SUM(HS!K16:K24)+Rules!$B$5*HS!K25)/(9+Rules!$B$5)</f>
        <v>-0.53617694141005634</v>
      </c>
    </row>
    <row r="16" spans="1:11" x14ac:dyDescent="0.2">
      <c r="A16">
        <v>16</v>
      </c>
      <c r="B16">
        <f>(SUM(HS!B17:B25)+Rules!$B$5*HS!B26)/(9+Rules!$B$5)</f>
        <v>-0.60481011846064825</v>
      </c>
      <c r="C16">
        <f>(SUM(HS!C17:C25)+Rules!$B$5*HS!C26)/(9+Rules!$B$5)</f>
        <v>-0.47099499297916814</v>
      </c>
      <c r="D16">
        <f>(SUM(HS!D17:D25)+Rules!$B$5*HS!D26)/(9+Rules!$B$5)</f>
        <v>-0.46376775234094397</v>
      </c>
      <c r="E16">
        <f>(SUM(HS!E17:E25)+Rules!$B$5*HS!E26)/(9+Rules!$B$5)</f>
        <v>-0.45628636586202637</v>
      </c>
      <c r="F16">
        <f>(SUM(HS!F17:F25)+Rules!$B$5*HS!F26)/(9+Rules!$B$5)</f>
        <v>-0.4495195814769064</v>
      </c>
      <c r="G16">
        <f>(SUM(HS!G17:G25)+Rules!$B$5*HS!G26)/(9+Rules!$B$5)</f>
        <v>-0.43092650272911659</v>
      </c>
      <c r="H16">
        <f>(SUM(HS!H17:H25)+Rules!$B$5*HS!H26)/(9+Rules!$B$5)</f>
        <v>-0.41477883106853947</v>
      </c>
      <c r="I16">
        <f>(SUM(HS!I17:I25)+Rules!$B$5*HS!I26)/(9+Rules!$B$5)</f>
        <v>-0.45844044164667419</v>
      </c>
      <c r="J16">
        <f>(SUM(HS!J17:J25)+Rules!$B$5*HS!J26)/(9+Rules!$B$5)</f>
        <v>-0.50932213940732529</v>
      </c>
      <c r="K16">
        <f>(SUM(HS!K17:K25)+Rules!$B$5*HS!K26)/(9+Rules!$B$5)</f>
        <v>-0.56930715988076652</v>
      </c>
    </row>
    <row r="17" spans="1:11" x14ac:dyDescent="0.2">
      <c r="A17">
        <v>17</v>
      </c>
      <c r="B17">
        <f>(SUM(HS!B18:B26)+Rules!$B$5*HS!B27)/(9+Rules!$B$5)</f>
        <v>-0.6460133870574184</v>
      </c>
      <c r="C17">
        <f>(SUM(HS!C18:C26)+Rules!$B$5*HS!C27)/(9+Rules!$B$5)</f>
        <v>-0.53615079392674181</v>
      </c>
      <c r="D17">
        <f>(SUM(HS!D18:D26)+Rules!$B$5*HS!D27)/(9+Rules!$B$5)</f>
        <v>-0.53167419530828441</v>
      </c>
      <c r="E17">
        <f>(SUM(HS!E18:E26)+Rules!$B$5*HS!E27)/(9+Rules!$B$5)</f>
        <v>-0.52701149100469435</v>
      </c>
      <c r="F17">
        <f>(SUM(HS!F18:F26)+Rules!$B$5*HS!F27)/(9+Rules!$B$5)</f>
        <v>-0.52298562951037375</v>
      </c>
      <c r="G17">
        <f>(SUM(HS!G18:G26)+Rules!$B$5*HS!G27)/(9+Rules!$B$5)</f>
        <v>-0.50875259201168133</v>
      </c>
      <c r="H17">
        <f>(SUM(HS!H18:H26)+Rules!$B$5*HS!H27)/(9+Rules!$B$5)</f>
        <v>-0.48348583187756294</v>
      </c>
      <c r="I17">
        <f>(SUM(HS!I18:I26)+Rules!$B$5*HS!I27)/(9+Rules!$B$5)</f>
        <v>-0.50598267464294744</v>
      </c>
      <c r="J17">
        <f>(SUM(HS!J18:J26)+Rules!$B$5*HS!J27)/(9+Rules!$B$5)</f>
        <v>-0.55369489020384699</v>
      </c>
      <c r="K17">
        <f>(SUM(HS!K18:K26)+Rules!$B$5*HS!K27)/(9+Rules!$B$5)</f>
        <v>-0.61051042847753678</v>
      </c>
    </row>
    <row r="18" spans="1:11" x14ac:dyDescent="0.2">
      <c r="A18">
        <v>18</v>
      </c>
      <c r="B18">
        <f>(SUM(HS!B19:B27)+Rules!$B$5*HS!B28)/(9+Rules!$B$5)</f>
        <v>-0.70435886158074468</v>
      </c>
      <c r="C18">
        <f>(SUM(HS!C19:C27)+Rules!$B$5*HS!C28)/(9+Rules!$B$5)</f>
        <v>-0.62243863255911769</v>
      </c>
      <c r="D18">
        <f>(SUM(HS!D19:D27)+Rules!$B$5*HS!D28)/(9+Rules!$B$5)</f>
        <v>-0.62000497014223144</v>
      </c>
      <c r="E18">
        <f>(SUM(HS!E19:E27)+Rules!$B$5*HS!E28)/(9+Rules!$B$5)</f>
        <v>-0.6174618323275779</v>
      </c>
      <c r="F18">
        <f>(SUM(HS!F19:F27)+Rules!$B$5*HS!F28)/(9+Rules!$B$5)</f>
        <v>-0.6152595675854643</v>
      </c>
      <c r="G18">
        <f>(SUM(HS!G19:G27)+Rules!$B$5*HS!G28)/(9+Rules!$B$5)</f>
        <v>-0.60747904709221201</v>
      </c>
      <c r="H18">
        <f>(SUM(HS!H19:H27)+Rules!$B$5*HS!H28)/(9+Rules!$B$5)</f>
        <v>-0.59114384474960535</v>
      </c>
      <c r="I18">
        <f>(SUM(HS!I19:I27)+Rules!$B$5*HS!I28)/(9+Rules!$B$5)</f>
        <v>-0.59105585530595706</v>
      </c>
      <c r="J18">
        <f>(SUM(HS!J19:J27)+Rules!$B$5*HS!J28)/(9+Rules!$B$5)</f>
        <v>-0.61652847815204459</v>
      </c>
      <c r="K18">
        <f>(SUM(HS!K19:K27)+Rules!$B$5*HS!K28)/(9+Rules!$B$5)</f>
        <v>-0.66885590300086295</v>
      </c>
    </row>
    <row r="19" spans="1:11" x14ac:dyDescent="0.2">
      <c r="A19">
        <v>19</v>
      </c>
      <c r="B19">
        <f>(SUM(HS!B20:B28)+Rules!$B$5*HS!B29)/(9+Rules!$B$5)</f>
        <v>-0.77984654203062687</v>
      </c>
      <c r="C19">
        <f>(SUM(HS!C20:C28)+Rules!$B$5*HS!C29)/(9+Rules!$B$5)</f>
        <v>-0.72907745456070161</v>
      </c>
      <c r="D19">
        <f>(SUM(HS!D20:D28)+Rules!$B$5*HS!D29)/(9+Rules!$B$5)</f>
        <v>-0.72803288834205915</v>
      </c>
      <c r="E19">
        <f>(SUM(HS!E20:E28)+Rules!$B$5*HS!E29)/(9+Rules!$B$5)</f>
        <v>-0.72693713423738526</v>
      </c>
      <c r="F19">
        <f>(SUM(HS!F20:F28)+Rules!$B$5*HS!F29)/(9+Rules!$B$5)</f>
        <v>-0.72599126790553226</v>
      </c>
      <c r="G19">
        <f>(SUM(HS!G20:G28)+Rules!$B$5*HS!G29)/(9+Rules!$B$5)</f>
        <v>-0.72255420661431358</v>
      </c>
      <c r="H19">
        <f>(SUM(HS!H20:H28)+Rules!$B$5*HS!H29)/(9+Rules!$B$5)</f>
        <v>-0.71544972903833093</v>
      </c>
      <c r="I19">
        <f>(SUM(HS!I20:I28)+Rules!$B$5*HS!I29)/(9+Rules!$B$5)</f>
        <v>-0.71365998363570271</v>
      </c>
      <c r="J19">
        <f>(SUM(HS!J20:J28)+Rules!$B$5*HS!J29)/(9+Rules!$B$5)</f>
        <v>-0.71557438254185846</v>
      </c>
      <c r="K19">
        <f>(SUM(HS!K20:K28)+Rules!$B$5*HS!K29)/(9+Rules!$B$5)</f>
        <v>-0.74434358345074514</v>
      </c>
    </row>
    <row r="20" spans="1:11" x14ac:dyDescent="0.2">
      <c r="A20">
        <v>20</v>
      </c>
      <c r="B20">
        <f>(SUM(HS!B21:B29)+Rules!$B$5*HS!B30)/(9+Rules!$B$5)</f>
        <v>-0.87247642840706496</v>
      </c>
      <c r="C20">
        <f>(SUM(HS!C21:C29)+Rules!$B$5*HS!C30)/(9+Rules!$B$5)</f>
        <v>-0.85523026803891988</v>
      </c>
      <c r="D20">
        <f>(SUM(HS!D21:D29)+Rules!$B$5*HS!D30)/(9+Rules!$B$5)</f>
        <v>-0.85497689559217327</v>
      </c>
      <c r="E20">
        <f>(SUM(HS!E21:E29)+Rules!$B$5*HS!E30)/(9+Rules!$B$5)</f>
        <v>-0.85471020823339083</v>
      </c>
      <c r="F20">
        <f>(SUM(HS!F21:F29)+Rules!$B$5*HS!F30)/(9+Rules!$B$5)</f>
        <v>-0.85448047487728607</v>
      </c>
      <c r="G20">
        <f>(SUM(HS!G21:G29)+Rules!$B$5*HS!G30)/(9+Rules!$B$5)</f>
        <v>-0.85362794278133991</v>
      </c>
      <c r="H20">
        <f>(SUM(HS!H21:H29)+Rules!$B$5*HS!H30)/(9+Rules!$B$5)</f>
        <v>-0.85185182338734444</v>
      </c>
      <c r="I20">
        <f>(SUM(HS!I21:I29)+Rules!$B$5*HS!I30)/(9+Rules!$B$5)</f>
        <v>-0.85149191898584875</v>
      </c>
      <c r="J20">
        <f>(SUM(HS!J21:J29)+Rules!$B$5*HS!J30)/(9+Rules!$B$5)</f>
        <v>-0.85083260337328892</v>
      </c>
      <c r="K20">
        <f>(SUM(HS!K21:K29)+Rules!$B$5*HS!K30)/(9+Rules!$B$5)</f>
        <v>-0.85472494911712416</v>
      </c>
    </row>
    <row r="21" spans="1:11" x14ac:dyDescent="0.2">
      <c r="A21">
        <v>21</v>
      </c>
      <c r="B21">
        <f>(SUM(HS!B22:B30)+Rules!$B$5*HS!B31)/(9+Rules!$B$5)</f>
        <v>-1</v>
      </c>
      <c r="C21">
        <f>(SUM(HS!C22:C30)+Rules!$B$5*HS!C31)/(9+Rules!$B$5)</f>
        <v>-1</v>
      </c>
      <c r="D21">
        <f>(SUM(HS!D22:D30)+Rules!$B$5*HS!D31)/(9+Rules!$B$5)</f>
        <v>-1</v>
      </c>
      <c r="E21">
        <f>(SUM(HS!E22:E30)+Rules!$B$5*HS!E31)/(9+Rules!$B$5)</f>
        <v>-1</v>
      </c>
      <c r="F21">
        <f>(SUM(HS!F22:F30)+Rules!$B$5*HS!F31)/(9+Rules!$B$5)</f>
        <v>-1</v>
      </c>
      <c r="G21">
        <f>(SUM(HS!G22:G30)+Rules!$B$5*HS!G31)/(9+Rules!$B$5)</f>
        <v>-1</v>
      </c>
      <c r="H21">
        <f>(SUM(HS!H22:H30)+Rules!$B$5*HS!H31)/(9+Rules!$B$5)</f>
        <v>-1</v>
      </c>
      <c r="I21">
        <f>(SUM(HS!I22:I30)+Rules!$B$5*HS!I31)/(9+Rules!$B$5)</f>
        <v>-1</v>
      </c>
      <c r="J21">
        <f>(SUM(HS!J22:J30)+Rules!$B$5*HS!J31)/(9+Rules!$B$5)</f>
        <v>-1</v>
      </c>
      <c r="K21">
        <f>(SUM(HS!K22:K30)+Rules!$B$5*HS!K31)/(9+Rules!$B$5)</f>
        <v>-1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(SUM(HS!B35:B43)+Rules!$B$5*HS!B44)/(9+Rules!$B$5)</f>
        <v>7.4082476325384949E-2</v>
      </c>
      <c r="C34">
        <f>(SUM(HS!C35:C43)+Rules!$B$5*HS!C44)/(9+Rules!$B$5)</f>
        <v>0.3696374242362967</v>
      </c>
      <c r="D34">
        <f>(SUM(HS!D35:D43)+Rules!$B$5*HS!D44)/(9+Rules!$B$5)</f>
        <v>0.38767410174512951</v>
      </c>
      <c r="E34">
        <f>(SUM(HS!E35:E43)+Rules!$B$5*HS!E44)/(9+Rules!$B$5)</f>
        <v>0.40637639293641487</v>
      </c>
      <c r="F34">
        <f>(SUM(HS!F35:F43)+Rules!$B$5*HS!F44)/(9+Rules!$B$5)</f>
        <v>0.42575273133176267</v>
      </c>
      <c r="G34">
        <f>(SUM(HS!G35:G43)+Rules!$B$5*HS!G44)/(9+Rules!$B$5)</f>
        <v>0.45589668319225651</v>
      </c>
      <c r="H34">
        <f>(SUM(HS!H35:H43)+Rules!$B$5*HS!H44)/(9+Rules!$B$5)</f>
        <v>0.45736852128859351</v>
      </c>
      <c r="I34">
        <f>(SUM(HS!I35:I43)+Rules!$B$5*HS!I44)/(9+Rules!$B$5)</f>
        <v>0.40074805174057659</v>
      </c>
      <c r="J34">
        <f>(SUM(HS!J35:J43)+Rules!$B$5*HS!J44)/(9+Rules!$B$5)</f>
        <v>0.32142328174266549</v>
      </c>
      <c r="K34">
        <f>(SUM(HS!K35:K43)+Rules!$B$5*HS!K44)/(9+Rules!$B$5)</f>
        <v>0.19656557835630536</v>
      </c>
    </row>
    <row r="35" spans="1:11" x14ac:dyDescent="0.2">
      <c r="A35">
        <v>12</v>
      </c>
      <c r="B35">
        <f>(SUM(HS!B36:B44)+Rules!$B$5*HS!B45)/(9+Rules!$B$5)</f>
        <v>-0.20521353107155851</v>
      </c>
      <c r="C35">
        <f>(SUM(HS!C36:C44)+Rules!$B$5*HS!C45)/(9+Rules!$B$5)</f>
        <v>8.1836216051656044E-2</v>
      </c>
      <c r="D35">
        <f>(SUM(HS!D36:D44)+Rules!$B$5*HS!D45)/(9+Rules!$B$5)</f>
        <v>0.10350704654207775</v>
      </c>
      <c r="E35">
        <f>(SUM(HS!E36:E44)+Rules!$B$5*HS!E45)/(9+Rules!$B$5)</f>
        <v>0.12659562809256977</v>
      </c>
      <c r="F35">
        <f>(SUM(HS!F36:F44)+Rules!$B$5*HS!F45)/(9+Rules!$B$5)</f>
        <v>0.15648238458465519</v>
      </c>
      <c r="G35">
        <f>(SUM(HS!G36:G44)+Rules!$B$5*HS!G45)/(9+Rules!$B$5)</f>
        <v>0.18595361333225549</v>
      </c>
      <c r="H35">
        <f>(SUM(HS!H36:H44)+Rules!$B$5*HS!H45)/(9+Rules!$B$5)</f>
        <v>0.16547293077063496</v>
      </c>
      <c r="I35">
        <f>(SUM(HS!I36:I44)+Rules!$B$5*HS!I45)/(9+Rules!$B$5)</f>
        <v>9.5115020927032307E-2</v>
      </c>
      <c r="J35">
        <f>(SUM(HS!J36:J44)+Rules!$B$5*HS!J45)/(9+Rules!$B$5)</f>
        <v>6.5790841226897296E-5</v>
      </c>
      <c r="K35">
        <f>(SUM(HS!K36:K44)+Rules!$B$5*HS!K45)/(9+Rules!$B$5)</f>
        <v>-0.12808280155666141</v>
      </c>
    </row>
    <row r="36" spans="1:11" x14ac:dyDescent="0.2">
      <c r="A36">
        <v>13</v>
      </c>
      <c r="B36">
        <f>(SUM(HS!B37:B45)+Rules!$B$5*HS!B46)/(9+Rules!$B$5)</f>
        <v>-0.23472177802444921</v>
      </c>
      <c r="C36">
        <f>(SUM(HS!C37:C45)+Rules!$B$5*HS!C46)/(9+Rules!$B$5)</f>
        <v>4.6636132695309543E-2</v>
      </c>
      <c r="D36">
        <f>(SUM(HS!D37:D45)+Rules!$B$5*HS!D46)/(9+Rules!$B$5)</f>
        <v>7.4118813392744051E-2</v>
      </c>
      <c r="E36">
        <f>(SUM(HS!E37:E45)+Rules!$B$5*HS!E46)/(9+Rules!$B$5)</f>
        <v>0.10247714687203523</v>
      </c>
      <c r="F36">
        <f>(SUM(HS!F37:F45)+Rules!$B$5*HS!F46)/(9+Rules!$B$5)</f>
        <v>0.13336273848321728</v>
      </c>
      <c r="G36">
        <f>(SUM(HS!G37:G45)+Rules!$B$5*HS!G46)/(9+Rules!$B$5)</f>
        <v>0.16169271124923693</v>
      </c>
      <c r="H36">
        <f>(SUM(HS!H37:H45)+Rules!$B$5*HS!H46)/(9+Rules!$B$5)</f>
        <v>0.12238569517899196</v>
      </c>
      <c r="I36">
        <f>(SUM(HS!I37:I45)+Rules!$B$5*HS!I46)/(9+Rules!$B$5)</f>
        <v>5.4057070196311334E-2</v>
      </c>
      <c r="J36">
        <f>(SUM(HS!J37:J45)+Rules!$B$5*HS!J46)/(9+Rules!$B$5)</f>
        <v>-3.7694688127479885E-2</v>
      </c>
      <c r="K36">
        <f>(SUM(HS!K37:K45)+Rules!$B$5*HS!K46)/(9+Rules!$B$5)</f>
        <v>-0.16080628455762785</v>
      </c>
    </row>
    <row r="37" spans="1:11" x14ac:dyDescent="0.2">
      <c r="A37">
        <v>14</v>
      </c>
      <c r="B37">
        <f>(SUM(HS!B38:B46)+Rules!$B$5*HS!B47)/(9+Rules!$B$5)</f>
        <v>-0.26406959413166387</v>
      </c>
      <c r="C37">
        <f>(SUM(HS!C38:C46)+Rules!$B$5*HS!C47)/(9+Rules!$B$5)</f>
        <v>2.2391856987839083E-2</v>
      </c>
      <c r="D37">
        <f>(SUM(HS!D38:D46)+Rules!$B$5*HS!D47)/(9+Rules!$B$5)</f>
        <v>5.0806738919282814E-2</v>
      </c>
      <c r="E37">
        <f>(SUM(HS!E38:E46)+Rules!$B$5*HS!E47)/(9+Rules!$B$5)</f>
        <v>8.0081414310110233E-2</v>
      </c>
      <c r="F37">
        <f>(SUM(HS!F38:F46)+Rules!$B$5*HS!F47)/(9+Rules!$B$5)</f>
        <v>0.11189449567473925</v>
      </c>
      <c r="G37">
        <f>(SUM(HS!G38:G46)+Rules!$B$5*HS!G47)/(9+Rules!$B$5)</f>
        <v>0.1391647307435768</v>
      </c>
      <c r="H37">
        <f>(SUM(HS!H38:H46)+Rules!$B$5*HS!H47)/(9+Rules!$B$5)</f>
        <v>7.9507488494468148E-2</v>
      </c>
      <c r="I37">
        <f>(SUM(HS!I38:I46)+Rules!$B$5*HS!I47)/(9+Rules!$B$5)</f>
        <v>1.3277219463208478E-2</v>
      </c>
      <c r="J37">
        <f>(SUM(HS!J38:J46)+Rules!$B$5*HS!J47)/(9+Rules!$B$5)</f>
        <v>-7.516318944168382E-2</v>
      </c>
      <c r="K37">
        <f>(SUM(HS!K38:K46)+Rules!$B$5*HS!K47)/(9+Rules!$B$5)</f>
        <v>-0.1933035414076569</v>
      </c>
    </row>
    <row r="38" spans="1:11" x14ac:dyDescent="0.2">
      <c r="A38">
        <v>15</v>
      </c>
      <c r="B38">
        <f>(SUM(HS!B39:B47)+Rules!$B$5*HS!B48)/(9+Rules!$B$5)</f>
        <v>-0.29312934580507005</v>
      </c>
      <c r="C38">
        <f>(SUM(HS!C39:C47)+Rules!$B$5*HS!C48)/(9+Rules!$B$5)</f>
        <v>-1.2068474052636583E-4</v>
      </c>
      <c r="D38">
        <f>(SUM(HS!D39:D47)+Rules!$B$5*HS!D48)/(9+Rules!$B$5)</f>
        <v>2.9159812622497363E-2</v>
      </c>
      <c r="E38">
        <f>(SUM(HS!E39:E47)+Rules!$B$5*HS!E48)/(9+Rules!$B$5)</f>
        <v>5.9285376931179926E-2</v>
      </c>
      <c r="F38">
        <f>(SUM(HS!F39:F47)+Rules!$B$5*HS!F48)/(9+Rules!$B$5)</f>
        <v>9.1959698781152482E-2</v>
      </c>
      <c r="G38">
        <f>(SUM(HS!G39:G47)+Rules!$B$5*HS!G48)/(9+Rules!$B$5)</f>
        <v>0.11824589170260671</v>
      </c>
      <c r="H38">
        <f>(SUM(HS!H39:H47)+Rules!$B$5*HS!H48)/(9+Rules!$B$5)</f>
        <v>3.7028282279269235E-2</v>
      </c>
      <c r="I38">
        <f>(SUM(HS!I39:I47)+Rules!$B$5*HS!I48)/(9+Rules!$B$5)</f>
        <v>-2.7054780502901672E-2</v>
      </c>
      <c r="J38">
        <f>(SUM(HS!J39:J47)+Rules!$B$5*HS!J48)/(9+Rules!$B$5)</f>
        <v>-0.11218876868994289</v>
      </c>
      <c r="K38">
        <f>(SUM(HS!K39:K47)+Rules!$B$5*HS!K48)/(9+Rules!$B$5)</f>
        <v>-0.22543993358238781</v>
      </c>
    </row>
    <row r="39" spans="1:11" x14ac:dyDescent="0.2">
      <c r="A39">
        <v>16</v>
      </c>
      <c r="B39">
        <f>(SUM(HS!B40:B48)+Rules!$B$5*HS!B49)/(9+Rules!$B$5)</f>
        <v>-0.31409107314591783</v>
      </c>
      <c r="C39">
        <f>(SUM(HS!C40:C48)+Rules!$B$5*HS!C49)/(9+Rules!$B$5)</f>
        <v>-2.1025187774008566E-2</v>
      </c>
      <c r="D39">
        <f>(SUM(HS!D40:D48)+Rules!$B$5*HS!D49)/(9+Rules!$B$5)</f>
        <v>9.0590953469108244E-3</v>
      </c>
      <c r="E39">
        <f>(SUM(HS!E40:E48)+Rules!$B$5*HS!E49)/(9+Rules!$B$5)</f>
        <v>3.9974770793601705E-2</v>
      </c>
      <c r="F39">
        <f>(SUM(HS!F40:F48)+Rules!$B$5*HS!F49)/(9+Rules!$B$5)</f>
        <v>7.3448815951393354E-2</v>
      </c>
      <c r="G39">
        <f>(SUM(HS!G40:G48)+Rules!$B$5*HS!G49)/(9+Rules!$B$5)</f>
        <v>9.8821255450277368E-2</v>
      </c>
      <c r="H39">
        <f>(SUM(HS!H40:H48)+Rules!$B$5*HS!H49)/(9+Rules!$B$5)</f>
        <v>-4.8901571730158942E-3</v>
      </c>
      <c r="I39">
        <f>(SUM(HS!I40:I48)+Rules!$B$5*HS!I49)/(9+Rules!$B$5)</f>
        <v>-6.6794847920094103E-2</v>
      </c>
      <c r="J39">
        <f>(SUM(HS!J40:J48)+Rules!$B$5*HS!J49)/(9+Rules!$B$5)</f>
        <v>-0.14864353463007471</v>
      </c>
      <c r="K39">
        <f>(SUM(HS!K40:K48)+Rules!$B$5*HS!K49)/(9+Rules!$B$5)</f>
        <v>-0.25710121084742421</v>
      </c>
    </row>
    <row r="40" spans="1:11" x14ac:dyDescent="0.2">
      <c r="A40">
        <v>17</v>
      </c>
      <c r="B40">
        <f>(SUM(HS!B41:B49)+Rules!$B$5*HS!B50)/(9+Rules!$B$5)</f>
        <v>-0.30094774596936263</v>
      </c>
      <c r="C40">
        <f>(SUM(HS!C41:C49)+Rules!$B$5*HS!C50)/(9+Rules!$B$5)</f>
        <v>-4.9104358288916297E-4</v>
      </c>
      <c r="D40">
        <f>(SUM(HS!D41:D49)+Rules!$B$5*HS!D50)/(9+Rules!$B$5)</f>
        <v>2.8975282965620523E-2</v>
      </c>
      <c r="E40">
        <f>(SUM(HS!E41:E49)+Rules!$B$5*HS!E50)/(9+Rules!$B$5)</f>
        <v>5.9326275337164343E-2</v>
      </c>
      <c r="F40">
        <f>(SUM(HS!F41:F49)+Rules!$B$5*HS!F50)/(9+Rules!$B$5)</f>
        <v>9.1189077686774395E-2</v>
      </c>
      <c r="G40">
        <f>(SUM(HS!G41:G49)+Rules!$B$5*HS!G50)/(9+Rules!$B$5)</f>
        <v>0.12805214364549905</v>
      </c>
      <c r="H40">
        <f>(SUM(HS!H41:H49)+Rules!$B$5*HS!H50)/(9+Rules!$B$5)</f>
        <v>5.3823463716116654E-2</v>
      </c>
      <c r="I40">
        <f>(SUM(HS!I41:I49)+Rules!$B$5*HS!I50)/(9+Rules!$B$5)</f>
        <v>-7.2915398729642075E-2</v>
      </c>
      <c r="J40">
        <f>(SUM(HS!J41:J49)+Rules!$B$5*HS!J50)/(9+Rules!$B$5)</f>
        <v>-0.14978689218213323</v>
      </c>
      <c r="K40">
        <f>(SUM(HS!K41:K49)+Rules!$B$5*HS!K50)/(9+Rules!$B$5)</f>
        <v>-0.24941602102444038</v>
      </c>
    </row>
    <row r="41" spans="1:11" x14ac:dyDescent="0.2">
      <c r="A41">
        <v>18</v>
      </c>
      <c r="B41">
        <f>(SUM(HS!B42:B50)+Rules!$B$5*HS!B51)/(9+Rules!$B$5)</f>
        <v>-0.24952112818969466</v>
      </c>
      <c r="C41">
        <f>(SUM(HS!C42:C50)+Rules!$B$5*HS!C51)/(9+Rules!$B$5)</f>
        <v>6.2905069471517722E-2</v>
      </c>
      <c r="D41">
        <f>(SUM(HS!D42:D50)+Rules!$B$5*HS!D51)/(9+Rules!$B$5)</f>
        <v>9.0248278565440085E-2</v>
      </c>
      <c r="E41">
        <f>(SUM(HS!E42:E50)+Rules!$B$5*HS!E51)/(9+Rules!$B$5)</f>
        <v>0.11850192387781082</v>
      </c>
      <c r="F41">
        <f>(SUM(HS!F42:F50)+Rules!$B$5*HS!F51)/(9+Rules!$B$5)</f>
        <v>0.14761274781164402</v>
      </c>
      <c r="G41">
        <f>(SUM(HS!G42:G50)+Rules!$B$5*HS!G51)/(9+Rules!$B$5)</f>
        <v>0.19075324103939673</v>
      </c>
      <c r="H41">
        <f>(SUM(HS!H42:H50)+Rules!$B$5*HS!H51)/(9+Rules!$B$5)</f>
        <v>0.17067649990517353</v>
      </c>
      <c r="I41">
        <f>(SUM(HS!I42:I50)+Rules!$B$5*HS!I51)/(9+Rules!$B$5)</f>
        <v>3.9677444270566554E-2</v>
      </c>
      <c r="J41">
        <f>(SUM(HS!J42:J50)+Rules!$B$5*HS!J51)/(9+Rules!$B$5)</f>
        <v>-0.10074430758041522</v>
      </c>
      <c r="K41">
        <f>(SUM(HS!K42:K50)+Rules!$B$5*HS!K51)/(9+Rules!$B$5)</f>
        <v>-0.20109793381277147</v>
      </c>
    </row>
    <row r="42" spans="1:11" x14ac:dyDescent="0.2">
      <c r="A42">
        <v>19</v>
      </c>
      <c r="B42">
        <f>(SUM(HS!B43:B51)+Rules!$B$5*HS!B52)/(9+Rules!$B$5)</f>
        <v>-0.19809451041002663</v>
      </c>
      <c r="C42">
        <f>(SUM(HS!C43:C51)+Rules!$B$5*HS!C52)/(9+Rules!$B$5)</f>
        <v>0.12395801957914128</v>
      </c>
      <c r="D42">
        <f>(SUM(HS!D43:D51)+Rules!$B$5*HS!D52)/(9+Rules!$B$5)</f>
        <v>0.14933970866308213</v>
      </c>
      <c r="E42">
        <f>(SUM(HS!E43:E51)+Rules!$B$5*HS!E52)/(9+Rules!$B$5)</f>
        <v>0.17557680563858263</v>
      </c>
      <c r="F42">
        <f>(SUM(HS!F43:F51)+Rules!$B$5*HS!F52)/(9+Rules!$B$5)</f>
        <v>0.20298603454657632</v>
      </c>
      <c r="G42">
        <f>(SUM(HS!G43:G51)+Rules!$B$5*HS!G52)/(9+Rules!$B$5)</f>
        <v>0.23979935436410921</v>
      </c>
      <c r="H42">
        <f>(SUM(HS!H43:H51)+Rules!$B$5*HS!H52)/(9+Rules!$B$5)</f>
        <v>0.2206201141552227</v>
      </c>
      <c r="I42">
        <f>(SUM(HS!I43:I51)+Rules!$B$5*HS!I52)/(9+Rules!$B$5)</f>
        <v>0.15227028727077524</v>
      </c>
      <c r="J42">
        <f>(SUM(HS!J43:J51)+Rules!$B$5*HS!J52)/(9+Rules!$B$5)</f>
        <v>7.8926417444343377E-3</v>
      </c>
      <c r="K42">
        <f>(SUM(HS!K43:K51)+Rules!$B$5*HS!K52)/(9+Rules!$B$5)</f>
        <v>-0.14967131603310346</v>
      </c>
    </row>
    <row r="43" spans="1:11" x14ac:dyDescent="0.2">
      <c r="A43">
        <v>20</v>
      </c>
      <c r="B43">
        <f>(SUM(HS!B44:B52)+Rules!$B$5*HS!B53)/(9+Rules!$B$5)</f>
        <v>-0.14666789263035859</v>
      </c>
      <c r="C43">
        <f>(SUM(HS!C44:C52)+Rules!$B$5*HS!C53)/(9+Rules!$B$5)</f>
        <v>0.18249999400904487</v>
      </c>
      <c r="D43">
        <f>(SUM(HS!D44:D52)+Rules!$B$5*HS!D53)/(9+Rules!$B$5)</f>
        <v>0.20608797581394089</v>
      </c>
      <c r="E43">
        <f>(SUM(HS!E44:E52)+Rules!$B$5*HS!E53)/(9+Rules!$B$5)</f>
        <v>0.230470121897177</v>
      </c>
      <c r="F43">
        <f>(SUM(HS!F44:F52)+Rules!$B$5*HS!F53)/(9+Rules!$B$5)</f>
        <v>0.25625855450163387</v>
      </c>
      <c r="G43">
        <f>(SUM(HS!G44:G52)+Rules!$B$5*HS!G53)/(9+Rules!$B$5)</f>
        <v>0.28779508429888429</v>
      </c>
      <c r="H43">
        <f>(SUM(HS!H44:H52)+Rules!$B$5*HS!H53)/(9+Rules!$B$5)</f>
        <v>0.25690874433608657</v>
      </c>
      <c r="I43">
        <f>(SUM(HS!I44:I52)+Rules!$B$5*HS!I53)/(9+Rules!$B$5)</f>
        <v>0.19795370833197612</v>
      </c>
      <c r="J43">
        <f>(SUM(HS!J44:J52)+Rules!$B$5*HS!J53)/(9+Rules!$B$5)</f>
        <v>0.11652959106928391</v>
      </c>
      <c r="K43">
        <f>(SUM(HS!K44:K52)+Rules!$B$5*HS!K53)/(9+Rules!$B$5)</f>
        <v>-4.4990260383612993E-2</v>
      </c>
    </row>
    <row r="44" spans="1:11" x14ac:dyDescent="0.2">
      <c r="A44">
        <v>21</v>
      </c>
      <c r="B44">
        <f>(SUM(HS!B45:B53)+Rules!$B$5*HS!B54)/(9+Rules!$B$5)</f>
        <v>-4.1986836980868178E-2</v>
      </c>
      <c r="C44">
        <f>(SUM(HS!C45:C53)+Rules!$B$5*HS!C54)/(9+Rules!$B$5)</f>
        <v>0.2383507494576298</v>
      </c>
      <c r="D44">
        <f>(SUM(HS!D45:D53)+Rules!$B$5*HS!D54)/(9+Rules!$B$5)</f>
        <v>0.26032526728707961</v>
      </c>
      <c r="E44">
        <f>(SUM(HS!E45:E53)+Rules!$B$5*HS!E54)/(9+Rules!$B$5)</f>
        <v>0.28302027520898798</v>
      </c>
      <c r="F44">
        <f>(SUM(HS!F45:F53)+Rules!$B$5*HS!F54)/(9+Rules!$B$5)</f>
        <v>0.30734950895451402</v>
      </c>
      <c r="G44">
        <f>(SUM(HS!G45:G53)+Rules!$B$5*HS!G54)/(9+Rules!$B$5)</f>
        <v>0.33369004745378472</v>
      </c>
      <c r="H44">
        <f>(SUM(HS!H45:H53)+Rules!$B$5*HS!H54)/(9+Rules!$B$5)</f>
        <v>0.29214699112701309</v>
      </c>
      <c r="I44">
        <f>(SUM(HS!I45:I53)+Rules!$B$5*HS!I54)/(9+Rules!$B$5)</f>
        <v>0.22998214532399175</v>
      </c>
      <c r="J44">
        <f>(SUM(HS!J45:J53)+Rules!$B$5*HS!J54)/(9+Rules!$B$5)</f>
        <v>0.15825711845512572</v>
      </c>
      <c r="K44">
        <f>(SUM(HS!K45:K53)+Rules!$B$5*HS!K54)/(9+Rules!$B$5)</f>
        <v>5.9690795265877464E-2</v>
      </c>
    </row>
    <row r="45" spans="1:11" x14ac:dyDescent="0.2">
      <c r="A45">
        <v>22</v>
      </c>
      <c r="B45">
        <f>B12</f>
        <v>-0.46566058377683939</v>
      </c>
      <c r="C45">
        <f t="shared" ref="C45:K45" si="0">C12</f>
        <v>-0.25338998596663809</v>
      </c>
      <c r="D45">
        <f t="shared" si="0"/>
        <v>-0.2336908997980866</v>
      </c>
      <c r="E45">
        <f t="shared" si="0"/>
        <v>-0.21353655324507695</v>
      </c>
      <c r="F45">
        <f t="shared" si="0"/>
        <v>-0.19327116942628339</v>
      </c>
      <c r="G45">
        <f t="shared" si="0"/>
        <v>-0.17052619990757953</v>
      </c>
      <c r="H45">
        <f t="shared" si="0"/>
        <v>-0.21284771451731424</v>
      </c>
      <c r="I45">
        <f t="shared" si="0"/>
        <v>-0.27157480502428616</v>
      </c>
      <c r="J45">
        <f t="shared" si="0"/>
        <v>-0.3400132806089356</v>
      </c>
      <c r="K45">
        <f t="shared" si="0"/>
        <v>-0.42069618899826788</v>
      </c>
    </row>
    <row r="46" spans="1:11" x14ac:dyDescent="0.2">
      <c r="A46">
        <v>23</v>
      </c>
      <c r="B46">
        <f t="shared" ref="B46:K46" si="1">B13</f>
        <v>-0.50382768493563657</v>
      </c>
      <c r="C46">
        <f t="shared" si="1"/>
        <v>-0.30779123771977057</v>
      </c>
      <c r="D46">
        <f t="shared" si="1"/>
        <v>-0.29121011293380095</v>
      </c>
      <c r="E46">
        <f t="shared" si="1"/>
        <v>-0.27422400639931432</v>
      </c>
      <c r="F46">
        <f t="shared" si="1"/>
        <v>-0.25733327243893911</v>
      </c>
      <c r="G46">
        <f t="shared" si="1"/>
        <v>-0.23562627561296379</v>
      </c>
      <c r="H46">
        <f t="shared" si="1"/>
        <v>-0.26907287776607752</v>
      </c>
      <c r="I46">
        <f t="shared" si="1"/>
        <v>-0.32360517609397998</v>
      </c>
      <c r="J46">
        <f t="shared" si="1"/>
        <v>-0.38715518913686875</v>
      </c>
      <c r="K46">
        <f t="shared" si="1"/>
        <v>-0.46207503264124877</v>
      </c>
    </row>
    <row r="47" spans="1:11" x14ac:dyDescent="0.2">
      <c r="A47">
        <v>24</v>
      </c>
      <c r="B47">
        <f t="shared" ref="B47:K47" si="2">B14</f>
        <v>-0.53926856458309114</v>
      </c>
      <c r="C47">
        <f t="shared" si="2"/>
        <v>-0.36219248947290311</v>
      </c>
      <c r="D47">
        <f t="shared" si="2"/>
        <v>-0.34872932606951529</v>
      </c>
      <c r="E47">
        <f t="shared" si="2"/>
        <v>-0.33491145955355167</v>
      </c>
      <c r="F47">
        <f t="shared" si="2"/>
        <v>-0.32139537545159491</v>
      </c>
      <c r="G47">
        <f t="shared" si="2"/>
        <v>-0.30072635131834807</v>
      </c>
      <c r="H47">
        <f t="shared" si="2"/>
        <v>-0.3212819579256434</v>
      </c>
      <c r="I47">
        <f t="shared" si="2"/>
        <v>-0.37191909208726714</v>
      </c>
      <c r="J47">
        <f t="shared" si="2"/>
        <v>-0.43092981848423528</v>
      </c>
      <c r="K47">
        <f t="shared" si="2"/>
        <v>-0.50049824459544523</v>
      </c>
    </row>
    <row r="48" spans="1:11" x14ac:dyDescent="0.2">
      <c r="A48">
        <v>25</v>
      </c>
      <c r="B48">
        <f t="shared" ref="B48:K48" si="3">B15</f>
        <v>-0.572177952827156</v>
      </c>
      <c r="C48">
        <f t="shared" si="3"/>
        <v>-0.4165937412260356</v>
      </c>
      <c r="D48">
        <f t="shared" si="3"/>
        <v>-0.40624853920522963</v>
      </c>
      <c r="E48">
        <f t="shared" si="3"/>
        <v>-0.39559891270778902</v>
      </c>
      <c r="F48">
        <f t="shared" si="3"/>
        <v>-0.38545747846425066</v>
      </c>
      <c r="G48">
        <f t="shared" si="3"/>
        <v>-0.36582642702373236</v>
      </c>
      <c r="H48">
        <f t="shared" si="3"/>
        <v>-0.36976181807381175</v>
      </c>
      <c r="I48">
        <f t="shared" si="3"/>
        <v>-0.41678201408103371</v>
      </c>
      <c r="J48">
        <f t="shared" si="3"/>
        <v>-0.47157768859250415</v>
      </c>
      <c r="K48">
        <f t="shared" si="3"/>
        <v>-0.53617694141005634</v>
      </c>
    </row>
    <row r="49" spans="1:11" x14ac:dyDescent="0.2">
      <c r="A49">
        <v>26</v>
      </c>
      <c r="B49">
        <f t="shared" ref="B49:K49" si="4">B16</f>
        <v>-0.60481011846064825</v>
      </c>
      <c r="C49">
        <f t="shared" si="4"/>
        <v>-0.47099499297916814</v>
      </c>
      <c r="D49">
        <f t="shared" si="4"/>
        <v>-0.46376775234094397</v>
      </c>
      <c r="E49">
        <f t="shared" si="4"/>
        <v>-0.45628636586202637</v>
      </c>
      <c r="F49">
        <f t="shared" si="4"/>
        <v>-0.4495195814769064</v>
      </c>
      <c r="G49">
        <f t="shared" si="4"/>
        <v>-0.43092650272911659</v>
      </c>
      <c r="H49">
        <f t="shared" si="4"/>
        <v>-0.41477883106853947</v>
      </c>
      <c r="I49">
        <f t="shared" si="4"/>
        <v>-0.45844044164667419</v>
      </c>
      <c r="J49">
        <f t="shared" si="4"/>
        <v>-0.50932213940732529</v>
      </c>
      <c r="K49">
        <f t="shared" si="4"/>
        <v>-0.56930715988076652</v>
      </c>
    </row>
    <row r="50" spans="1:11" x14ac:dyDescent="0.2">
      <c r="A50">
        <v>27</v>
      </c>
      <c r="B50">
        <f t="shared" ref="B50:K50" si="5">B17</f>
        <v>-0.6460133870574184</v>
      </c>
      <c r="C50">
        <f t="shared" si="5"/>
        <v>-0.53615079392674181</v>
      </c>
      <c r="D50">
        <f t="shared" si="5"/>
        <v>-0.53167419530828441</v>
      </c>
      <c r="E50">
        <f t="shared" si="5"/>
        <v>-0.52701149100469435</v>
      </c>
      <c r="F50">
        <f t="shared" si="5"/>
        <v>-0.52298562951037375</v>
      </c>
      <c r="G50">
        <f t="shared" si="5"/>
        <v>-0.50875259201168133</v>
      </c>
      <c r="H50">
        <f t="shared" si="5"/>
        <v>-0.48348583187756294</v>
      </c>
      <c r="I50">
        <f t="shared" si="5"/>
        <v>-0.50598267464294744</v>
      </c>
      <c r="J50">
        <f t="shared" si="5"/>
        <v>-0.55369489020384699</v>
      </c>
      <c r="K50">
        <f t="shared" si="5"/>
        <v>-0.61051042847753678</v>
      </c>
    </row>
    <row r="51" spans="1:11" x14ac:dyDescent="0.2">
      <c r="A51">
        <v>28</v>
      </c>
      <c r="B51">
        <f t="shared" ref="B51:K51" si="6">B18</f>
        <v>-0.70435886158074468</v>
      </c>
      <c r="C51">
        <f t="shared" si="6"/>
        <v>-0.62243863255911769</v>
      </c>
      <c r="D51">
        <f t="shared" si="6"/>
        <v>-0.62000497014223144</v>
      </c>
      <c r="E51">
        <f t="shared" si="6"/>
        <v>-0.6174618323275779</v>
      </c>
      <c r="F51">
        <f t="shared" si="6"/>
        <v>-0.6152595675854643</v>
      </c>
      <c r="G51">
        <f t="shared" si="6"/>
        <v>-0.60747904709221201</v>
      </c>
      <c r="H51">
        <f t="shared" si="6"/>
        <v>-0.59114384474960535</v>
      </c>
      <c r="I51">
        <f t="shared" si="6"/>
        <v>-0.59105585530595706</v>
      </c>
      <c r="J51">
        <f t="shared" si="6"/>
        <v>-0.61652847815204459</v>
      </c>
      <c r="K51">
        <f t="shared" si="6"/>
        <v>-0.66885590300086295</v>
      </c>
    </row>
    <row r="52" spans="1:11" x14ac:dyDescent="0.2">
      <c r="A52">
        <v>29</v>
      </c>
      <c r="B52">
        <f t="shared" ref="B52:K52" si="7">B19</f>
        <v>-0.77984654203062687</v>
      </c>
      <c r="C52">
        <f t="shared" si="7"/>
        <v>-0.72907745456070161</v>
      </c>
      <c r="D52">
        <f t="shared" si="7"/>
        <v>-0.72803288834205915</v>
      </c>
      <c r="E52">
        <f t="shared" si="7"/>
        <v>-0.72693713423738526</v>
      </c>
      <c r="F52">
        <f t="shared" si="7"/>
        <v>-0.72599126790553226</v>
      </c>
      <c r="G52">
        <f t="shared" si="7"/>
        <v>-0.72255420661431358</v>
      </c>
      <c r="H52">
        <f t="shared" si="7"/>
        <v>-0.71544972903833093</v>
      </c>
      <c r="I52">
        <f t="shared" si="7"/>
        <v>-0.71365998363570271</v>
      </c>
      <c r="J52">
        <f t="shared" si="7"/>
        <v>-0.71557438254185846</v>
      </c>
      <c r="K52">
        <f t="shared" si="7"/>
        <v>-0.74434358345074514</v>
      </c>
    </row>
    <row r="53" spans="1:11" x14ac:dyDescent="0.2">
      <c r="A53">
        <v>30</v>
      </c>
      <c r="B53">
        <f t="shared" ref="B53:K53" si="8">B20</f>
        <v>-0.87247642840706496</v>
      </c>
      <c r="C53">
        <f t="shared" si="8"/>
        <v>-0.85523026803891988</v>
      </c>
      <c r="D53">
        <f t="shared" si="8"/>
        <v>-0.85497689559217327</v>
      </c>
      <c r="E53">
        <f t="shared" si="8"/>
        <v>-0.85471020823339083</v>
      </c>
      <c r="F53">
        <f t="shared" si="8"/>
        <v>-0.85448047487728607</v>
      </c>
      <c r="G53">
        <f t="shared" si="8"/>
        <v>-0.85362794278133991</v>
      </c>
      <c r="H53">
        <f t="shared" si="8"/>
        <v>-0.85185182338734444</v>
      </c>
      <c r="I53">
        <f t="shared" si="8"/>
        <v>-0.85149191898584875</v>
      </c>
      <c r="J53">
        <f t="shared" si="8"/>
        <v>-0.85083260337328892</v>
      </c>
      <c r="K53">
        <f t="shared" si="8"/>
        <v>-0.85472494911712416</v>
      </c>
    </row>
    <row r="54" spans="1:11" x14ac:dyDescent="0.2">
      <c r="A54">
        <v>31</v>
      </c>
      <c r="B54">
        <f t="shared" ref="B54:K54" si="9">B21</f>
        <v>-1</v>
      </c>
      <c r="C54">
        <f t="shared" si="9"/>
        <v>-1</v>
      </c>
      <c r="D54">
        <f t="shared" si="9"/>
        <v>-1</v>
      </c>
      <c r="E54">
        <f t="shared" si="9"/>
        <v>-1</v>
      </c>
      <c r="F54">
        <f t="shared" si="9"/>
        <v>-1</v>
      </c>
      <c r="G54">
        <f t="shared" si="9"/>
        <v>-1</v>
      </c>
      <c r="H54">
        <f t="shared" si="9"/>
        <v>-1</v>
      </c>
      <c r="I54">
        <f t="shared" si="9"/>
        <v>-1</v>
      </c>
      <c r="J54">
        <f t="shared" si="9"/>
        <v>-1</v>
      </c>
      <c r="K54">
        <f t="shared" si="9"/>
        <v>-1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49" t="s">
        <v>125</v>
      </c>
      <c r="C2" s="155">
        <f>Analysis!B45</f>
        <v>0.34459750221458368</v>
      </c>
      <c r="D2" s="149" t="s">
        <v>126</v>
      </c>
      <c r="E2" s="155">
        <f>Analysis!L45</f>
        <v>0.65540249778541626</v>
      </c>
      <c r="F2" s="149" t="s">
        <v>47</v>
      </c>
      <c r="G2" s="155">
        <f>Analysis!S45</f>
        <v>11.847686064789709</v>
      </c>
      <c r="H2" t="s">
        <v>155</v>
      </c>
      <c r="I2" s="169">
        <f>Analysis!T45</f>
        <v>-12.541231837054113</v>
      </c>
      <c r="J2" t="s">
        <v>48</v>
      </c>
      <c r="K2" s="169">
        <f>C2*G2+E2*I2</f>
        <v>-4.1368716463621862</v>
      </c>
      <c r="L2" t="s">
        <v>47</v>
      </c>
      <c r="M2" s="176">
        <v>3</v>
      </c>
      <c r="N2" t="s">
        <v>155</v>
      </c>
      <c r="O2" s="176">
        <v>7</v>
      </c>
    </row>
    <row r="4" spans="1:23" x14ac:dyDescent="0.2">
      <c r="A4" t="s">
        <v>123</v>
      </c>
      <c r="B4">
        <f>$C$2</f>
        <v>0.34459750221458368</v>
      </c>
      <c r="C4" t="s">
        <v>124</v>
      </c>
      <c r="D4">
        <f>$E$2</f>
        <v>0.65540249778541626</v>
      </c>
      <c r="E4" t="s">
        <v>47</v>
      </c>
      <c r="F4">
        <f>G2</f>
        <v>11.847686064789709</v>
      </c>
      <c r="G4" t="s">
        <v>155</v>
      </c>
      <c r="H4">
        <f>I2</f>
        <v>-12.541231837054113</v>
      </c>
      <c r="I4" t="s">
        <v>48</v>
      </c>
      <c r="J4">
        <f>K2</f>
        <v>-4.1368716463621862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263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0.34459750221458368</v>
      </c>
      <c r="C7" s="95">
        <v>1</v>
      </c>
      <c r="D7" s="22">
        <f>C7*D4</f>
        <v>0.65540249778541626</v>
      </c>
      <c r="E7" s="2"/>
      <c r="F7" s="2"/>
      <c r="G7" s="2"/>
      <c r="H7" s="2"/>
      <c r="I7" s="2"/>
      <c r="J7" s="2"/>
      <c r="K7" s="2"/>
      <c r="L7" s="2"/>
      <c r="M7" s="256"/>
      <c r="N7" s="96">
        <f>B7+D7</f>
        <v>1</v>
      </c>
      <c r="R7" s="296">
        <f>B7-D7</f>
        <v>-0.31080499557083258</v>
      </c>
      <c r="S7" s="297">
        <f>SUM(C7)*B4*F4*POWER(O2,A7-1)</f>
        <v>4.0826830249490644</v>
      </c>
      <c r="T7" s="276">
        <f>SUM(C7)*D4*H4*POWER(O2,A7-1)</f>
        <v>-8.2195546713112506</v>
      </c>
      <c r="U7" s="294">
        <f>S7+T7</f>
        <v>-4.1368716463621862</v>
      </c>
      <c r="V7" s="109">
        <f>(U7+W7*D7)/B7</f>
        <v>-10.103001693868434</v>
      </c>
      <c r="W7" s="57">
        <f>COUNT(D7:M7)</f>
        <v>1</v>
      </c>
    </row>
    <row r="8" spans="1:23" x14ac:dyDescent="0.2">
      <c r="A8" s="99">
        <v>2</v>
      </c>
      <c r="B8" s="97">
        <f>C8*B4</f>
        <v>0.44513018221454215</v>
      </c>
      <c r="C8" s="97">
        <f>1/(1-B4*D4)</f>
        <v>1.2917394332630883</v>
      </c>
      <c r="D8" s="144">
        <f>C8*D4</f>
        <v>0.84660925104854601</v>
      </c>
      <c r="E8" s="1">
        <f>D8*D4</f>
        <v>0.55486981778545763</v>
      </c>
      <c r="F8" s="1"/>
      <c r="G8" s="1"/>
      <c r="H8" s="1"/>
      <c r="I8" s="1"/>
      <c r="J8" s="1"/>
      <c r="K8" s="1"/>
      <c r="L8" s="1"/>
      <c r="M8" s="257"/>
      <c r="N8" s="97">
        <f>B8+E8</f>
        <v>0.99999999999999978</v>
      </c>
      <c r="R8" s="298">
        <f>B8-E8</f>
        <v>-0.10973963557091548</v>
      </c>
      <c r="S8" s="299">
        <f>SUM(C8:D8)*B4*F4*POWER(O2,A8-1)</f>
        <v>61.111399124028921</v>
      </c>
      <c r="T8" s="277">
        <f>SUM(C8:D8)*D4*H4*POWER(O2,A8-1)</f>
        <v>-123.03391741918171</v>
      </c>
      <c r="U8" s="295">
        <f>S8+T8+U7</f>
        <v>-66.059389941514965</v>
      </c>
      <c r="V8" s="93">
        <f>(U8+W8*E8)/B8</f>
        <v>-145.91158474767246</v>
      </c>
      <c r="W8" s="9">
        <f>COUNT(D8:M8)</f>
        <v>2</v>
      </c>
    </row>
    <row r="9" spans="1:23" x14ac:dyDescent="0.2">
      <c r="A9" s="99">
        <v>3</v>
      </c>
      <c r="B9" s="97">
        <f>C9*B4</f>
        <v>0.48654057334041423</v>
      </c>
      <c r="C9" s="97">
        <f>1/(1-D4*B4/(1-D4*B4))</f>
        <v>1.4119097504004583</v>
      </c>
      <c r="D9" s="144">
        <f>C9*D4*C8</f>
        <v>1.1953358563346717</v>
      </c>
      <c r="E9" s="1">
        <f>D9*(D4)</f>
        <v>0.78342610593421325</v>
      </c>
      <c r="F9" s="1">
        <f>E9*D4</f>
        <v>0.51345942665958544</v>
      </c>
      <c r="G9" s="1"/>
      <c r="H9" s="1"/>
      <c r="I9" s="1"/>
      <c r="J9" s="1"/>
      <c r="K9" s="1"/>
      <c r="L9" s="1"/>
      <c r="M9" s="257"/>
      <c r="N9" s="97">
        <f>B9+F9</f>
        <v>0.99999999999999967</v>
      </c>
      <c r="R9" s="298">
        <f>B9-F9</f>
        <v>-2.691885331917121E-2</v>
      </c>
      <c r="S9" s="299">
        <f>SUM(C9:E9)*B4*F4*POWER(O2,A9-1)</f>
        <v>678.30885438001485</v>
      </c>
      <c r="T9" s="277">
        <f>SUM(C9:E9)*D4*H4*POWER(O2,A9-1)</f>
        <v>-1365.6207642229567</v>
      </c>
      <c r="U9" s="295">
        <f t="shared" ref="U9:U16" si="0">S9+T9+U8</f>
        <v>-753.37129978445682</v>
      </c>
      <c r="V9" s="93">
        <f>(U9+W9*F9)/B9</f>
        <v>-1545.258427971741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0.50592767087177426</v>
      </c>
      <c r="C10" s="97">
        <f>1/(1-D4*B4/(1-D4*B4/(1-D4*B4)))</f>
        <v>1.4681698724465186</v>
      </c>
      <c r="D10" s="144">
        <f>C10*D4*C9</f>
        <v>1.3585991466501846</v>
      </c>
      <c r="E10" s="1">
        <f>D10*D4*C8</f>
        <v>1.1502026060207067</v>
      </c>
      <c r="F10" s="1">
        <f>E10*D4</f>
        <v>0.75384566094526617</v>
      </c>
      <c r="G10" s="1">
        <f>F10*D4</f>
        <v>0.49407232912822546</v>
      </c>
      <c r="H10" s="1"/>
      <c r="I10" s="1"/>
      <c r="J10" s="1"/>
      <c r="K10" s="1"/>
      <c r="L10" s="1"/>
      <c r="M10" s="257"/>
      <c r="N10" s="97">
        <f>B10+G10</f>
        <v>0.99999999999999978</v>
      </c>
      <c r="R10" s="298">
        <f>B10-G10</f>
        <v>1.1855341743548797E-2</v>
      </c>
      <c r="S10" s="299">
        <f>SUM(C10:F10)*B4*F4*POWER(O2,A10-1)</f>
        <v>6624.8486077846837</v>
      </c>
      <c r="T10" s="277">
        <f>SUM(C10:F10)*D4*H4*POWER(O2,A10-1)</f>
        <v>-13337.627483712331</v>
      </c>
      <c r="U10" s="295">
        <f t="shared" si="0"/>
        <v>-7466.1501757121041</v>
      </c>
      <c r="V10" s="93">
        <f>(U10+W10*G10)/B10</f>
        <v>-14753.440691500273</v>
      </c>
      <c r="W10" s="9">
        <f t="shared" si="1"/>
        <v>4</v>
      </c>
    </row>
    <row r="11" spans="1:23" x14ac:dyDescent="0.2">
      <c r="A11" s="99">
        <v>5</v>
      </c>
      <c r="B11" s="97">
        <f>C11*B4</f>
        <v>0.51554520976187923</v>
      </c>
      <c r="C11" s="97">
        <f>1/(1-D4*B4/(1-D4*B4/(1-D4*B4/(1-D4*B4))))</f>
        <v>1.4960793576525839</v>
      </c>
      <c r="D11" s="144">
        <f>C11*D4*C10</f>
        <v>1.4395906948381516</v>
      </c>
      <c r="E11" s="1">
        <f>D11*D4*C9</f>
        <v>1.3321528565856773</v>
      </c>
      <c r="F11" s="1">
        <f>E11*D4*C8</f>
        <v>1.1278129321961814</v>
      </c>
      <c r="G11" s="1">
        <f>F11*D4</f>
        <v>0.73917141279607157</v>
      </c>
      <c r="H11" s="1">
        <f>G11*D4</f>
        <v>0.48445479023812033</v>
      </c>
      <c r="I11" s="1"/>
      <c r="J11" s="1"/>
      <c r="K11" s="1"/>
      <c r="L11" s="1"/>
      <c r="M11" s="257"/>
      <c r="N11" s="97">
        <f>B11+H11</f>
        <v>0.99999999999999956</v>
      </c>
      <c r="R11" s="298">
        <f>B11-H11</f>
        <v>3.1090419523758905E-2</v>
      </c>
      <c r="S11" s="299">
        <f>SUM(C11:G11)*B4*F4*POWER(O2,A11-1)</f>
        <v>60136.582723486776</v>
      </c>
      <c r="T11" s="277">
        <f>SUM(C11:G11)*D4*H4*POWER(O2,A11-1)</f>
        <v>-121071.34607828097</v>
      </c>
      <c r="U11" s="295">
        <f t="shared" si="0"/>
        <v>-68400.913530506296</v>
      </c>
      <c r="V11" s="93">
        <f>(U11+W11*H11)/B11</f>
        <v>-132672.14971922073</v>
      </c>
      <c r="W11" s="9">
        <f t="shared" si="1"/>
        <v>5</v>
      </c>
    </row>
    <row r="12" spans="1:23" x14ac:dyDescent="0.2">
      <c r="A12" s="99">
        <v>6</v>
      </c>
      <c r="B12" s="97">
        <f>C12*B4</f>
        <v>0.5204532532436259</v>
      </c>
      <c r="C12" s="97">
        <f>1/(1-D4*B4/(1-D4*B4/(1-D4*B4/(1-D4*B4/(1-D4*B4)))))</f>
        <v>1.5103221871861838</v>
      </c>
      <c r="D12" s="144">
        <f>C12*D4*C11</f>
        <v>1.4809224788530302</v>
      </c>
      <c r="E12" s="1">
        <f>D12*D4*C10</f>
        <v>1.4250061064130675</v>
      </c>
      <c r="F12" s="1">
        <f>E12*D4*C9</f>
        <v>1.3186567279969976</v>
      </c>
      <c r="G12" s="1">
        <f>F12*D4*C8</f>
        <v>1.1163869848796646</v>
      </c>
      <c r="H12" s="1">
        <f>G12*D4</f>
        <v>0.73168281838526195</v>
      </c>
      <c r="I12" s="1">
        <f>H12*D4</f>
        <v>0.47954674675637377</v>
      </c>
      <c r="J12" s="1"/>
      <c r="K12" s="1"/>
      <c r="L12" s="1"/>
      <c r="M12" s="257"/>
      <c r="N12" s="97">
        <f>B12+I12</f>
        <v>0.99999999999999967</v>
      </c>
      <c r="R12" s="298">
        <f>B12-I12</f>
        <v>4.0906506487252137E-2</v>
      </c>
      <c r="S12" s="299">
        <f>SUM(C12:H12)*B4*F4*POWER(O2,A12-1)</f>
        <v>520326.10988534166</v>
      </c>
      <c r="T12" s="277">
        <f>SUM(C12:H12)*D4*H4*POWER(O2,A12-1)</f>
        <v>-1047558.402398048</v>
      </c>
      <c r="U12" s="295">
        <f t="shared" si="0"/>
        <v>-595633.20604321256</v>
      </c>
      <c r="V12" s="93">
        <f>(U12+W12*I12)/B12</f>
        <v>-1144445.3945682524</v>
      </c>
      <c r="W12" s="9">
        <f t="shared" si="1"/>
        <v>6</v>
      </c>
    </row>
    <row r="13" spans="1:23" x14ac:dyDescent="0.2">
      <c r="A13" s="99">
        <v>7</v>
      </c>
      <c r="B13" s="97">
        <f>C13*B4</f>
        <v>0.52299412594478478</v>
      </c>
      <c r="C13" s="97">
        <f>1/(1-D4*B4/(1-D4*B4/(1-D4*B4/(1-D4*B4/(1-D4*B4/(1-D4*B4))))))</f>
        <v>1.5176956379071838</v>
      </c>
      <c r="D13" s="144">
        <f>C13*D4*C12</f>
        <v>1.5023197631444545</v>
      </c>
      <c r="E13" s="1">
        <f>D13*D4*C11</f>
        <v>1.4730758288142127</v>
      </c>
      <c r="F13" s="1">
        <f>E13*D4*C10</f>
        <v>1.4174557286047291</v>
      </c>
      <c r="G13" s="1">
        <f>F13*D4*C9</f>
        <v>1.3116698410980032</v>
      </c>
      <c r="H13" s="1">
        <f>G13*D4*C8</f>
        <v>1.1104718217949459</v>
      </c>
      <c r="I13" s="1">
        <f>H13*D4</f>
        <v>0.7278060057247292</v>
      </c>
      <c r="J13" s="1">
        <f>I13*D4</f>
        <v>0.4770058740552145</v>
      </c>
      <c r="K13" s="1"/>
      <c r="L13" s="1"/>
      <c r="M13" s="257"/>
      <c r="N13" s="97">
        <f>B13+J13</f>
        <v>0.99999999999999933</v>
      </c>
      <c r="R13" s="298">
        <f>B13-J13</f>
        <v>4.5988251889570286E-2</v>
      </c>
      <c r="S13" s="299">
        <f>SUM(C13:I13)*B4*F4*POWER(O2,A13-1)</f>
        <v>4351969.1723836493</v>
      </c>
      <c r="T13" s="277">
        <f>SUM(C13:I13)*D4*H4*POWER(O2,A13-1)</f>
        <v>-8761701.1464452017</v>
      </c>
      <c r="U13" s="295">
        <f t="shared" si="0"/>
        <v>-5005365.1801047651</v>
      </c>
      <c r="V13" s="93">
        <f>(U13+W13*J13)/B13</f>
        <v>-9570589.0233881678</v>
      </c>
      <c r="W13" s="9">
        <f t="shared" si="1"/>
        <v>7</v>
      </c>
    </row>
    <row r="14" spans="1:23" x14ac:dyDescent="0.2">
      <c r="A14" s="99">
        <v>8</v>
      </c>
      <c r="B14" s="97">
        <f>C14*B4</f>
        <v>0.52431929573278102</v>
      </c>
      <c r="C14" s="97">
        <f>1/(1-D4*B4/(1-D4*B4/(1-D4*B4/(1-D4*B4/(1-D4*B4/(1-D4*B4/(1-D4*B4)))))))</f>
        <v>1.5215411962164576</v>
      </c>
      <c r="D14" s="144">
        <f>C14*D4*C13</f>
        <v>1.5134793283895873</v>
      </c>
      <c r="E14" s="1">
        <f>D14*D4*C12</f>
        <v>1.4981461693370992</v>
      </c>
      <c r="F14" s="1">
        <f>E14*D4*C11</f>
        <v>1.4689834775666757</v>
      </c>
      <c r="G14" s="1">
        <f>F14*D4*C10</f>
        <v>1.413517895530682</v>
      </c>
      <c r="H14" s="1">
        <f>G14*D4*C9</f>
        <v>1.3080258917468723</v>
      </c>
      <c r="I14" s="1">
        <f>H14*D4*C8</f>
        <v>1.1073868205639261</v>
      </c>
      <c r="J14" s="1">
        <f>I14*D4</f>
        <v>0.72578408821224771</v>
      </c>
      <c r="K14" s="1">
        <f>J14*D4</f>
        <v>0.47568070426721804</v>
      </c>
      <c r="L14" s="1"/>
      <c r="M14" s="257"/>
      <c r="N14" s="97">
        <f>B14+K14</f>
        <v>0.99999999999999911</v>
      </c>
      <c r="R14" s="298">
        <f>B14-K14</f>
        <v>4.8638591465562986E-2</v>
      </c>
      <c r="S14" s="299">
        <f>SUM(C14:J14)*B4*F4*POWER(O2,A14-1)</f>
        <v>35494977.532804757</v>
      </c>
      <c r="T14" s="277">
        <f>SUM(C14:J14)*D4*H4*POWER(O2,A14-1)</f>
        <v>-71461072.683077857</v>
      </c>
      <c r="U14" s="295">
        <f t="shared" si="0"/>
        <v>-40971460.330377862</v>
      </c>
      <c r="V14" s="93">
        <f>(U14+W14*K14)/B14</f>
        <v>-78142187.133645564</v>
      </c>
      <c r="W14" s="9">
        <f t="shared" si="1"/>
        <v>8</v>
      </c>
    </row>
    <row r="15" spans="1:23" x14ac:dyDescent="0.2">
      <c r="A15" s="99">
        <v>9</v>
      </c>
      <c r="B15" s="97">
        <f>C15*B4</f>
        <v>0.52501309441248023</v>
      </c>
      <c r="C15" s="97">
        <f>1/(1-D4*B4/(1-D4*B4/(1-D4*B4/(1-D4*B4/(1-D4*B4/(1-D4*B4/(1-D4*B4/(1-D4*B4))))))))</f>
        <v>1.5235545557888295</v>
      </c>
      <c r="D15" s="144">
        <f>C15*D4*C14</f>
        <v>1.5193219696142999</v>
      </c>
      <c r="E15" s="1">
        <f>D15*D4*C13</f>
        <v>1.511271860333034</v>
      </c>
      <c r="F15" s="1">
        <f>E15*D4*C12</f>
        <v>1.4959610652852466</v>
      </c>
      <c r="G15" s="1">
        <f>F15*D4*C11</f>
        <v>1.4668409084271401</v>
      </c>
      <c r="H15" s="1">
        <f>G15*D4*C10</f>
        <v>1.4114562250848293</v>
      </c>
      <c r="I15" s="1">
        <f>H15*D4*C9</f>
        <v>1.3061180854630248</v>
      </c>
      <c r="J15" s="1">
        <f>I15*D4*C8</f>
        <v>1.1057716541148122</v>
      </c>
      <c r="K15" s="1">
        <f>J15*D4</f>
        <v>0.7247255040871593</v>
      </c>
      <c r="L15" s="1">
        <f>K15*D4</f>
        <v>0.4749869055875191</v>
      </c>
      <c r="M15" s="257"/>
      <c r="N15" s="97">
        <f>B15+L15</f>
        <v>0.99999999999999933</v>
      </c>
      <c r="R15" s="298">
        <f>B15-L15</f>
        <v>5.0026188824961126E-2</v>
      </c>
      <c r="S15" s="299">
        <f>SUM(C15:K15)*B4*F4*POWER(O2,A15-1)</f>
        <v>283960606.55124772</v>
      </c>
      <c r="T15" s="277">
        <f>SUM(C15:K15)*D4*H4*POWER(O2,A15-1)</f>
        <v>-571690164.47849369</v>
      </c>
      <c r="U15" s="295">
        <f t="shared" si="0"/>
        <v>-328701018.25762385</v>
      </c>
      <c r="V15" s="93">
        <f>(U15+W15*L15)/B15</f>
        <v>-626081553.92881584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0.52537706868311884</v>
      </c>
      <c r="C16" s="145">
        <f>1/(1-D4*B4/(1-D4*B4/(1-D4*B4/(1-D4*B4/(1-D4*B4/(1-D4*B4/(1-D4*B4/(1-D4*B4/(1-D4*B4)))))))))</f>
        <v>1.5246107859364642</v>
      </c>
      <c r="D16" s="153">
        <f>C16*D4*C15</f>
        <v>1.5223870822191412</v>
      </c>
      <c r="E16" s="111">
        <f>D16*D4*C14</f>
        <v>1.5181577394023711</v>
      </c>
      <c r="F16" s="111">
        <f>E16*D4*C13</f>
        <v>1.5101137987809561</v>
      </c>
      <c r="G16" s="111">
        <f>F16*D4*C12</f>
        <v>1.4948147361312514</v>
      </c>
      <c r="H16" s="111">
        <f>G16*D4*C11</f>
        <v>1.4657168935469249</v>
      </c>
      <c r="I16" s="111">
        <f>H16*D4*C10</f>
        <v>1.4103746505318882</v>
      </c>
      <c r="J16" s="111">
        <f>I16*D4*C9</f>
        <v>1.3051172297090405</v>
      </c>
      <c r="K16" s="111">
        <f>J16*D4*C8</f>
        <v>1.104924320374524</v>
      </c>
      <c r="L16" s="111">
        <f>K16*D4</f>
        <v>0.72417015943731655</v>
      </c>
      <c r="M16" s="259">
        <f>L16*D4</f>
        <v>0.47462293131688038</v>
      </c>
      <c r="N16" s="145">
        <f>B16+M16</f>
        <v>0.99999999999999922</v>
      </c>
      <c r="R16" s="300">
        <f>B16-M16</f>
        <v>5.0754137366238461E-2</v>
      </c>
      <c r="S16" s="301">
        <f>SUM(C16:L16)*B4*F4*POWER(O2,A16-1)</f>
        <v>2237382217.7620854</v>
      </c>
      <c r="T16" s="278">
        <f>SUM(C16:L16)*D4*H4*POWER(O2,A16-1)</f>
        <v>-4504460754.6392879</v>
      </c>
      <c r="U16" s="295">
        <f t="shared" si="0"/>
        <v>-2595779555.1348262</v>
      </c>
      <c r="V16" s="94">
        <f>(U16+W16*M16)/B16</f>
        <v>-4940793394.152194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7</v>
      </c>
      <c r="D21" s="57">
        <f>SUM($C$21:C21)</f>
        <v>7</v>
      </c>
      <c r="E21" s="57">
        <f t="shared" ref="E21:E30" si="3">D21/R7</f>
        <v>-22.522160517863032</v>
      </c>
      <c r="F21" s="8">
        <f t="shared" ref="F21:F30" si="4">U7/E21</f>
        <v>0.18368005338924318</v>
      </c>
      <c r="G21" s="281">
        <f>E21*U7</f>
        <v>93.171287261165475</v>
      </c>
      <c r="O21" s="101">
        <v>1</v>
      </c>
      <c r="P21" s="109">
        <v>1</v>
      </c>
      <c r="Q21" s="110">
        <f>P21*7+21</f>
        <v>28</v>
      </c>
      <c r="R21" s="57">
        <f>SUM($Q$21)</f>
        <v>28</v>
      </c>
      <c r="S21" s="276">
        <f>R21/R7</f>
        <v>-90.088642071452128</v>
      </c>
      <c r="T21" s="8">
        <f>U7/S21</f>
        <v>4.5920013347310794E-2</v>
      </c>
      <c r="U21" s="281">
        <f>S21*U7</f>
        <v>372.6851490446619</v>
      </c>
    </row>
    <row r="22" spans="1:21" x14ac:dyDescent="0.2">
      <c r="A22" s="97">
        <v>2</v>
      </c>
      <c r="B22" s="93">
        <f>C21</f>
        <v>7</v>
      </c>
      <c r="C22" s="1">
        <f t="shared" si="2"/>
        <v>49</v>
      </c>
      <c r="D22" s="9">
        <f>SUM($C$21:C22)</f>
        <v>56</v>
      </c>
      <c r="E22" s="9">
        <f t="shared" si="3"/>
        <v>-510.29876041288577</v>
      </c>
      <c r="F22" s="9">
        <f t="shared" si="4"/>
        <v>0.12945238175390808</v>
      </c>
      <c r="G22" s="282">
        <f t="shared" ref="G22:G30" si="5">E22*U8</f>
        <v>33710.024800786545</v>
      </c>
      <c r="O22" s="99">
        <v>2</v>
      </c>
      <c r="P22" s="93">
        <f>Q21</f>
        <v>28</v>
      </c>
      <c r="Q22" s="1">
        <f t="shared" ref="Q22:Q30" si="6">P22*7+21</f>
        <v>217</v>
      </c>
      <c r="R22" s="9">
        <f>SUM($Q$21:Q22)</f>
        <v>245</v>
      </c>
      <c r="S22" s="277">
        <f t="shared" ref="S22:S30" si="7">R22/R8</f>
        <v>-2232.5570768063753</v>
      </c>
      <c r="T22" s="9">
        <f>U8/S22</f>
        <v>2.9589115829464704E-2</v>
      </c>
      <c r="U22" s="282">
        <f t="shared" ref="U22:U30" si="8">S22*U8</f>
        <v>147481.35850344112</v>
      </c>
    </row>
    <row r="23" spans="1:21" x14ac:dyDescent="0.2">
      <c r="A23" s="97">
        <v>3</v>
      </c>
      <c r="B23" s="93">
        <f t="shared" ref="B23:B30" si="9">C22</f>
        <v>49</v>
      </c>
      <c r="C23" s="1">
        <f t="shared" si="2"/>
        <v>343</v>
      </c>
      <c r="D23" s="9">
        <f>SUM($C$21:C23)</f>
        <v>399</v>
      </c>
      <c r="E23" s="9">
        <f t="shared" si="3"/>
        <v>-14822.325277720432</v>
      </c>
      <c r="F23" s="9">
        <f t="shared" si="4"/>
        <v>5.0826795773862544E-2</v>
      </c>
      <c r="G23" s="282">
        <f t="shared" si="5"/>
        <v>11166714.460304253</v>
      </c>
      <c r="O23" s="99">
        <v>3</v>
      </c>
      <c r="P23" s="93">
        <f t="shared" ref="P23:P30" si="10">Q22</f>
        <v>217</v>
      </c>
      <c r="Q23" s="1">
        <f t="shared" si="6"/>
        <v>1540</v>
      </c>
      <c r="R23" s="9">
        <f>SUM($Q$21:Q23)</f>
        <v>1785</v>
      </c>
      <c r="S23" s="277">
        <f t="shared" si="7"/>
        <v>-66310.402558222995</v>
      </c>
      <c r="T23" s="9">
        <f t="shared" ref="T23:T30" si="11">U9/S23</f>
        <v>1.1361283761216331E-2</v>
      </c>
      <c r="U23" s="282">
        <f t="shared" si="8"/>
        <v>49956354.164519027</v>
      </c>
    </row>
    <row r="24" spans="1:21" x14ac:dyDescent="0.2">
      <c r="A24" s="97">
        <v>4</v>
      </c>
      <c r="B24" s="93">
        <f t="shared" si="9"/>
        <v>343</v>
      </c>
      <c r="C24" s="1">
        <f t="shared" si="2"/>
        <v>2401</v>
      </c>
      <c r="D24" s="9">
        <f>SUM($C$21:C24)</f>
        <v>2800</v>
      </c>
      <c r="E24" s="9">
        <f t="shared" si="3"/>
        <v>236180.45439505344</v>
      </c>
      <c r="F24" s="9">
        <f t="shared" si="4"/>
        <v>-3.1612057800615677E-2</v>
      </c>
      <c r="G24" s="282">
        <f t="shared" si="5"/>
        <v>-1763358741.0813928</v>
      </c>
      <c r="O24" s="99">
        <v>4</v>
      </c>
      <c r="P24" s="93">
        <f t="shared" si="10"/>
        <v>1540</v>
      </c>
      <c r="Q24" s="1">
        <f t="shared" si="6"/>
        <v>10801</v>
      </c>
      <c r="R24" s="9">
        <f>SUM($Q$21:Q24)</f>
        <v>12586</v>
      </c>
      <c r="S24" s="277">
        <f t="shared" si="7"/>
        <v>1061631.1425057652</v>
      </c>
      <c r="T24" s="9">
        <f t="shared" si="11"/>
        <v>-7.0327158622059344E-3</v>
      </c>
      <c r="U24" s="282">
        <f t="shared" si="8"/>
        <v>-7926297541.160861</v>
      </c>
    </row>
    <row r="25" spans="1:21" x14ac:dyDescent="0.2">
      <c r="A25" s="97">
        <v>5</v>
      </c>
      <c r="B25" s="93">
        <f t="shared" si="9"/>
        <v>2401</v>
      </c>
      <c r="C25" s="1">
        <f t="shared" si="2"/>
        <v>16807</v>
      </c>
      <c r="D25" s="9">
        <f>SUM($C$21:C25)</f>
        <v>19607</v>
      </c>
      <c r="E25" s="9">
        <f t="shared" si="3"/>
        <v>630644.43324788776</v>
      </c>
      <c r="F25" s="9">
        <f t="shared" si="4"/>
        <v>-0.10846193183413055</v>
      </c>
      <c r="G25" s="282">
        <f t="shared" si="5"/>
        <v>-43136655347.083923</v>
      </c>
      <c r="O25" s="99">
        <v>5</v>
      </c>
      <c r="P25" s="93">
        <f t="shared" si="10"/>
        <v>10801</v>
      </c>
      <c r="Q25" s="1">
        <f t="shared" si="6"/>
        <v>75628</v>
      </c>
      <c r="R25" s="9">
        <f>SUM($Q$21:Q25)</f>
        <v>88214</v>
      </c>
      <c r="S25" s="277">
        <f t="shared" si="7"/>
        <v>2837337.0752552235</v>
      </c>
      <c r="T25" s="9">
        <f t="shared" si="11"/>
        <v>-2.410743303185206E-2</v>
      </c>
      <c r="U25" s="282">
        <f t="shared" si="8"/>
        <v>-194076447941.43219</v>
      </c>
    </row>
    <row r="26" spans="1:21" x14ac:dyDescent="0.2">
      <c r="A26" s="97">
        <v>6</v>
      </c>
      <c r="B26" s="93">
        <f t="shared" si="9"/>
        <v>16807</v>
      </c>
      <c r="C26" s="1">
        <f t="shared" si="2"/>
        <v>117649</v>
      </c>
      <c r="D26" s="9">
        <f>SUM($C$21:C26)</f>
        <v>137256</v>
      </c>
      <c r="E26" s="9">
        <f t="shared" si="3"/>
        <v>3355358.6406302787</v>
      </c>
      <c r="F26" s="9">
        <f t="shared" si="4"/>
        <v>-0.17751700185805694</v>
      </c>
      <c r="G26" s="282">
        <f t="shared" si="5"/>
        <v>-1998563024543.4084</v>
      </c>
      <c r="O26" s="99">
        <v>6</v>
      </c>
      <c r="P26" s="93">
        <f t="shared" si="10"/>
        <v>75628</v>
      </c>
      <c r="Q26" s="1">
        <f t="shared" si="6"/>
        <v>529417</v>
      </c>
      <c r="R26" s="9">
        <f>SUM($Q$21:Q26)</f>
        <v>617631</v>
      </c>
      <c r="S26" s="277">
        <f t="shared" si="7"/>
        <v>15098600.517071163</v>
      </c>
      <c r="T26" s="9">
        <f t="shared" si="11"/>
        <v>-3.9449563909566492E-2</v>
      </c>
      <c r="U26" s="282">
        <f t="shared" si="8"/>
        <v>-8993227832748.8047</v>
      </c>
    </row>
    <row r="27" spans="1:21" x14ac:dyDescent="0.2">
      <c r="A27" s="97">
        <v>7</v>
      </c>
      <c r="B27" s="93">
        <f t="shared" si="9"/>
        <v>117649</v>
      </c>
      <c r="C27" s="1">
        <f t="shared" si="2"/>
        <v>823543</v>
      </c>
      <c r="D27" s="9">
        <f>SUM($C$21:C27)</f>
        <v>960799</v>
      </c>
      <c r="E27" s="9">
        <f t="shared" si="3"/>
        <v>20892270.536986869</v>
      </c>
      <c r="F27" s="9">
        <f t="shared" si="4"/>
        <v>-0.23957976090934971</v>
      </c>
      <c r="G27" s="282">
        <f t="shared" si="5"/>
        <v>-104573443479162.75</v>
      </c>
      <c r="O27" s="99">
        <v>7</v>
      </c>
      <c r="P27" s="93">
        <f t="shared" si="10"/>
        <v>529417</v>
      </c>
      <c r="Q27" s="1">
        <f t="shared" si="6"/>
        <v>3705940</v>
      </c>
      <c r="R27" s="9">
        <f>SUM($Q$21:Q27)</f>
        <v>4323571</v>
      </c>
      <c r="S27" s="277">
        <f t="shared" si="7"/>
        <v>94014684.671685606</v>
      </c>
      <c r="T27" s="9">
        <f t="shared" si="11"/>
        <v>-5.3240248558874659E-2</v>
      </c>
      <c r="U27" s="282">
        <f t="shared" si="8"/>
        <v>-470577829074184.31</v>
      </c>
    </row>
    <row r="28" spans="1:21" x14ac:dyDescent="0.2">
      <c r="A28" s="97">
        <v>8</v>
      </c>
      <c r="B28" s="93">
        <f t="shared" si="9"/>
        <v>823543</v>
      </c>
      <c r="C28" s="1">
        <f t="shared" si="2"/>
        <v>5764801</v>
      </c>
      <c r="D28" s="9">
        <f>SUM($C$21:C28)</f>
        <v>6725600</v>
      </c>
      <c r="E28" s="9">
        <f t="shared" si="3"/>
        <v>138277030.59127131</v>
      </c>
      <c r="F28" s="9">
        <f t="shared" si="4"/>
        <v>-0.29629982763720247</v>
      </c>
      <c r="G28" s="282">
        <f t="shared" si="5"/>
        <v>-5665411873472719</v>
      </c>
      <c r="O28" s="99">
        <v>8</v>
      </c>
      <c r="P28" s="93">
        <f t="shared" si="10"/>
        <v>3705940</v>
      </c>
      <c r="Q28" s="1">
        <f t="shared" si="6"/>
        <v>25941601</v>
      </c>
      <c r="R28" s="9">
        <f>SUM($Q$21:Q28)</f>
        <v>30265172</v>
      </c>
      <c r="S28" s="277">
        <f t="shared" si="7"/>
        <v>622246061.98615551</v>
      </c>
      <c r="T28" s="9">
        <f t="shared" si="11"/>
        <v>-6.5844467057936062E-2</v>
      </c>
      <c r="U28" s="282">
        <f t="shared" si="8"/>
        <v>-2.5494329844399616E+16</v>
      </c>
    </row>
    <row r="29" spans="1:21" x14ac:dyDescent="0.2">
      <c r="A29" s="97">
        <v>9</v>
      </c>
      <c r="B29" s="93">
        <f t="shared" si="9"/>
        <v>5764801</v>
      </c>
      <c r="C29" s="1">
        <f t="shared" si="2"/>
        <v>40353607</v>
      </c>
      <c r="D29" s="9">
        <f>SUM($C$21:C29)</f>
        <v>47079207</v>
      </c>
      <c r="E29" s="9">
        <f t="shared" si="3"/>
        <v>941091218.53610611</v>
      </c>
      <c r="F29" s="9">
        <f t="shared" si="4"/>
        <v>-0.34927646946799434</v>
      </c>
      <c r="G29" s="282">
        <f t="shared" si="5"/>
        <v>-3.0933764180612608E+17</v>
      </c>
      <c r="O29" s="99">
        <v>9</v>
      </c>
      <c r="P29" s="93">
        <f t="shared" si="10"/>
        <v>25941601</v>
      </c>
      <c r="Q29" s="1">
        <f t="shared" si="6"/>
        <v>181591228</v>
      </c>
      <c r="R29" s="9">
        <f>SUM($Q$21:Q29)</f>
        <v>211856400</v>
      </c>
      <c r="S29" s="277">
        <f t="shared" si="7"/>
        <v>4234909853.7422838</v>
      </c>
      <c r="T29" s="9">
        <f t="shared" si="11"/>
        <v>-7.761700475564054E-2</v>
      </c>
      <c r="U29" s="282">
        <f t="shared" si="8"/>
        <v>-1.3920191811543337E+18</v>
      </c>
    </row>
    <row r="30" spans="1:21" ht="17" thickBot="1" x14ac:dyDescent="0.25">
      <c r="A30" s="145">
        <v>10</v>
      </c>
      <c r="B30" s="94">
        <f t="shared" si="9"/>
        <v>40353607</v>
      </c>
      <c r="C30" s="111">
        <f t="shared" si="2"/>
        <v>282475249</v>
      </c>
      <c r="D30" s="10">
        <f>SUM($C$21:C30)</f>
        <v>329554456</v>
      </c>
      <c r="E30" s="10">
        <f t="shared" si="3"/>
        <v>6493154511.1673775</v>
      </c>
      <c r="F30" s="10">
        <f t="shared" si="4"/>
        <v>-0.399771721228938</v>
      </c>
      <c r="G30" s="283">
        <f t="shared" si="5"/>
        <v>-1.6854797728419746E+19</v>
      </c>
      <c r="O30" s="100">
        <v>10</v>
      </c>
      <c r="P30" s="94">
        <f t="shared" si="10"/>
        <v>181591228</v>
      </c>
      <c r="Q30" s="111">
        <f t="shared" si="6"/>
        <v>1271138617</v>
      </c>
      <c r="R30" s="10">
        <f>SUM($Q$21:Q30)</f>
        <v>1482995017</v>
      </c>
      <c r="S30" s="278">
        <f t="shared" si="7"/>
        <v>29219194610.654243</v>
      </c>
      <c r="T30" s="10">
        <f t="shared" si="11"/>
        <v>-8.8838162369756862E-2</v>
      </c>
      <c r="U30" s="283">
        <f t="shared" si="8"/>
        <v>-7.5846587987841991E+19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7</v>
      </c>
      <c r="D33" s="57">
        <f>SUM($C$33:C33)</f>
        <v>7</v>
      </c>
      <c r="E33" s="9">
        <f t="shared" ref="E33:E42" si="13">D33/R7</f>
        <v>-22.522160517863032</v>
      </c>
      <c r="F33" s="8">
        <f t="shared" ref="F33:F42" si="14">U7/E33</f>
        <v>0.18368005338924318</v>
      </c>
      <c r="G33" s="284">
        <f>E33*U7</f>
        <v>93.171287261165475</v>
      </c>
      <c r="O33" s="101">
        <v>1</v>
      </c>
      <c r="P33" s="109">
        <v>1</v>
      </c>
      <c r="Q33" s="110">
        <f>P33*7+21</f>
        <v>28</v>
      </c>
      <c r="R33" s="57">
        <f>SUM($Q$21)</f>
        <v>28</v>
      </c>
      <c r="S33" s="276">
        <f>R33/R7</f>
        <v>-90.088642071452128</v>
      </c>
      <c r="T33" s="8">
        <f>U7/S33</f>
        <v>4.5920013347310794E-2</v>
      </c>
      <c r="U33" s="284">
        <f>S33*U7</f>
        <v>372.6851490446619</v>
      </c>
    </row>
    <row r="34" spans="1:21" x14ac:dyDescent="0.2">
      <c r="A34" s="97">
        <v>2</v>
      </c>
      <c r="B34" s="93">
        <f t="shared" ref="B34:B42" si="15">B33*($O$2+1)</f>
        <v>8</v>
      </c>
      <c r="C34" s="1">
        <f t="shared" si="12"/>
        <v>56</v>
      </c>
      <c r="D34" s="9">
        <f>SUM($C$33:C34)</f>
        <v>63</v>
      </c>
      <c r="E34" s="9">
        <f t="shared" si="13"/>
        <v>-574.08610546449654</v>
      </c>
      <c r="F34" s="9">
        <f t="shared" si="14"/>
        <v>0.11506878378125161</v>
      </c>
      <c r="G34" s="282">
        <f t="shared" ref="G34:G42" si="16">E34*U8</f>
        <v>37923.777900884859</v>
      </c>
      <c r="O34" s="99">
        <v>2</v>
      </c>
      <c r="P34" s="93">
        <f>Q33+1</f>
        <v>29</v>
      </c>
      <c r="Q34" s="1">
        <f t="shared" ref="Q34:Q42" si="17">P34*7+21</f>
        <v>224</v>
      </c>
      <c r="R34" s="9">
        <f>SUM($Q$33:Q34)</f>
        <v>252</v>
      </c>
      <c r="S34" s="277">
        <f>R34/R8</f>
        <v>-2296.3444218579862</v>
      </c>
      <c r="T34" s="9">
        <f t="shared" ref="T34:T42" si="18">U8/S34</f>
        <v>2.8767195945312903E-2</v>
      </c>
      <c r="U34" s="282">
        <f t="shared" ref="U34:U42" si="19">S34*U8</f>
        <v>151695.11160353944</v>
      </c>
    </row>
    <row r="35" spans="1:21" x14ac:dyDescent="0.2">
      <c r="A35" s="97">
        <v>3</v>
      </c>
      <c r="B35" s="93">
        <f t="shared" si="15"/>
        <v>64</v>
      </c>
      <c r="C35" s="1">
        <f t="shared" si="12"/>
        <v>448</v>
      </c>
      <c r="D35" s="9">
        <f>SUM($C$33:C35)</f>
        <v>511</v>
      </c>
      <c r="E35" s="9">
        <f t="shared" si="13"/>
        <v>-18982.977987255992</v>
      </c>
      <c r="F35" s="9">
        <f t="shared" si="14"/>
        <v>3.9686676152194039E-2</v>
      </c>
      <c r="G35" s="282">
        <f t="shared" si="16"/>
        <v>14301230.800038779</v>
      </c>
      <c r="O35" s="99">
        <v>3</v>
      </c>
      <c r="P35" s="93">
        <f t="shared" ref="P35:P42" si="20">Q34+1</f>
        <v>225</v>
      </c>
      <c r="Q35" s="1">
        <f t="shared" si="17"/>
        <v>1596</v>
      </c>
      <c r="R35" s="9">
        <f>SUM($Q$33:Q35)</f>
        <v>1848</v>
      </c>
      <c r="S35" s="277">
        <f t="shared" ref="S35:S42" si="21">R35/R9</f>
        <v>-68650.769707336745</v>
      </c>
      <c r="T35" s="9">
        <f t="shared" si="18"/>
        <v>1.0973967269356684E-2</v>
      </c>
      <c r="U35" s="282">
        <f t="shared" si="19"/>
        <v>51719519.605619699</v>
      </c>
    </row>
    <row r="36" spans="1:21" x14ac:dyDescent="0.2">
      <c r="A36" s="97">
        <v>4</v>
      </c>
      <c r="B36" s="93">
        <f t="shared" si="15"/>
        <v>512</v>
      </c>
      <c r="C36" s="1">
        <f t="shared" si="12"/>
        <v>3584</v>
      </c>
      <c r="D36" s="9">
        <f>SUM($C$33:C36)</f>
        <v>4095</v>
      </c>
      <c r="E36" s="9">
        <f t="shared" si="13"/>
        <v>345413.91455276567</v>
      </c>
      <c r="F36" s="9">
        <f t="shared" si="14"/>
        <v>-2.1615082256831231E-2</v>
      </c>
      <c r="G36" s="282">
        <f t="shared" si="16"/>
        <v>-2578912158.8315372</v>
      </c>
      <c r="O36" s="99">
        <v>4</v>
      </c>
      <c r="P36" s="93">
        <f t="shared" si="20"/>
        <v>1597</v>
      </c>
      <c r="Q36" s="1">
        <f t="shared" si="17"/>
        <v>11200</v>
      </c>
      <c r="R36" s="9">
        <f>SUM($Q$33:Q36)</f>
        <v>13048</v>
      </c>
      <c r="S36" s="277">
        <f t="shared" si="21"/>
        <v>1100600.9174809491</v>
      </c>
      <c r="T36" s="9">
        <f t="shared" si="18"/>
        <v>-6.7837033906900587E-3</v>
      </c>
      <c r="U36" s="282">
        <f t="shared" si="19"/>
        <v>-8217251733.439291</v>
      </c>
    </row>
    <row r="37" spans="1:21" x14ac:dyDescent="0.2">
      <c r="A37" s="97">
        <v>5</v>
      </c>
      <c r="B37" s="93">
        <f t="shared" si="15"/>
        <v>4096</v>
      </c>
      <c r="C37" s="1">
        <f t="shared" si="12"/>
        <v>28672</v>
      </c>
      <c r="D37" s="9">
        <f>SUM($C$33:C37)</f>
        <v>32767</v>
      </c>
      <c r="E37" s="9">
        <f t="shared" si="13"/>
        <v>1053925.952171854</v>
      </c>
      <c r="F37" s="9">
        <f t="shared" si="14"/>
        <v>-6.490106196697279E-2</v>
      </c>
      <c r="G37" s="282">
        <f t="shared" si="16"/>
        <v>-72089497922.063492</v>
      </c>
      <c r="O37" s="99">
        <v>5</v>
      </c>
      <c r="P37" s="93">
        <f t="shared" si="20"/>
        <v>11201</v>
      </c>
      <c r="Q37" s="1">
        <f t="shared" si="17"/>
        <v>78428</v>
      </c>
      <c r="R37" s="9">
        <f>SUM($Q$33:Q37)</f>
        <v>91476</v>
      </c>
      <c r="S37" s="277">
        <f t="shared" si="21"/>
        <v>2942256.8560097814</v>
      </c>
      <c r="T37" s="9">
        <f t="shared" si="18"/>
        <v>-2.3247770972405851E-2</v>
      </c>
      <c r="U37" s="282">
        <f t="shared" si="19"/>
        <v>-201253056792.46436</v>
      </c>
    </row>
    <row r="38" spans="1:21" x14ac:dyDescent="0.2">
      <c r="A38" s="97">
        <v>6</v>
      </c>
      <c r="B38" s="93">
        <f t="shared" si="15"/>
        <v>32768</v>
      </c>
      <c r="C38" s="1">
        <f t="shared" si="12"/>
        <v>229376</v>
      </c>
      <c r="D38" s="9">
        <f>SUM($C$33:C38)</f>
        <v>262143</v>
      </c>
      <c r="E38" s="9">
        <f t="shared" si="13"/>
        <v>6408344.8456223635</v>
      </c>
      <c r="F38" s="9">
        <f t="shared" si="14"/>
        <v>-9.2946497167688866E-2</v>
      </c>
      <c r="G38" s="282">
        <f t="shared" si="16"/>
        <v>-3817022985828.5444</v>
      </c>
      <c r="O38" s="99">
        <v>6</v>
      </c>
      <c r="P38" s="93">
        <f t="shared" si="20"/>
        <v>78429</v>
      </c>
      <c r="Q38" s="1">
        <f t="shared" si="17"/>
        <v>549024</v>
      </c>
      <c r="R38" s="9">
        <f>SUM($Q$33:Q38)</f>
        <v>640500</v>
      </c>
      <c r="S38" s="277">
        <f t="shared" si="21"/>
        <v>15657655.835254513</v>
      </c>
      <c r="T38" s="9">
        <f t="shared" si="18"/>
        <v>-3.8041020463746238E-2</v>
      </c>
      <c r="U38" s="282">
        <f t="shared" si="19"/>
        <v>-9326219744273.8613</v>
      </c>
    </row>
    <row r="39" spans="1:21" x14ac:dyDescent="0.2">
      <c r="A39" s="97">
        <v>7</v>
      </c>
      <c r="B39" s="93">
        <f t="shared" si="15"/>
        <v>262144</v>
      </c>
      <c r="C39" s="1">
        <f t="shared" si="12"/>
        <v>1835008</v>
      </c>
      <c r="D39" s="9">
        <f>SUM($C$33:C39)</f>
        <v>2097151</v>
      </c>
      <c r="E39" s="9">
        <f t="shared" si="13"/>
        <v>45601885.564943917</v>
      </c>
      <c r="F39" s="9">
        <f t="shared" si="14"/>
        <v>-0.1097622415848655</v>
      </c>
      <c r="G39" s="282">
        <f t="shared" si="16"/>
        <v>-228254090153892.41</v>
      </c>
      <c r="O39" s="99">
        <v>7</v>
      </c>
      <c r="P39" s="93">
        <f t="shared" si="20"/>
        <v>549025</v>
      </c>
      <c r="Q39" s="1">
        <f t="shared" si="17"/>
        <v>3843196</v>
      </c>
      <c r="R39" s="9">
        <f>SUM($Q$33:Q39)</f>
        <v>4483696</v>
      </c>
      <c r="S39" s="277">
        <f t="shared" si="21"/>
        <v>97496552.179598317</v>
      </c>
      <c r="T39" s="9">
        <f t="shared" si="18"/>
        <v>-5.1338894229658358E-2</v>
      </c>
      <c r="U39" s="282">
        <f t="shared" si="19"/>
        <v>-488005847460028.75</v>
      </c>
    </row>
    <row r="40" spans="1:21" x14ac:dyDescent="0.2">
      <c r="A40" s="97">
        <v>8</v>
      </c>
      <c r="B40" s="93">
        <f t="shared" si="15"/>
        <v>2097152</v>
      </c>
      <c r="C40" s="1">
        <f t="shared" si="12"/>
        <v>14680064</v>
      </c>
      <c r="D40" s="9">
        <f>SUM($C$33:C40)</f>
        <v>16777215</v>
      </c>
      <c r="E40" s="9">
        <f t="shared" si="13"/>
        <v>344936284.01798141</v>
      </c>
      <c r="F40" s="9">
        <f t="shared" si="14"/>
        <v>-0.11877979275802146</v>
      </c>
      <c r="G40" s="282">
        <f t="shared" si="16"/>
        <v>-1.4132543277150676E+16</v>
      </c>
      <c r="O40" s="99">
        <v>8</v>
      </c>
      <c r="P40" s="93">
        <f t="shared" si="20"/>
        <v>3843197</v>
      </c>
      <c r="Q40" s="1">
        <f t="shared" si="17"/>
        <v>26902400</v>
      </c>
      <c r="R40" s="9">
        <f>SUM($Q$33:Q40)</f>
        <v>31386096</v>
      </c>
      <c r="S40" s="277">
        <f t="shared" si="21"/>
        <v>645292041.85984564</v>
      </c>
      <c r="T40" s="9">
        <f t="shared" si="18"/>
        <v>-6.349289573181606E-2</v>
      </c>
      <c r="U40" s="282">
        <f t="shared" si="19"/>
        <v>-2.6438557294569196E+16</v>
      </c>
    </row>
    <row r="41" spans="1:21" x14ac:dyDescent="0.2">
      <c r="A41" s="97">
        <v>9</v>
      </c>
      <c r="B41" s="93">
        <f t="shared" si="15"/>
        <v>16777216</v>
      </c>
      <c r="C41" s="1">
        <f t="shared" si="12"/>
        <v>117440512</v>
      </c>
      <c r="D41" s="9">
        <f>SUM($C$33:C41)</f>
        <v>134217727</v>
      </c>
      <c r="E41" s="9">
        <f t="shared" si="13"/>
        <v>2682949274.2215567</v>
      </c>
      <c r="F41" s="9">
        <f t="shared" si="14"/>
        <v>-0.12251480913778912</v>
      </c>
      <c r="G41" s="282">
        <f t="shared" si="16"/>
        <v>-8.8188815837017856E+17</v>
      </c>
      <c r="O41" s="99">
        <v>9</v>
      </c>
      <c r="P41" s="93">
        <f t="shared" si="20"/>
        <v>26902401</v>
      </c>
      <c r="Q41" s="1">
        <f t="shared" si="17"/>
        <v>188316828</v>
      </c>
      <c r="R41" s="9">
        <f>SUM($Q$33:Q41)</f>
        <v>219702924</v>
      </c>
      <c r="S41" s="277">
        <f t="shared" si="21"/>
        <v>4391758180.2749033</v>
      </c>
      <c r="T41" s="9">
        <f t="shared" si="18"/>
        <v>-7.4844972051045108E-2</v>
      </c>
      <c r="U41" s="282">
        <f t="shared" si="19"/>
        <v>-1.44357538579761E+18</v>
      </c>
    </row>
    <row r="42" spans="1:21" ht="17" thickBot="1" x14ac:dyDescent="0.25">
      <c r="A42" s="145">
        <v>10</v>
      </c>
      <c r="B42" s="94">
        <f t="shared" si="15"/>
        <v>134217728</v>
      </c>
      <c r="C42" s="111">
        <f t="shared" si="12"/>
        <v>939524096</v>
      </c>
      <c r="D42" s="10">
        <f>SUM($C$33:C42)</f>
        <v>1073741823</v>
      </c>
      <c r="E42" s="9">
        <f t="shared" si="13"/>
        <v>21155749633.807205</v>
      </c>
      <c r="F42" s="10">
        <f t="shared" si="14"/>
        <v>-0.12269853822559573</v>
      </c>
      <c r="G42" s="283">
        <f t="shared" si="16"/>
        <v>-5.491566237298783E+19</v>
      </c>
      <c r="O42" s="100">
        <v>10</v>
      </c>
      <c r="P42" s="94">
        <f t="shared" si="20"/>
        <v>188316829</v>
      </c>
      <c r="Q42" s="111">
        <f t="shared" si="17"/>
        <v>1318217824</v>
      </c>
      <c r="R42" s="10">
        <f>SUM($Q$33:Q42)</f>
        <v>1537920748</v>
      </c>
      <c r="S42" s="278">
        <f t="shared" si="21"/>
        <v>30301386799.315823</v>
      </c>
      <c r="T42" s="10">
        <f t="shared" si="18"/>
        <v>-8.5665371434202359E-2</v>
      </c>
      <c r="U42" s="283">
        <f t="shared" si="19"/>
        <v>-7.8655720345896321E+19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7</v>
      </c>
      <c r="D45" s="57">
        <f>SUM(C45:C45)</f>
        <v>7</v>
      </c>
      <c r="E45" s="57">
        <f t="shared" ref="E45:E54" si="23">D45/R7</f>
        <v>-22.522160517863032</v>
      </c>
      <c r="F45" s="8">
        <f t="shared" ref="F45:F54" si="24">U7/E45</f>
        <v>0.18368005338924318</v>
      </c>
      <c r="G45" s="281">
        <f>E45*U7</f>
        <v>93.171287261165475</v>
      </c>
      <c r="O45" s="101">
        <v>1</v>
      </c>
      <c r="P45" s="109">
        <v>1</v>
      </c>
      <c r="Q45" s="110">
        <f>P45*7+21</f>
        <v>28</v>
      </c>
      <c r="R45" s="57">
        <f>SUM($Q$21)</f>
        <v>28</v>
      </c>
      <c r="S45" s="276">
        <f>R45/R7</f>
        <v>-90.088642071452128</v>
      </c>
      <c r="T45" s="8">
        <f>U7/S45</f>
        <v>4.5920013347310794E-2</v>
      </c>
      <c r="U45" s="284">
        <f>S45*U7</f>
        <v>372.6851490446619</v>
      </c>
    </row>
    <row r="46" spans="1:21" x14ac:dyDescent="0.2">
      <c r="A46" s="97">
        <v>2</v>
      </c>
      <c r="B46" s="93">
        <f t="shared" ref="B46:B54" si="25">B45*$O$2*2</f>
        <v>14</v>
      </c>
      <c r="C46" s="1">
        <f t="shared" si="22"/>
        <v>98</v>
      </c>
      <c r="D46" s="9">
        <f>SUM($C$45:C46)</f>
        <v>105</v>
      </c>
      <c r="E46" s="9">
        <f t="shared" si="23"/>
        <v>-956.81017577416083</v>
      </c>
      <c r="F46" s="9">
        <f t="shared" si="24"/>
        <v>6.9041270268750982E-2</v>
      </c>
      <c r="G46" s="282">
        <f t="shared" ref="G46:G54" si="26">E46*U8</f>
        <v>63206.296501474768</v>
      </c>
      <c r="O46" s="99">
        <v>2</v>
      </c>
      <c r="P46" s="93">
        <f>Q45*2</f>
        <v>56</v>
      </c>
      <c r="Q46" s="1">
        <f t="shared" ref="Q46:Q54" si="27">P46*7+21</f>
        <v>413</v>
      </c>
      <c r="R46" s="9">
        <f>SUM($Q$45:Q46)</f>
        <v>441</v>
      </c>
      <c r="S46" s="277">
        <f t="shared" ref="S46:S54" si="28">R46/R8</f>
        <v>-4018.6027382514758</v>
      </c>
      <c r="T46" s="9">
        <f t="shared" ref="T46:T54" si="29">U8/S46</f>
        <v>1.6438397683035944E-2</v>
      </c>
      <c r="U46" s="282">
        <f t="shared" ref="U46:U54" si="30">S46*U8</f>
        <v>265466.44530619401</v>
      </c>
    </row>
    <row r="47" spans="1:21" x14ac:dyDescent="0.2">
      <c r="A47" s="97">
        <v>3</v>
      </c>
      <c r="B47" s="93">
        <f t="shared" si="25"/>
        <v>196</v>
      </c>
      <c r="C47" s="1">
        <f t="shared" si="22"/>
        <v>1372</v>
      </c>
      <c r="D47" s="9">
        <f>SUM($C$45:C47)</f>
        <v>1477</v>
      </c>
      <c r="E47" s="9">
        <f t="shared" si="23"/>
        <v>-54868.607607000202</v>
      </c>
      <c r="F47" s="9">
        <f t="shared" si="24"/>
        <v>1.3730461417583719E-2</v>
      </c>
      <c r="G47" s="282">
        <f t="shared" si="26"/>
        <v>41336434.230249077</v>
      </c>
      <c r="O47" s="99">
        <v>3</v>
      </c>
      <c r="P47" s="93">
        <f t="shared" ref="P47:P54" si="31">Q46*2</f>
        <v>826</v>
      </c>
      <c r="Q47" s="1">
        <f t="shared" si="27"/>
        <v>5803</v>
      </c>
      <c r="R47" s="9">
        <f>SUM($Q$45:Q47)</f>
        <v>6244</v>
      </c>
      <c r="S47" s="277">
        <f t="shared" si="28"/>
        <v>-231956.38855660748</v>
      </c>
      <c r="T47" s="9">
        <f t="shared" si="29"/>
        <v>3.2479006268051175E-3</v>
      </c>
      <c r="U47" s="282">
        <f t="shared" si="30"/>
        <v>174749285.94019988</v>
      </c>
    </row>
    <row r="48" spans="1:21" x14ac:dyDescent="0.2">
      <c r="A48" s="97">
        <v>4</v>
      </c>
      <c r="B48" s="93">
        <f t="shared" si="25"/>
        <v>2744</v>
      </c>
      <c r="C48" s="1">
        <f t="shared" si="22"/>
        <v>19208</v>
      </c>
      <c r="D48" s="9">
        <f>SUM($C$45:C48)</f>
        <v>20685</v>
      </c>
      <c r="E48" s="9">
        <f t="shared" si="23"/>
        <v>1744783.1068434573</v>
      </c>
      <c r="F48" s="9">
        <f t="shared" si="24"/>
        <v>-4.279127959474203E-3</v>
      </c>
      <c r="G48" s="282">
        <f t="shared" si="26"/>
        <v>-13026812699.738791</v>
      </c>
      <c r="O48" s="99">
        <v>4</v>
      </c>
      <c r="P48" s="93">
        <f t="shared" si="31"/>
        <v>11606</v>
      </c>
      <c r="Q48" s="1">
        <f t="shared" si="27"/>
        <v>81263</v>
      </c>
      <c r="R48" s="9">
        <f>SUM($Q$45:Q48)</f>
        <v>87507</v>
      </c>
      <c r="S48" s="277">
        <f t="shared" si="28"/>
        <v>7381229.6509814076</v>
      </c>
      <c r="T48" s="9">
        <f t="shared" si="29"/>
        <v>-1.0115049292253636E-3</v>
      </c>
      <c r="U48" s="282">
        <f t="shared" si="30"/>
        <v>-55109369055.646233</v>
      </c>
    </row>
    <row r="49" spans="1:21" x14ac:dyDescent="0.2">
      <c r="A49" s="97">
        <v>5</v>
      </c>
      <c r="B49" s="93">
        <f t="shared" si="25"/>
        <v>38416</v>
      </c>
      <c r="C49" s="1">
        <f t="shared" si="22"/>
        <v>268912</v>
      </c>
      <c r="D49" s="9">
        <f>SUM($C$45:C49)</f>
        <v>289597</v>
      </c>
      <c r="E49" s="9">
        <f t="shared" si="23"/>
        <v>9314670.0635124482</v>
      </c>
      <c r="F49" s="9">
        <f t="shared" si="24"/>
        <v>-7.3433533409247931E-3</v>
      </c>
      <c r="G49" s="282">
        <f t="shared" si="26"/>
        <v>-637131941579.5105</v>
      </c>
      <c r="O49" s="99">
        <v>5</v>
      </c>
      <c r="P49" s="93">
        <f t="shared" si="31"/>
        <v>162526</v>
      </c>
      <c r="Q49" s="1">
        <f t="shared" si="27"/>
        <v>1137703</v>
      </c>
      <c r="R49" s="9">
        <f>SUM($Q$45:Q49)</f>
        <v>1225210</v>
      </c>
      <c r="S49" s="277">
        <f t="shared" si="28"/>
        <v>39407959.711309463</v>
      </c>
      <c r="T49" s="9">
        <f t="shared" si="29"/>
        <v>-1.7357131409895426E-3</v>
      </c>
      <c r="U49" s="282">
        <f t="shared" si="30"/>
        <v>-2695540444626.9546</v>
      </c>
    </row>
    <row r="50" spans="1:21" x14ac:dyDescent="0.2">
      <c r="A50" s="97">
        <v>6</v>
      </c>
      <c r="B50" s="93">
        <f t="shared" si="25"/>
        <v>537824</v>
      </c>
      <c r="C50" s="1">
        <f t="shared" si="22"/>
        <v>3764768</v>
      </c>
      <c r="D50" s="9">
        <f>SUM($C$45:C50)</f>
        <v>4054365</v>
      </c>
      <c r="E50" s="9">
        <f t="shared" si="23"/>
        <v>99112961.437161073</v>
      </c>
      <c r="F50" s="9">
        <f t="shared" si="24"/>
        <v>-6.0096398836881884E-3</v>
      </c>
      <c r="G50" s="282">
        <f t="shared" si="26"/>
        <v>-59034970981253.539</v>
      </c>
      <c r="O50" s="99">
        <v>6</v>
      </c>
      <c r="P50" s="93">
        <f t="shared" si="31"/>
        <v>2275406</v>
      </c>
      <c r="Q50" s="1">
        <f t="shared" si="27"/>
        <v>15927863</v>
      </c>
      <c r="R50" s="9">
        <f>SUM($Q$45:Q50)</f>
        <v>17153073</v>
      </c>
      <c r="S50" s="277">
        <f t="shared" si="28"/>
        <v>419323830.68071294</v>
      </c>
      <c r="T50" s="9">
        <f t="shared" si="29"/>
        <v>-1.4204611387725957E-3</v>
      </c>
      <c r="U50" s="282">
        <f t="shared" si="30"/>
        <v>-249763197638674.25</v>
      </c>
    </row>
    <row r="51" spans="1:21" x14ac:dyDescent="0.2">
      <c r="A51" s="97">
        <v>7</v>
      </c>
      <c r="B51" s="93">
        <f t="shared" si="25"/>
        <v>7529536</v>
      </c>
      <c r="C51" s="1">
        <f t="shared" si="22"/>
        <v>52706752</v>
      </c>
      <c r="D51" s="9">
        <f>SUM($C$45:C51)</f>
        <v>56761117</v>
      </c>
      <c r="E51" s="9">
        <f t="shared" si="23"/>
        <v>1234252546.4176841</v>
      </c>
      <c r="F51" s="9">
        <f t="shared" si="24"/>
        <v>-4.0553816920470805E-3</v>
      </c>
      <c r="G51" s="282">
        <f t="shared" si="26"/>
        <v>-6177884719294716</v>
      </c>
      <c r="O51" s="99">
        <v>7</v>
      </c>
      <c r="P51" s="93">
        <f t="shared" si="31"/>
        <v>31855726</v>
      </c>
      <c r="Q51" s="1">
        <f t="shared" si="27"/>
        <v>222990103</v>
      </c>
      <c r="R51" s="9">
        <f>SUM($Q$45:Q51)</f>
        <v>240143176</v>
      </c>
      <c r="S51" s="277">
        <f t="shared" si="28"/>
        <v>5221837450.5003147</v>
      </c>
      <c r="T51" s="9">
        <f t="shared" si="29"/>
        <v>-9.5854480871004346E-4</v>
      </c>
      <c r="U51" s="282">
        <f t="shared" si="30"/>
        <v>-2.6137203350901316E+16</v>
      </c>
    </row>
    <row r="52" spans="1:21" x14ac:dyDescent="0.2">
      <c r="A52" s="97">
        <v>8</v>
      </c>
      <c r="B52" s="93">
        <f t="shared" si="25"/>
        <v>105413504</v>
      </c>
      <c r="C52" s="1">
        <f t="shared" si="22"/>
        <v>737894528</v>
      </c>
      <c r="D52" s="9">
        <f>SUM($C$45:C52)</f>
        <v>794655645</v>
      </c>
      <c r="E52" s="9">
        <f t="shared" si="23"/>
        <v>16337965822.11125</v>
      </c>
      <c r="F52" s="9">
        <f t="shared" si="24"/>
        <v>-2.5077455037228976E-3</v>
      </c>
      <c r="G52" s="282">
        <f t="shared" si="26"/>
        <v>-6.6939031855970035E+17</v>
      </c>
      <c r="O52" s="99">
        <v>8</v>
      </c>
      <c r="P52" s="93">
        <f t="shared" si="31"/>
        <v>445980206</v>
      </c>
      <c r="Q52" s="1">
        <f t="shared" si="27"/>
        <v>3121861463</v>
      </c>
      <c r="R52" s="9">
        <f>SUM($Q$45:Q52)</f>
        <v>3362004639</v>
      </c>
      <c r="S52" s="277">
        <f t="shared" si="28"/>
        <v>69122162827.851639</v>
      </c>
      <c r="T52" s="9">
        <f t="shared" si="29"/>
        <v>-5.9273984861291237E-4</v>
      </c>
      <c r="U52" s="282">
        <f t="shared" si="30"/>
        <v>-2.8320359522512425E+18</v>
      </c>
    </row>
    <row r="53" spans="1:21" x14ac:dyDescent="0.2">
      <c r="A53" s="97">
        <v>9</v>
      </c>
      <c r="B53" s="93">
        <f t="shared" si="25"/>
        <v>1475789056</v>
      </c>
      <c r="C53" s="1">
        <f t="shared" si="22"/>
        <v>10330523392</v>
      </c>
      <c r="D53" s="9">
        <f>SUM($C$45:C53)</f>
        <v>11125179037</v>
      </c>
      <c r="E53" s="9">
        <f t="shared" si="23"/>
        <v>222387099603.49744</v>
      </c>
      <c r="F53" s="9">
        <f t="shared" si="24"/>
        <v>-1.4780579397081829E-3</v>
      </c>
      <c r="G53" s="282">
        <f t="shared" si="26"/>
        <v>-7.3098866087029228E+19</v>
      </c>
      <c r="O53" s="99">
        <v>9</v>
      </c>
      <c r="P53" s="93">
        <f t="shared" si="31"/>
        <v>6243722926</v>
      </c>
      <c r="Q53" s="1">
        <f t="shared" si="27"/>
        <v>43706060503</v>
      </c>
      <c r="R53" s="9">
        <f>SUM($Q$45:Q53)</f>
        <v>47068065142</v>
      </c>
      <c r="S53" s="277">
        <f t="shared" si="28"/>
        <v>940868498031.87207</v>
      </c>
      <c r="T53" s="9">
        <f t="shared" si="29"/>
        <v>-3.4935914949348111E-4</v>
      </c>
      <c r="U53" s="282">
        <f t="shared" si="30"/>
        <v>-3.0926443334959753E+20</v>
      </c>
    </row>
    <row r="54" spans="1:21" ht="17" thickBot="1" x14ac:dyDescent="0.25">
      <c r="A54" s="145">
        <v>10</v>
      </c>
      <c r="B54" s="94">
        <f t="shared" si="25"/>
        <v>20661046784</v>
      </c>
      <c r="C54" s="111">
        <f t="shared" si="22"/>
        <v>144627327488</v>
      </c>
      <c r="D54" s="10">
        <f>SUM($C$45:C54)</f>
        <v>155752506525</v>
      </c>
      <c r="E54" s="10">
        <f t="shared" si="23"/>
        <v>3068764727515.7163</v>
      </c>
      <c r="F54" s="10">
        <f t="shared" si="24"/>
        <v>-8.4587115195246981E-4</v>
      </c>
      <c r="G54" s="283">
        <f t="shared" si="26"/>
        <v>-7.9658367392041927E+21</v>
      </c>
      <c r="O54" s="100">
        <v>10</v>
      </c>
      <c r="P54" s="94">
        <f t="shared" si="31"/>
        <v>87412121006</v>
      </c>
      <c r="Q54" s="111">
        <f t="shared" si="27"/>
        <v>611884847063</v>
      </c>
      <c r="R54" s="10">
        <f>SUM($Q$45:Q54)</f>
        <v>658952912205</v>
      </c>
      <c r="S54" s="278">
        <f t="shared" si="28"/>
        <v>12983235385325.139</v>
      </c>
      <c r="T54" s="10">
        <f t="shared" si="29"/>
        <v>-1.9993318137548504E-4</v>
      </c>
      <c r="U54" s="283">
        <f t="shared" si="30"/>
        <v>-3.3701616972730022E+22</v>
      </c>
    </row>
  </sheetData>
  <mergeCells count="2">
    <mergeCell ref="A18:F18"/>
    <mergeCell ref="O18:T18"/>
  </mergeCells>
  <conditionalFormatting sqref="F45:F54">
    <cfRule type="cellIs" dxfId="398" priority="63" operator="equal">
      <formula>MAX($F$45:$F$54)</formula>
    </cfRule>
  </conditionalFormatting>
  <conditionalFormatting sqref="F21:F30">
    <cfRule type="cellIs" dxfId="397" priority="61" operator="equal">
      <formula>MAX($F$21:$F$30)</formula>
    </cfRule>
  </conditionalFormatting>
  <conditionalFormatting sqref="E33:E42">
    <cfRule type="cellIs" dxfId="396" priority="59" stopIfTrue="1" operator="lessThan">
      <formula>0</formula>
    </cfRule>
    <cfRule type="cellIs" dxfId="395" priority="60" operator="equal">
      <formula>MIN($E$33:$E$42)</formula>
    </cfRule>
  </conditionalFormatting>
  <conditionalFormatting sqref="E21:E30">
    <cfRule type="cellIs" dxfId="394" priority="55" stopIfTrue="1" operator="lessThan">
      <formula>0</formula>
    </cfRule>
    <cfRule type="cellIs" dxfId="393" priority="56" operator="equal">
      <formula>MIN($E$21:$E$30)</formula>
    </cfRule>
  </conditionalFormatting>
  <conditionalFormatting sqref="E45:E54">
    <cfRule type="cellIs" dxfId="392" priority="51" stopIfTrue="1" operator="lessThan">
      <formula>0</formula>
    </cfRule>
    <cfRule type="cellIs" dxfId="391" priority="52" operator="equal">
      <formula>MIN($E$45:$E$54)</formula>
    </cfRule>
  </conditionalFormatting>
  <conditionalFormatting sqref="F33:F42">
    <cfRule type="cellIs" dxfId="390" priority="41" operator="lessThanOrEqual">
      <formula>0</formula>
    </cfRule>
    <cfRule type="cellIs" dxfId="389" priority="42" operator="equal">
      <formula>MAX($F$33:$F$42)</formula>
    </cfRule>
  </conditionalFormatting>
  <conditionalFormatting sqref="R7:R16">
    <cfRule type="cellIs" dxfId="388" priority="27" operator="lessThanOrEqual">
      <formula>0</formula>
    </cfRule>
    <cfRule type="cellIs" dxfId="387" priority="28" operator="greaterThan">
      <formula>0</formula>
    </cfRule>
  </conditionalFormatting>
  <conditionalFormatting sqref="T21:T30">
    <cfRule type="cellIs" dxfId="386" priority="19" operator="equal">
      <formula>MAX($T$21:$T$30)</formula>
    </cfRule>
  </conditionalFormatting>
  <conditionalFormatting sqref="S33:S42">
    <cfRule type="cellIs" dxfId="385" priority="17" stopIfTrue="1" operator="lessThan">
      <formula>0</formula>
    </cfRule>
    <cfRule type="cellIs" dxfId="384" priority="18" operator="equal">
      <formula>MIN($E$21:$E$30)</formula>
    </cfRule>
  </conditionalFormatting>
  <conditionalFormatting sqref="T33:T42">
    <cfRule type="cellIs" dxfId="383" priority="16" operator="equal">
      <formula>MAX($T$21:$T$30)</formula>
    </cfRule>
  </conditionalFormatting>
  <conditionalFormatting sqref="S45:S54">
    <cfRule type="cellIs" dxfId="382" priority="14" stopIfTrue="1" operator="lessThan">
      <formula>0</formula>
    </cfRule>
    <cfRule type="cellIs" dxfId="381" priority="15" operator="equal">
      <formula>MIN($E$21:$E$30)</formula>
    </cfRule>
  </conditionalFormatting>
  <conditionalFormatting sqref="T45:T54">
    <cfRule type="cellIs" dxfId="380" priority="13" operator="equal">
      <formula>MAX($T$21:$T$30)</formula>
    </cfRule>
  </conditionalFormatting>
  <conditionalFormatting sqref="S21:S30">
    <cfRule type="cellIs" dxfId="379" priority="11" stopIfTrue="1" operator="lessThan">
      <formula>0</formula>
    </cfRule>
    <cfRule type="cellIs" dxfId="378" priority="12" operator="equal">
      <formula>MIN($E$21:$E$30)</formula>
    </cfRule>
  </conditionalFormatting>
  <conditionalFormatting sqref="U7:U16">
    <cfRule type="cellIs" dxfId="377" priority="7" operator="lessThanOrEqual">
      <formula>0</formula>
    </cfRule>
    <cfRule type="cellIs" dxfId="376" priority="8" operator="greaterThan">
      <formula>0</formula>
    </cfRule>
  </conditionalFormatting>
  <conditionalFormatting sqref="S7:T16">
    <cfRule type="cellIs" dxfId="375" priority="1" operator="lessThanOrEqual">
      <formula>0</formula>
    </cfRule>
    <cfRule type="cellIs" dxfId="37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49" t="s">
        <v>125</v>
      </c>
      <c r="C2" s="155">
        <f>Analysis!B46</f>
        <v>0.35140509585095231</v>
      </c>
      <c r="D2" s="149" t="s">
        <v>126</v>
      </c>
      <c r="E2" s="155">
        <f>Analysis!M46</f>
        <v>0.64859490414904764</v>
      </c>
      <c r="F2" s="149" t="s">
        <v>47</v>
      </c>
      <c r="G2" s="155">
        <f>Analysis!S46</f>
        <v>13.782902200813995</v>
      </c>
      <c r="H2" t="s">
        <v>155</v>
      </c>
      <c r="I2" s="169">
        <f>Analysis!T46</f>
        <v>-14.589732623111987</v>
      </c>
      <c r="J2" t="s">
        <v>48</v>
      </c>
      <c r="K2" s="169">
        <f>C2*G2+E2*I2</f>
        <v>-4.6194441632662091</v>
      </c>
      <c r="L2" t="s">
        <v>47</v>
      </c>
      <c r="M2" s="176">
        <v>3</v>
      </c>
      <c r="N2" t="s">
        <v>155</v>
      </c>
      <c r="O2" s="176">
        <v>8</v>
      </c>
    </row>
    <row r="4" spans="1:23" x14ac:dyDescent="0.2">
      <c r="A4" t="s">
        <v>123</v>
      </c>
      <c r="B4">
        <f>$C$2</f>
        <v>0.35140509585095231</v>
      </c>
      <c r="C4" t="s">
        <v>124</v>
      </c>
      <c r="D4">
        <f>$E$2</f>
        <v>0.64859490414904764</v>
      </c>
      <c r="E4" t="s">
        <v>47</v>
      </c>
      <c r="F4">
        <f>G2</f>
        <v>13.782902200813995</v>
      </c>
      <c r="G4" t="s">
        <v>155</v>
      </c>
      <c r="H4">
        <f>I2</f>
        <v>-14.589732623111987</v>
      </c>
      <c r="I4" t="s">
        <v>48</v>
      </c>
      <c r="J4">
        <f>K2</f>
        <v>-4.6194441632662091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263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0.35140509585095231</v>
      </c>
      <c r="C7" s="95">
        <v>1</v>
      </c>
      <c r="D7" s="22">
        <f>C7*D4</f>
        <v>0.64859490414904764</v>
      </c>
      <c r="E7" s="2"/>
      <c r="F7" s="2"/>
      <c r="G7" s="2"/>
      <c r="H7" s="2"/>
      <c r="I7" s="2"/>
      <c r="J7" s="2"/>
      <c r="K7" s="2"/>
      <c r="L7" s="2"/>
      <c r="M7" s="256"/>
      <c r="N7" s="96">
        <f>B7+D7</f>
        <v>1</v>
      </c>
      <c r="R7" s="296">
        <f>B7-D7</f>
        <v>-0.29718980829809533</v>
      </c>
      <c r="S7" s="297">
        <f>SUM(C7)*B4*F4*POWER(O2,A7-1)</f>
        <v>4.8433820689813434</v>
      </c>
      <c r="T7" s="276">
        <f>SUM(C7)*D4*H4*POWER(O2,A7-1)</f>
        <v>-9.4628262322475525</v>
      </c>
      <c r="U7" s="294">
        <f>S7+T7</f>
        <v>-4.6194441632662091</v>
      </c>
      <c r="V7" s="109">
        <f>(U7+W7*D7)/B7</f>
        <v>-11.299919397871761</v>
      </c>
      <c r="W7" s="57">
        <f>COUNT(D7:M7)</f>
        <v>1</v>
      </c>
    </row>
    <row r="8" spans="1:23" x14ac:dyDescent="0.2">
      <c r="A8" s="99">
        <v>2</v>
      </c>
      <c r="B8" s="97">
        <f>C8*B4</f>
        <v>0.45514052050055764</v>
      </c>
      <c r="C8" s="97">
        <f>1/(1-B4*D4)</f>
        <v>1.295201822268407</v>
      </c>
      <c r="D8" s="144">
        <f>C8*D4</f>
        <v>0.84006130176784921</v>
      </c>
      <c r="E8" s="1">
        <f>D8*D4</f>
        <v>0.54485947949944236</v>
      </c>
      <c r="F8" s="1"/>
      <c r="G8" s="1"/>
      <c r="H8" s="1"/>
      <c r="I8" s="1"/>
      <c r="J8" s="1"/>
      <c r="K8" s="1"/>
      <c r="L8" s="1"/>
      <c r="M8" s="257"/>
      <c r="N8" s="97">
        <f>B8+E8</f>
        <v>1</v>
      </c>
      <c r="R8" s="298">
        <f>B8-E8</f>
        <v>-8.9718958998884712E-2</v>
      </c>
      <c r="S8" s="299">
        <f>SUM(C8:D8)*B4*F4*POWER(O2,A8-1)</f>
        <v>82.735161020114305</v>
      </c>
      <c r="T8" s="277">
        <f>SUM(C8:D8)*D4*H4*POWER(O2,A8-1)</f>
        <v>-161.64499122304915</v>
      </c>
      <c r="U8" s="295">
        <f>S8+T8+U7</f>
        <v>-83.529274366201051</v>
      </c>
      <c r="V8" s="93">
        <f>(U8+W8*E8)/B8</f>
        <v>-181.12989657905257</v>
      </c>
      <c r="W8" s="9">
        <f>COUNT(D8:M8)</f>
        <v>2</v>
      </c>
    </row>
    <row r="9" spans="1:23" x14ac:dyDescent="0.2">
      <c r="A9" s="99">
        <v>3</v>
      </c>
      <c r="B9" s="97">
        <f>C9*B4</f>
        <v>0.49858967709303187</v>
      </c>
      <c r="C9" s="97">
        <f>1/(1-D4*B4/(1-D4*B4))</f>
        <v>1.418845893186784</v>
      </c>
      <c r="D9" s="144">
        <f>C9*D4*C8</f>
        <v>1.1919175280384566</v>
      </c>
      <c r="E9" s="1">
        <f>D9*(D4)</f>
        <v>0.77307163485167263</v>
      </c>
      <c r="F9" s="1">
        <f>E9*D4</f>
        <v>0.50141032290696819</v>
      </c>
      <c r="G9" s="1"/>
      <c r="H9" s="1"/>
      <c r="I9" s="1"/>
      <c r="J9" s="1"/>
      <c r="K9" s="1"/>
      <c r="L9" s="1"/>
      <c r="M9" s="257"/>
      <c r="N9" s="97">
        <f>B9+F9</f>
        <v>1</v>
      </c>
      <c r="R9" s="298">
        <f>B9-F9</f>
        <v>-2.8206458139363177E-3</v>
      </c>
      <c r="S9" s="299">
        <f>SUM(C9:E9)*B4*F4*POWER(O2,A9-1)</f>
        <v>1048.9091862395776</v>
      </c>
      <c r="T9" s="277">
        <f>SUM(C9:E9)*D4*H4*POWER(O2,A9-1)</f>
        <v>-2049.3211605915831</v>
      </c>
      <c r="U9" s="295">
        <f t="shared" ref="U9:U16" si="0">S9+T9+U8</f>
        <v>-1083.9412487182065</v>
      </c>
      <c r="V9" s="93">
        <f>(U9+W9*F9)/B9</f>
        <v>-2170.9976509351468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0.51935578387370762</v>
      </c>
      <c r="C10" s="97">
        <f>1/(1-D4*B4/(1-D4*B4/(1-D4*B4)))</f>
        <v>1.4779403884740225</v>
      </c>
      <c r="D10" s="144">
        <f>C10*D4*C9</f>
        <v>1.3600838295092339</v>
      </c>
      <c r="E10" s="1">
        <f>D10*D4*C8</f>
        <v>1.1425537923309286</v>
      </c>
      <c r="F10" s="1">
        <f>E10*D4</f>
        <v>0.74105456742200948</v>
      </c>
      <c r="G10" s="1">
        <f>F10*D4</f>
        <v>0.48064421612629221</v>
      </c>
      <c r="H10" s="1"/>
      <c r="I10" s="1"/>
      <c r="J10" s="1"/>
      <c r="K10" s="1"/>
      <c r="L10" s="1"/>
      <c r="M10" s="257"/>
      <c r="N10" s="97">
        <f>B10+G10</f>
        <v>0.99999999999999978</v>
      </c>
      <c r="R10" s="298">
        <f>B10-G10</f>
        <v>3.871156774741541E-2</v>
      </c>
      <c r="S10" s="299">
        <f>SUM(C10:F10)*B4*F4*POWER(O2,A10-1)</f>
        <v>11708.759328422728</v>
      </c>
      <c r="T10" s="277">
        <f>SUM(C10:F10)*D4*H4*POWER(O2,A10-1)</f>
        <v>-22876.154171205984</v>
      </c>
      <c r="U10" s="295">
        <f t="shared" si="0"/>
        <v>-12251.336091501464</v>
      </c>
      <c r="V10" s="93">
        <f>(U10+W10*G10)/B10</f>
        <v>-23585.784340885792</v>
      </c>
      <c r="W10" s="9">
        <f t="shared" si="1"/>
        <v>4</v>
      </c>
    </row>
    <row r="11" spans="1:23" x14ac:dyDescent="0.2">
      <c r="A11" s="99">
        <v>5</v>
      </c>
      <c r="B11" s="97">
        <f>C11*B4</f>
        <v>0.5299040919579282</v>
      </c>
      <c r="C11" s="97">
        <f>1/(1-D4*B4/(1-D4*B4/(1-D4*B4/(1-D4*B4))))</f>
        <v>1.5079579044655795</v>
      </c>
      <c r="D11" s="144">
        <f>C11*D4*C10</f>
        <v>1.445505231606057</v>
      </c>
      <c r="E11" s="1">
        <f>D11*D4*C9</f>
        <v>1.3302351747815129</v>
      </c>
      <c r="F11" s="1">
        <f>E11*D4*C8</f>
        <v>1.1174790925843401</v>
      </c>
      <c r="G11" s="1">
        <f>F11*D4</f>
        <v>0.72479124494330482</v>
      </c>
      <c r="H11" s="1">
        <f>G11*D4</f>
        <v>0.47009590804207169</v>
      </c>
      <c r="I11" s="1"/>
      <c r="J11" s="1"/>
      <c r="K11" s="1"/>
      <c r="L11" s="1"/>
      <c r="M11" s="257"/>
      <c r="N11" s="97">
        <f>B11+H11</f>
        <v>0.99999999999999989</v>
      </c>
      <c r="R11" s="298">
        <f>B11-H11</f>
        <v>5.9808183915856516E-2</v>
      </c>
      <c r="S11" s="299">
        <f>SUM(C11:G11)*B4*F4*POWER(O2,A11-1)</f>
        <v>121529.98587068178</v>
      </c>
      <c r="T11" s="277">
        <f>SUM(C11:G11)*D4*H4*POWER(O2,A11-1)</f>
        <v>-237440.92907038255</v>
      </c>
      <c r="U11" s="295">
        <f t="shared" si="0"/>
        <v>-128162.27929120224</v>
      </c>
      <c r="V11" s="93">
        <f>(U11+W11*H11)/B11</f>
        <v>-241854.95216337621</v>
      </c>
      <c r="W11" s="9">
        <f t="shared" si="1"/>
        <v>5</v>
      </c>
    </row>
    <row r="12" spans="1:23" x14ac:dyDescent="0.2">
      <c r="A12" s="99">
        <v>6</v>
      </c>
      <c r="B12" s="97">
        <f>C12*B4</f>
        <v>0.535428002501112</v>
      </c>
      <c r="C12" s="97">
        <f>1/(1-D4*B4/(1-D4*B4/(1-D4*B4/(1-D4*B4/(1-D4*B4)))))</f>
        <v>1.5236773991695687</v>
      </c>
      <c r="D12" s="144">
        <f>C12*D4*C11</f>
        <v>1.4902384892895391</v>
      </c>
      <c r="E12" s="1">
        <f>D12*D4*C10</f>
        <v>1.4285196730157834</v>
      </c>
      <c r="F12" s="1">
        <f>E12*D4*C9</f>
        <v>1.3146041089049889</v>
      </c>
      <c r="G12" s="1">
        <f>F12*D4*C8</f>
        <v>1.1043480390360885</v>
      </c>
      <c r="H12" s="1">
        <f>G12*D4</f>
        <v>0.71627451052580049</v>
      </c>
      <c r="I12" s="1">
        <f>H12*D4</f>
        <v>0.46457199749888756</v>
      </c>
      <c r="J12" s="1"/>
      <c r="K12" s="1"/>
      <c r="L12" s="1"/>
      <c r="M12" s="257"/>
      <c r="N12" s="97">
        <f>B12+I12</f>
        <v>0.99999999999999956</v>
      </c>
      <c r="R12" s="298">
        <f>B12-I12</f>
        <v>7.0856005002224443E-2</v>
      </c>
      <c r="S12" s="299">
        <f>SUM(C12:H12)*B4*F4*POWER(O2,A12-1)</f>
        <v>1202635.1884980495</v>
      </c>
      <c r="T12" s="277">
        <f>SUM(C12:H12)*D4*H4*POWER(O2,A12-1)</f>
        <v>-2349665.5121277319</v>
      </c>
      <c r="U12" s="295">
        <f t="shared" si="0"/>
        <v>-1275192.6029208847</v>
      </c>
      <c r="V12" s="93">
        <f>(U12+W12*I12)/B12</f>
        <v>-2381627.0526236654</v>
      </c>
      <c r="W12" s="9">
        <f t="shared" si="1"/>
        <v>6</v>
      </c>
    </row>
    <row r="13" spans="1:23" x14ac:dyDescent="0.2">
      <c r="A13" s="99">
        <v>7</v>
      </c>
      <c r="B13" s="97">
        <f>C13*B4</f>
        <v>0.53836694835133991</v>
      </c>
      <c r="C13" s="97">
        <f>1/(1-D4*B4/(1-D4*B4/(1-D4*B4/(1-D4*B4/(1-D4*B4/(1-D4*B4))))))</f>
        <v>1.5320408118944497</v>
      </c>
      <c r="D13" s="144">
        <f>C13*D4*C12</f>
        <v>1.5140384080261422</v>
      </c>
      <c r="E13" s="1">
        <f>D13*D4*C11</f>
        <v>1.4808110372529832</v>
      </c>
      <c r="F13" s="1">
        <f>E13*D4*C10</f>
        <v>1.4194826626329331</v>
      </c>
      <c r="G13" s="1">
        <f>F13*D4*C9</f>
        <v>1.3062877439252671</v>
      </c>
      <c r="H13" s="1">
        <f>G13*D4*C8</f>
        <v>1.0973617826452469</v>
      </c>
      <c r="I13" s="1">
        <f>H13*D4</f>
        <v>0.71174326023162193</v>
      </c>
      <c r="J13" s="1">
        <f>I13*D4</f>
        <v>0.46163305164865948</v>
      </c>
      <c r="K13" s="1"/>
      <c r="L13" s="1"/>
      <c r="M13" s="257"/>
      <c r="N13" s="97">
        <f>B13+J13</f>
        <v>0.99999999999999933</v>
      </c>
      <c r="R13" s="298">
        <f>B13-J13</f>
        <v>7.6733896702680437E-2</v>
      </c>
      <c r="S13" s="299">
        <f>SUM(C13:I13)*B4*F4*POWER(O2,A13-1)</f>
        <v>11505393.608084254</v>
      </c>
      <c r="T13" s="277">
        <f>SUM(C13:I13)*D4*H4*POWER(O2,A13-1)</f>
        <v>-22478825.518262528</v>
      </c>
      <c r="U13" s="295">
        <f t="shared" si="0"/>
        <v>-12248624.513099158</v>
      </c>
      <c r="V13" s="93">
        <f>(U13+W13*J13)/B13</f>
        <v>-22751436.207547996</v>
      </c>
      <c r="W13" s="9">
        <f t="shared" si="1"/>
        <v>7</v>
      </c>
    </row>
    <row r="14" spans="1:23" x14ac:dyDescent="0.2">
      <c r="A14" s="99">
        <v>8</v>
      </c>
      <c r="B14" s="97">
        <f>C14*B4</f>
        <v>0.53994377514084535</v>
      </c>
      <c r="C14" s="97">
        <f>1/(1-D4*B4/(1-D4*B4/(1-D4*B4/(1-D4*B4/(1-D4*B4/(1-D4*B4/(1-D4*B4)))))))</f>
        <v>1.536528017140256</v>
      </c>
      <c r="D14" s="144">
        <f>C14*D4*C13</f>
        <v>1.5268077312339916</v>
      </c>
      <c r="E14" s="1">
        <f>D14*D4*C12</f>
        <v>1.5088668192207273</v>
      </c>
      <c r="F14" s="1">
        <f>E14*D4*C11</f>
        <v>1.4757529451051254</v>
      </c>
      <c r="G14" s="1">
        <f>F14*D4*C10</f>
        <v>1.4146340533713468</v>
      </c>
      <c r="H14" s="1">
        <f>G14*D4*C9</f>
        <v>1.3018257811128824</v>
      </c>
      <c r="I14" s="1">
        <f>H14*D4*C8</f>
        <v>1.093613460356635</v>
      </c>
      <c r="J14" s="1">
        <f>I14*D4</f>
        <v>0.70931211749612</v>
      </c>
      <c r="K14" s="1">
        <f>J14*D4</f>
        <v>0.46005622485915398</v>
      </c>
      <c r="L14" s="1"/>
      <c r="M14" s="257"/>
      <c r="N14" s="97">
        <f>B14+K14</f>
        <v>0.99999999999999933</v>
      </c>
      <c r="R14" s="298">
        <f>B14-K14</f>
        <v>7.9887550281691366E-2</v>
      </c>
      <c r="S14" s="299">
        <f>SUM(C14:J14)*B4*F4*POWER(O2,A14-1)</f>
        <v>107335740.66670108</v>
      </c>
      <c r="T14" s="277">
        <f>SUM(C14:J14)*D4*H4*POWER(O2,A14-1)</f>
        <v>-209708721.70986927</v>
      </c>
      <c r="U14" s="295">
        <f t="shared" si="0"/>
        <v>-114621605.55626735</v>
      </c>
      <c r="V14" s="93">
        <f>(U14+W14*K14)/B14</f>
        <v>-212284328.76352412</v>
      </c>
      <c r="W14" s="9">
        <f t="shared" si="1"/>
        <v>8</v>
      </c>
    </row>
    <row r="15" spans="1:23" x14ac:dyDescent="0.2">
      <c r="A15" s="99">
        <v>9</v>
      </c>
      <c r="B15" s="97">
        <f>C15*B4</f>
        <v>0.54079360023119571</v>
      </c>
      <c r="C15" s="97">
        <f>1/(1-D4*B4/(1-D4*B4/(1-D4*B4/(1-D4*B4/(1-D4*B4/(1-D4*B4/(1-D4*B4/(1-D4*B4))))))))</f>
        <v>1.5389463801645384</v>
      </c>
      <c r="D15" s="144">
        <f>C15*D4*C14</f>
        <v>1.5336897117540131</v>
      </c>
      <c r="E15" s="1">
        <f>D15*D4*C13</f>
        <v>1.5239873813549287</v>
      </c>
      <c r="F15" s="1">
        <f>E15*D4*C12</f>
        <v>1.5060796101543494</v>
      </c>
      <c r="G15" s="1">
        <f>F15*D4*C11</f>
        <v>1.4730269046514985</v>
      </c>
      <c r="H15" s="1">
        <f>G15*D4*C10</f>
        <v>1.4120209129609824</v>
      </c>
      <c r="I15" s="1">
        <f>H15*D4*C9</f>
        <v>1.2994210224067189</v>
      </c>
      <c r="J15" s="1">
        <f>I15*D4*C8</f>
        <v>1.091593315627498</v>
      </c>
      <c r="K15" s="1">
        <f>J15*D4</f>
        <v>0.70800186191915815</v>
      </c>
      <c r="L15" s="1">
        <f>K15*D4</f>
        <v>0.45920639976880362</v>
      </c>
      <c r="M15" s="257"/>
      <c r="N15" s="97">
        <f>B15+L15</f>
        <v>0.99999999999999933</v>
      </c>
      <c r="R15" s="298">
        <f>B15-L15</f>
        <v>8.1587200462392095E-2</v>
      </c>
      <c r="S15" s="299">
        <f>SUM(C15:K15)*B4*F4*POWER(O2,A15-1)</f>
        <v>982152167.3270098</v>
      </c>
      <c r="T15" s="277">
        <f>SUM(C15:K15)*D4*H4*POWER(O2,A15-1)</f>
        <v>-1918893690.5395758</v>
      </c>
      <c r="U15" s="295">
        <f t="shared" si="0"/>
        <v>-1051363128.7688334</v>
      </c>
      <c r="V15" s="93">
        <f>(U15+W15*L15)/B15</f>
        <v>-1944111624.4469342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0.54125272070739638</v>
      </c>
      <c r="C16" s="145">
        <f>1/(1-D4*B4/(1-D4*B4/(1-D4*B4/(1-D4*B4/(1-D4*B4/(1-D4*B4/(1-D4*B4/(1-D4*B4/(1-D4*B4)))))))))</f>
        <v>1.5402529078205727</v>
      </c>
      <c r="D16" s="153">
        <f>C16*D4*C15</f>
        <v>1.5374077217415192</v>
      </c>
      <c r="E16" s="111">
        <f>D16*D4*C14</f>
        <v>1.5321563090158126</v>
      </c>
      <c r="F16" s="111">
        <f>E16*D4*C13</f>
        <v>1.5224636791316932</v>
      </c>
      <c r="G16" s="111">
        <f>F16*D4*C12</f>
        <v>1.5045738123515344</v>
      </c>
      <c r="H16" s="111">
        <f>G16*D4*C11</f>
        <v>1.4715541533695897</v>
      </c>
      <c r="I16" s="111">
        <f>H16*D4*C10</f>
        <v>1.4106091562557392</v>
      </c>
      <c r="J16" s="111">
        <f>I16*D4*C9</f>
        <v>1.2981218445231069</v>
      </c>
      <c r="K16" s="111">
        <f>J16*D4*C8</f>
        <v>1.0905019265633629</v>
      </c>
      <c r="L16" s="111">
        <f>K16*D4</f>
        <v>0.70729399253371616</v>
      </c>
      <c r="M16" s="259">
        <f>L16*D4</f>
        <v>0.45874727929260284</v>
      </c>
      <c r="N16" s="145">
        <f>B16+M16</f>
        <v>0.99999999999999922</v>
      </c>
      <c r="R16" s="300">
        <f>B16-M16</f>
        <v>8.2505441414793546E-2</v>
      </c>
      <c r="S16" s="301">
        <f>SUM(C16:L16)*B4*F4*POWER(O2,A16-1)</f>
        <v>8850630313.8682861</v>
      </c>
      <c r="T16" s="278">
        <f>SUM(C16:L16)*D4*H4*POWER(O2,A16-1)</f>
        <v>-17292044177.63657</v>
      </c>
      <c r="U16" s="295">
        <f t="shared" si="0"/>
        <v>-9492776992.537117</v>
      </c>
      <c r="V16" s="94">
        <f>(U16+W16*M16)/B16</f>
        <v>-17538529830.46986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8</v>
      </c>
      <c r="D21" s="57">
        <f>SUM($C$21:C21)</f>
        <v>8</v>
      </c>
      <c r="E21" s="57">
        <f t="shared" ref="E21:E30" si="3">D21/R7</f>
        <v>-26.918823514888587</v>
      </c>
      <c r="F21" s="8">
        <f t="shared" ref="F21:F30" si="4">U7/E21</f>
        <v>0.171606465665605</v>
      </c>
      <c r="G21" s="281">
        <f>E21*U7</f>
        <v>124.35000216784526</v>
      </c>
      <c r="O21" s="101">
        <v>1</v>
      </c>
      <c r="P21" s="109">
        <v>1</v>
      </c>
      <c r="Q21" s="110">
        <f>P21*8+28</f>
        <v>36</v>
      </c>
      <c r="R21" s="57">
        <f>SUM($Q$21)</f>
        <v>36</v>
      </c>
      <c r="S21" s="276">
        <f>R21/R7</f>
        <v>-121.13470581699865</v>
      </c>
      <c r="T21" s="8">
        <f>U7/S21</f>
        <v>3.8134770147912223E-2</v>
      </c>
      <c r="U21" s="281">
        <f>S21*U7</f>
        <v>559.57500975530365</v>
      </c>
    </row>
    <row r="22" spans="1:21" x14ac:dyDescent="0.2">
      <c r="A22" s="97">
        <v>2</v>
      </c>
      <c r="B22" s="93">
        <f>C21</f>
        <v>8</v>
      </c>
      <c r="C22" s="1">
        <f t="shared" si="2"/>
        <v>64</v>
      </c>
      <c r="D22" s="9">
        <f>SUM($C$21:C22)</f>
        <v>72</v>
      </c>
      <c r="E22" s="9">
        <f t="shared" si="3"/>
        <v>-802.5059675613827</v>
      </c>
      <c r="F22" s="9">
        <f t="shared" si="4"/>
        <v>0.10408554919538589</v>
      </c>
      <c r="G22" s="282">
        <f t="shared" ref="G22:G30" si="5">E22*U8</f>
        <v>67032.741144948377</v>
      </c>
      <c r="O22" s="99">
        <v>2</v>
      </c>
      <c r="P22" s="93">
        <f>Q21</f>
        <v>36</v>
      </c>
      <c r="Q22" s="1">
        <f t="shared" ref="Q22:Q30" si="6">P22*8+28</f>
        <v>316</v>
      </c>
      <c r="R22" s="9">
        <f>SUM($Q$21:Q22)</f>
        <v>352</v>
      </c>
      <c r="S22" s="277">
        <f t="shared" ref="S22:S30" si="7">R22/R8</f>
        <v>-3923.3625080778711</v>
      </c>
      <c r="T22" s="9">
        <f>U8/S22</f>
        <v>2.1290225971783476E-2</v>
      </c>
      <c r="U22" s="282">
        <f t="shared" ref="U22:U30" si="8">S22*U8</f>
        <v>327715.62337530317</v>
      </c>
    </row>
    <row r="23" spans="1:21" x14ac:dyDescent="0.2">
      <c r="A23" s="97">
        <v>3</v>
      </c>
      <c r="B23" s="93">
        <f t="shared" ref="B23:B30" si="9">C22</f>
        <v>64</v>
      </c>
      <c r="C23" s="1">
        <f t="shared" si="2"/>
        <v>512</v>
      </c>
      <c r="D23" s="9">
        <f>SUM($C$21:C23)</f>
        <v>584</v>
      </c>
      <c r="E23" s="9">
        <f t="shared" si="3"/>
        <v>-207044.78283468209</v>
      </c>
      <c r="F23" s="9">
        <f t="shared" si="4"/>
        <v>5.2352985372430038E-3</v>
      </c>
      <c r="G23" s="282">
        <f t="shared" si="5"/>
        <v>224424380.44641519</v>
      </c>
      <c r="O23" s="99">
        <v>3</v>
      </c>
      <c r="P23" s="93">
        <f t="shared" ref="P23:P30" si="10">Q22</f>
        <v>316</v>
      </c>
      <c r="Q23" s="1">
        <f t="shared" si="6"/>
        <v>2556</v>
      </c>
      <c r="R23" s="9">
        <f>SUM($Q$21:Q23)</f>
        <v>2908</v>
      </c>
      <c r="S23" s="277">
        <f t="shared" si="7"/>
        <v>-1030969.569320643</v>
      </c>
      <c r="T23" s="9">
        <f t="shared" ref="T23:T30" si="11">U9/S23</f>
        <v>1.0513804490199154E-3</v>
      </c>
      <c r="U23" s="282">
        <f t="shared" si="8"/>
        <v>1117510442.3598893</v>
      </c>
    </row>
    <row r="24" spans="1:21" x14ac:dyDescent="0.2">
      <c r="A24" s="97">
        <v>4</v>
      </c>
      <c r="B24" s="93">
        <f t="shared" si="9"/>
        <v>512</v>
      </c>
      <c r="C24" s="1">
        <f t="shared" si="2"/>
        <v>4096</v>
      </c>
      <c r="D24" s="9">
        <f>SUM($C$21:C24)</f>
        <v>4680</v>
      </c>
      <c r="E24" s="9">
        <f t="shared" si="3"/>
        <v>120894.09632118198</v>
      </c>
      <c r="F24" s="9">
        <f t="shared" si="4"/>
        <v>-0.10133940750053727</v>
      </c>
      <c r="G24" s="282">
        <f t="shared" si="5"/>
        <v>-1481114205.509151</v>
      </c>
      <c r="O24" s="99">
        <v>4</v>
      </c>
      <c r="P24" s="93">
        <f t="shared" si="10"/>
        <v>2556</v>
      </c>
      <c r="Q24" s="1">
        <f t="shared" si="6"/>
        <v>20476</v>
      </c>
      <c r="R24" s="9">
        <f>SUM($Q$21:Q24)</f>
        <v>23384</v>
      </c>
      <c r="S24" s="277">
        <f t="shared" si="7"/>
        <v>604057.16845609387</v>
      </c>
      <c r="T24" s="9">
        <f t="shared" si="11"/>
        <v>-2.0281749362919706E-2</v>
      </c>
      <c r="U24" s="282">
        <f t="shared" si="8"/>
        <v>-7400507389.2363224</v>
      </c>
    </row>
    <row r="25" spans="1:21" x14ac:dyDescent="0.2">
      <c r="A25" s="97">
        <v>5</v>
      </c>
      <c r="B25" s="93">
        <f t="shared" si="9"/>
        <v>4096</v>
      </c>
      <c r="C25" s="1">
        <f t="shared" si="2"/>
        <v>32768</v>
      </c>
      <c r="D25" s="9">
        <f>SUM($C$21:C25)</f>
        <v>37448</v>
      </c>
      <c r="E25" s="9">
        <f t="shared" si="3"/>
        <v>626135.04621182254</v>
      </c>
      <c r="F25" s="9">
        <f t="shared" si="4"/>
        <v>-0.20468791847157639</v>
      </c>
      <c r="G25" s="282">
        <f t="shared" si="5"/>
        <v>-80246894666.609421</v>
      </c>
      <c r="O25" s="99">
        <v>5</v>
      </c>
      <c r="P25" s="93">
        <f t="shared" si="10"/>
        <v>20476</v>
      </c>
      <c r="Q25" s="1">
        <f t="shared" si="6"/>
        <v>163836</v>
      </c>
      <c r="R25" s="9">
        <f>SUM($Q$21:Q25)</f>
        <v>187220</v>
      </c>
      <c r="S25" s="277">
        <f t="shared" si="7"/>
        <v>3130340.8286631438</v>
      </c>
      <c r="T25" s="9">
        <f t="shared" si="11"/>
        <v>-4.0941956900564007E-2</v>
      </c>
      <c r="U25" s="282">
        <f t="shared" si="8"/>
        <v>-401191615559.7793</v>
      </c>
    </row>
    <row r="26" spans="1:21" x14ac:dyDescent="0.2">
      <c r="A26" s="97">
        <v>6</v>
      </c>
      <c r="B26" s="93">
        <f t="shared" si="9"/>
        <v>32768</v>
      </c>
      <c r="C26" s="1">
        <f t="shared" si="2"/>
        <v>262144</v>
      </c>
      <c r="D26" s="9">
        <f>SUM($C$21:C26)</f>
        <v>299592</v>
      </c>
      <c r="E26" s="9">
        <f t="shared" si="3"/>
        <v>4228180.8011980727</v>
      </c>
      <c r="F26" s="9">
        <f t="shared" si="4"/>
        <v>-0.3015936789078541</v>
      </c>
      <c r="G26" s="282">
        <f t="shared" si="5"/>
        <v>-5391744881499.8818</v>
      </c>
      <c r="O26" s="99">
        <v>6</v>
      </c>
      <c r="P26" s="93">
        <f t="shared" si="10"/>
        <v>163836</v>
      </c>
      <c r="Q26" s="1">
        <f t="shared" si="6"/>
        <v>1310716</v>
      </c>
      <c r="R26" s="9">
        <f>SUM($Q$21:Q26)</f>
        <v>1497936</v>
      </c>
      <c r="S26" s="277">
        <f t="shared" si="7"/>
        <v>21140565.29087371</v>
      </c>
      <c r="T26" s="9">
        <f t="shared" si="11"/>
        <v>-6.0319702211150419E-2</v>
      </c>
      <c r="U26" s="282">
        <f t="shared" si="8"/>
        <v>-26958292480488.156</v>
      </c>
    </row>
    <row r="27" spans="1:21" x14ac:dyDescent="0.2">
      <c r="A27" s="97">
        <v>7</v>
      </c>
      <c r="B27" s="93">
        <f t="shared" si="9"/>
        <v>262144</v>
      </c>
      <c r="C27" s="1">
        <f t="shared" si="2"/>
        <v>2097152</v>
      </c>
      <c r="D27" s="9">
        <f>SUM($C$21:C27)</f>
        <v>2396744</v>
      </c>
      <c r="E27" s="9">
        <f t="shared" si="3"/>
        <v>31234488.315986667</v>
      </c>
      <c r="F27" s="9">
        <f t="shared" si="4"/>
        <v>-0.39215063775608505</v>
      </c>
      <c r="G27" s="282">
        <f t="shared" si="5"/>
        <v>-382579519241303.56</v>
      </c>
      <c r="O27" s="99">
        <v>7</v>
      </c>
      <c r="P27" s="93">
        <f t="shared" si="10"/>
        <v>1310716</v>
      </c>
      <c r="Q27" s="1">
        <f t="shared" si="6"/>
        <v>10485756</v>
      </c>
      <c r="R27" s="9">
        <f>SUM($Q$21:Q27)</f>
        <v>11983692</v>
      </c>
      <c r="S27" s="277">
        <f t="shared" si="7"/>
        <v>156172076.68252552</v>
      </c>
      <c r="T27" s="9">
        <f t="shared" si="11"/>
        <v>-7.8430310803888334E-2</v>
      </c>
      <c r="U27" s="282">
        <f t="shared" si="8"/>
        <v>-1912893126715183.5</v>
      </c>
    </row>
    <row r="28" spans="1:21" x14ac:dyDescent="0.2">
      <c r="A28" s="97">
        <v>8</v>
      </c>
      <c r="B28" s="93">
        <f t="shared" si="9"/>
        <v>2097152</v>
      </c>
      <c r="C28" s="1">
        <f t="shared" si="2"/>
        <v>16777216</v>
      </c>
      <c r="D28" s="9">
        <f>SUM($C$21:C28)</f>
        <v>19173960</v>
      </c>
      <c r="E28" s="9">
        <f t="shared" si="3"/>
        <v>240011865.83379674</v>
      </c>
      <c r="F28" s="9">
        <f t="shared" si="4"/>
        <v>-0.47756641180249165</v>
      </c>
      <c r="G28" s="282">
        <f t="shared" si="5"/>
        <v>-2.7510545414425212E+16</v>
      </c>
      <c r="O28" s="99">
        <v>8</v>
      </c>
      <c r="P28" s="93">
        <f t="shared" si="10"/>
        <v>10485756</v>
      </c>
      <c r="Q28" s="1">
        <f t="shared" si="6"/>
        <v>83886076</v>
      </c>
      <c r="R28" s="9">
        <f>SUM($Q$21:Q28)</f>
        <v>95869768</v>
      </c>
      <c r="S28" s="277">
        <f t="shared" si="7"/>
        <v>1200058928.6059437</v>
      </c>
      <c r="T28" s="9">
        <f t="shared" si="11"/>
        <v>-9.5513314241508371E-2</v>
      </c>
      <c r="U28" s="282">
        <f t="shared" si="8"/>
        <v>-1.3755268115894728E+17</v>
      </c>
    </row>
    <row r="29" spans="1:21" x14ac:dyDescent="0.2">
      <c r="A29" s="97">
        <v>9</v>
      </c>
      <c r="B29" s="93">
        <f t="shared" si="9"/>
        <v>16777216</v>
      </c>
      <c r="C29" s="1">
        <f t="shared" si="2"/>
        <v>134217728</v>
      </c>
      <c r="D29" s="9">
        <f>SUM($C$21:C29)</f>
        <v>153391688</v>
      </c>
      <c r="E29" s="9">
        <f t="shared" si="3"/>
        <v>1880095004.2489376</v>
      </c>
      <c r="F29" s="9">
        <f t="shared" si="4"/>
        <v>-0.55920744770492758</v>
      </c>
      <c r="G29" s="282">
        <f t="shared" si="5"/>
        <v>-1.9766625660498161E+18</v>
      </c>
      <c r="O29" s="99">
        <v>9</v>
      </c>
      <c r="P29" s="93">
        <f t="shared" si="10"/>
        <v>83886076</v>
      </c>
      <c r="Q29" s="1">
        <f t="shared" si="6"/>
        <v>671088636</v>
      </c>
      <c r="R29" s="9">
        <f>SUM($Q$21:Q29)</f>
        <v>766958404</v>
      </c>
      <c r="S29" s="277">
        <f t="shared" si="7"/>
        <v>9400474579.9990063</v>
      </c>
      <c r="T29" s="9">
        <f t="shared" si="11"/>
        <v>-0.11184149479067519</v>
      </c>
      <c r="U29" s="282">
        <f t="shared" si="8"/>
        <v>-9.8833123663396393E+18</v>
      </c>
    </row>
    <row r="30" spans="1:21" ht="17" thickBot="1" x14ac:dyDescent="0.25">
      <c r="A30" s="145">
        <v>10</v>
      </c>
      <c r="B30" s="94">
        <f t="shared" si="9"/>
        <v>134217728</v>
      </c>
      <c r="C30" s="111">
        <f t="shared" si="2"/>
        <v>1073741824</v>
      </c>
      <c r="D30" s="10">
        <f>SUM($C$21:C30)</f>
        <v>1227133512</v>
      </c>
      <c r="E30" s="10">
        <f t="shared" si="3"/>
        <v>14873364604.288635</v>
      </c>
      <c r="F30" s="10">
        <f t="shared" si="4"/>
        <v>-0.63824005160203889</v>
      </c>
      <c r="G30" s="283">
        <f t="shared" si="5"/>
        <v>-1.4118953331720708E+20</v>
      </c>
      <c r="O30" s="100">
        <v>10</v>
      </c>
      <c r="P30" s="94">
        <f t="shared" si="10"/>
        <v>671088636</v>
      </c>
      <c r="Q30" s="111">
        <f t="shared" si="6"/>
        <v>5368709116</v>
      </c>
      <c r="R30" s="10">
        <f>SUM($Q$21:Q30)</f>
        <v>6135667520</v>
      </c>
      <c r="S30" s="278">
        <f t="shared" si="7"/>
        <v>74366822536.626663</v>
      </c>
      <c r="T30" s="10">
        <f t="shared" si="11"/>
        <v>-0.12764801115257809</v>
      </c>
      <c r="U30" s="283">
        <f t="shared" si="8"/>
        <v>-7.0594766198378031E+20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8</v>
      </c>
      <c r="D33" s="57">
        <f>SUM($C$33:C33)</f>
        <v>8</v>
      </c>
      <c r="E33" s="9">
        <f t="shared" ref="E33:E42" si="13">D33/R7</f>
        <v>-26.918823514888587</v>
      </c>
      <c r="F33" s="8">
        <f t="shared" ref="F33:F42" si="14">U7/E33</f>
        <v>0.171606465665605</v>
      </c>
      <c r="G33" s="284">
        <f>E33*U7</f>
        <v>124.35000216784526</v>
      </c>
      <c r="O33" s="101">
        <v>1</v>
      </c>
      <c r="P33" s="109">
        <v>1</v>
      </c>
      <c r="Q33" s="110">
        <f>P33*8+28</f>
        <v>36</v>
      </c>
      <c r="R33" s="57">
        <f>SUM($Q$21)</f>
        <v>36</v>
      </c>
      <c r="S33" s="276">
        <f>R33/R7</f>
        <v>-121.13470581699865</v>
      </c>
      <c r="T33" s="8">
        <f>U7/S33</f>
        <v>3.8134770147912223E-2</v>
      </c>
      <c r="U33" s="284">
        <f>S33*U7</f>
        <v>559.57500975530365</v>
      </c>
    </row>
    <row r="34" spans="1:21" x14ac:dyDescent="0.2">
      <c r="A34" s="97">
        <v>2</v>
      </c>
      <c r="B34" s="93">
        <f t="shared" ref="B34:B42" si="15">B33*($O$2+1)</f>
        <v>9</v>
      </c>
      <c r="C34" s="1">
        <f t="shared" si="12"/>
        <v>72</v>
      </c>
      <c r="D34" s="9">
        <f>SUM($C$33:C34)</f>
        <v>80</v>
      </c>
      <c r="E34" s="9">
        <f t="shared" si="13"/>
        <v>-891.67329729042524</v>
      </c>
      <c r="F34" s="9">
        <f t="shared" si="14"/>
        <v>9.3676994275847303E-2</v>
      </c>
      <c r="G34" s="282">
        <f t="shared" ref="G34:G42" si="16">E34*U8</f>
        <v>74480.823494387092</v>
      </c>
      <c r="O34" s="99">
        <v>2</v>
      </c>
      <c r="P34" s="93">
        <f>Q33+1</f>
        <v>37</v>
      </c>
      <c r="Q34" s="1">
        <f t="shared" ref="Q34:Q42" si="17">P34*8+28</f>
        <v>324</v>
      </c>
      <c r="R34" s="9">
        <f>SUM($Q$33:Q34)</f>
        <v>360</v>
      </c>
      <c r="S34" s="277">
        <f>R34/R8</f>
        <v>-4012.5298378069137</v>
      </c>
      <c r="T34" s="9">
        <f t="shared" ref="T34:T42" si="18">U8/S34</f>
        <v>2.0817109839077176E-2</v>
      </c>
      <c r="U34" s="282">
        <f t="shared" ref="U34:U42" si="19">S34*U8</f>
        <v>335163.70572474191</v>
      </c>
    </row>
    <row r="35" spans="1:21" x14ac:dyDescent="0.2">
      <c r="A35" s="97">
        <v>3</v>
      </c>
      <c r="B35" s="93">
        <f t="shared" si="15"/>
        <v>81</v>
      </c>
      <c r="C35" s="1">
        <f t="shared" si="12"/>
        <v>648</v>
      </c>
      <c r="D35" s="9">
        <f>SUM($C$33:C35)</f>
        <v>728</v>
      </c>
      <c r="E35" s="9">
        <f t="shared" si="13"/>
        <v>-258096.92106789138</v>
      </c>
      <c r="F35" s="9">
        <f t="shared" si="14"/>
        <v>4.1997449804257059E-3</v>
      </c>
      <c r="G35" s="282">
        <f t="shared" si="16"/>
        <v>279761898.91265458</v>
      </c>
      <c r="O35" s="99">
        <v>3</v>
      </c>
      <c r="P35" s="93">
        <f t="shared" ref="P35:P42" si="20">Q34+1</f>
        <v>325</v>
      </c>
      <c r="Q35" s="1">
        <f t="shared" si="17"/>
        <v>2628</v>
      </c>
      <c r="R35" s="9">
        <f>SUM($Q$33:Q35)</f>
        <v>2988</v>
      </c>
      <c r="S35" s="277">
        <f t="shared" ref="S35:S42" si="21">R35/R9</f>
        <v>-1059331.8683390927</v>
      </c>
      <c r="T35" s="9">
        <f t="shared" si="18"/>
        <v>1.0232310394076016E-3</v>
      </c>
      <c r="U35" s="282">
        <f t="shared" si="19"/>
        <v>1148253508.1744668</v>
      </c>
    </row>
    <row r="36" spans="1:21" x14ac:dyDescent="0.2">
      <c r="A36" s="97">
        <v>4</v>
      </c>
      <c r="B36" s="93">
        <f t="shared" si="15"/>
        <v>729</v>
      </c>
      <c r="C36" s="1">
        <f t="shared" si="12"/>
        <v>5832</v>
      </c>
      <c r="D36" s="9">
        <f>SUM($C$33:C36)</f>
        <v>6560</v>
      </c>
      <c r="E36" s="9">
        <f t="shared" si="13"/>
        <v>169458.39142456275</v>
      </c>
      <c r="F36" s="9">
        <f t="shared" si="14"/>
        <v>-7.229701632660282E-2</v>
      </c>
      <c r="G36" s="282">
        <f t="shared" si="16"/>
        <v>-2076091706.8675277</v>
      </c>
      <c r="O36" s="99">
        <v>4</v>
      </c>
      <c r="P36" s="93">
        <f t="shared" si="20"/>
        <v>2629</v>
      </c>
      <c r="Q36" s="1">
        <f t="shared" si="17"/>
        <v>21060</v>
      </c>
      <c r="R36" s="9">
        <f>SUM($Q$33:Q36)</f>
        <v>24048</v>
      </c>
      <c r="S36" s="277">
        <f t="shared" si="21"/>
        <v>621209.66417345812</v>
      </c>
      <c r="T36" s="9">
        <f t="shared" si="18"/>
        <v>-1.9721740980643481E-2</v>
      </c>
      <c r="U36" s="282">
        <f t="shared" si="19"/>
        <v>-7610648379.0777912</v>
      </c>
    </row>
    <row r="37" spans="1:21" x14ac:dyDescent="0.2">
      <c r="A37" s="97">
        <v>5</v>
      </c>
      <c r="B37" s="93">
        <f t="shared" si="15"/>
        <v>6561</v>
      </c>
      <c r="C37" s="1">
        <f t="shared" si="12"/>
        <v>52488</v>
      </c>
      <c r="D37" s="9">
        <f>SUM($C$33:C37)</f>
        <v>59048</v>
      </c>
      <c r="E37" s="9">
        <f t="shared" si="13"/>
        <v>987289.63385803509</v>
      </c>
      <c r="F37" s="9">
        <f t="shared" si="14"/>
        <v>-0.12981224039634859</v>
      </c>
      <c r="G37" s="282">
        <f t="shared" si="16"/>
        <v>-126533289795.8223</v>
      </c>
      <c r="O37" s="99">
        <v>5</v>
      </c>
      <c r="P37" s="93">
        <f t="shared" si="20"/>
        <v>21061</v>
      </c>
      <c r="Q37" s="1">
        <f t="shared" si="17"/>
        <v>168516</v>
      </c>
      <c r="R37" s="9">
        <f>SUM($Q$33:Q37)</f>
        <v>192564</v>
      </c>
      <c r="S37" s="277">
        <f t="shared" si="21"/>
        <v>3219693.1488659848</v>
      </c>
      <c r="T37" s="9">
        <f t="shared" si="18"/>
        <v>-3.9805743394007144E-2</v>
      </c>
      <c r="U37" s="282">
        <f t="shared" si="19"/>
        <v>-412643212576.93274</v>
      </c>
    </row>
    <row r="38" spans="1:21" x14ac:dyDescent="0.2">
      <c r="A38" s="97">
        <v>6</v>
      </c>
      <c r="B38" s="93">
        <f t="shared" si="15"/>
        <v>59049</v>
      </c>
      <c r="C38" s="1">
        <f t="shared" si="12"/>
        <v>472392</v>
      </c>
      <c r="D38" s="9">
        <f>SUM($C$33:C38)</f>
        <v>531440</v>
      </c>
      <c r="E38" s="9">
        <f t="shared" si="13"/>
        <v>7500281.7331193881</v>
      </c>
      <c r="F38" s="9">
        <f t="shared" si="14"/>
        <v>-0.17001929371398808</v>
      </c>
      <c r="G38" s="282">
        <f t="shared" si="16"/>
        <v>-9564303785896.4766</v>
      </c>
      <c r="O38" s="99">
        <v>6</v>
      </c>
      <c r="P38" s="93">
        <f t="shared" si="20"/>
        <v>168517</v>
      </c>
      <c r="Q38" s="1">
        <f t="shared" si="17"/>
        <v>1348164</v>
      </c>
      <c r="R38" s="9">
        <f>SUM($Q$33:Q38)</f>
        <v>1540728</v>
      </c>
      <c r="S38" s="277">
        <f t="shared" si="21"/>
        <v>21744494.343868677</v>
      </c>
      <c r="T38" s="9">
        <f t="shared" si="18"/>
        <v>-5.8644389828290143E-2</v>
      </c>
      <c r="U38" s="282">
        <f t="shared" si="19"/>
        <v>-27728418341556.352</v>
      </c>
    </row>
    <row r="39" spans="1:21" x14ac:dyDescent="0.2">
      <c r="A39" s="97">
        <v>7</v>
      </c>
      <c r="B39" s="93">
        <f t="shared" si="15"/>
        <v>531441</v>
      </c>
      <c r="C39" s="1">
        <f t="shared" si="12"/>
        <v>4251528</v>
      </c>
      <c r="D39" s="9">
        <f>SUM($C$33:C39)</f>
        <v>4782968</v>
      </c>
      <c r="E39" s="9">
        <f t="shared" si="13"/>
        <v>62331879.463029057</v>
      </c>
      <c r="F39" s="9">
        <f t="shared" si="14"/>
        <v>-0.19650658087992023</v>
      </c>
      <c r="G39" s="282">
        <f t="shared" si="16"/>
        <v>-763479786738399.75</v>
      </c>
      <c r="O39" s="99">
        <v>7</v>
      </c>
      <c r="P39" s="93">
        <f t="shared" si="20"/>
        <v>1348165</v>
      </c>
      <c r="Q39" s="1">
        <f t="shared" si="17"/>
        <v>10785348</v>
      </c>
      <c r="R39" s="9">
        <f>SUM($Q$33:Q39)</f>
        <v>12326076</v>
      </c>
      <c r="S39" s="277">
        <f t="shared" si="21"/>
        <v>160634042.18554991</v>
      </c>
      <c r="T39" s="9">
        <f t="shared" si="18"/>
        <v>-7.625173560004582E-2</v>
      </c>
      <c r="U39" s="282">
        <f t="shared" si="19"/>
        <v>-1967546066752131</v>
      </c>
    </row>
    <row r="40" spans="1:21" x14ac:dyDescent="0.2">
      <c r="A40" s="97">
        <v>8</v>
      </c>
      <c r="B40" s="93">
        <f t="shared" si="15"/>
        <v>4782969</v>
      </c>
      <c r="C40" s="1">
        <f t="shared" si="12"/>
        <v>38263752</v>
      </c>
      <c r="D40" s="9">
        <f>SUM($C$33:C40)</f>
        <v>43046720</v>
      </c>
      <c r="E40" s="9">
        <f t="shared" si="13"/>
        <v>538841407.05545521</v>
      </c>
      <c r="F40" s="9">
        <f t="shared" si="14"/>
        <v>-0.21271862936931088</v>
      </c>
      <c r="G40" s="282">
        <f t="shared" si="16"/>
        <v>-6.176286721689448E+16</v>
      </c>
      <c r="O40" s="99">
        <v>8</v>
      </c>
      <c r="P40" s="93">
        <f t="shared" si="20"/>
        <v>10785349</v>
      </c>
      <c r="Q40" s="1">
        <f t="shared" si="17"/>
        <v>86282820</v>
      </c>
      <c r="R40" s="9">
        <f>SUM($Q$33:Q40)</f>
        <v>98608896</v>
      </c>
      <c r="S40" s="277">
        <f t="shared" si="21"/>
        <v>1234346223.564189</v>
      </c>
      <c r="T40" s="9">
        <f t="shared" si="18"/>
        <v>-9.2860174372548523E-2</v>
      </c>
      <c r="U40" s="282">
        <f t="shared" si="19"/>
        <v>-1.4148274595724266E+17</v>
      </c>
    </row>
    <row r="41" spans="1:21" x14ac:dyDescent="0.2">
      <c r="A41" s="97">
        <v>9</v>
      </c>
      <c r="B41" s="93">
        <f t="shared" si="15"/>
        <v>43046721</v>
      </c>
      <c r="C41" s="1">
        <f t="shared" si="12"/>
        <v>344373768</v>
      </c>
      <c r="D41" s="9">
        <f>SUM($C$33:C41)</f>
        <v>387420488</v>
      </c>
      <c r="E41" s="9">
        <f t="shared" si="13"/>
        <v>4748544940.925909</v>
      </c>
      <c r="F41" s="9">
        <f t="shared" si="14"/>
        <v>-0.22140742940169589</v>
      </c>
      <c r="G41" s="282">
        <f t="shared" si="16"/>
        <v>-4.9924450661912791E+18</v>
      </c>
      <c r="O41" s="99">
        <v>9</v>
      </c>
      <c r="P41" s="93">
        <f t="shared" si="20"/>
        <v>86282821</v>
      </c>
      <c r="Q41" s="1">
        <f t="shared" si="17"/>
        <v>690262596</v>
      </c>
      <c r="R41" s="9">
        <f>SUM($Q$33:Q41)</f>
        <v>788871492</v>
      </c>
      <c r="S41" s="277">
        <f t="shared" si="21"/>
        <v>9669059454.5358009</v>
      </c>
      <c r="T41" s="9">
        <f t="shared" si="18"/>
        <v>-0.10873478787801165</v>
      </c>
      <c r="U41" s="282">
        <f t="shared" si="19"/>
        <v>-1.016569260037263E+19</v>
      </c>
    </row>
    <row r="42" spans="1:21" ht="17" thickBot="1" x14ac:dyDescent="0.25">
      <c r="A42" s="145">
        <v>10</v>
      </c>
      <c r="B42" s="94">
        <f t="shared" si="15"/>
        <v>387420489</v>
      </c>
      <c r="C42" s="111">
        <f t="shared" si="12"/>
        <v>3099363912</v>
      </c>
      <c r="D42" s="10">
        <f>SUM($C$33:C42)</f>
        <v>3486784400</v>
      </c>
      <c r="E42" s="9">
        <f t="shared" si="13"/>
        <v>42261265926.332054</v>
      </c>
      <c r="F42" s="10">
        <f t="shared" si="14"/>
        <v>-0.22462121719412051</v>
      </c>
      <c r="G42" s="283">
        <f t="shared" si="16"/>
        <v>-4.0117677286097774E+20</v>
      </c>
      <c r="O42" s="100">
        <v>10</v>
      </c>
      <c r="P42" s="94">
        <f t="shared" si="20"/>
        <v>690262597</v>
      </c>
      <c r="Q42" s="111">
        <f t="shared" si="17"/>
        <v>5522100804</v>
      </c>
      <c r="R42" s="10">
        <f>SUM($Q$33:Q42)</f>
        <v>6310972296</v>
      </c>
      <c r="S42" s="278">
        <f t="shared" si="21"/>
        <v>76491588770.148895</v>
      </c>
      <c r="T42" s="10">
        <f t="shared" si="18"/>
        <v>-0.12410223326727012</v>
      </c>
      <c r="U42" s="283">
        <f t="shared" si="19"/>
        <v>-7.2611759399987996E+20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8</v>
      </c>
      <c r="D45" s="57">
        <f>SUM(C45:C45)</f>
        <v>8</v>
      </c>
      <c r="E45" s="57">
        <f t="shared" ref="E45:E54" si="23">D45/R7</f>
        <v>-26.918823514888587</v>
      </c>
      <c r="F45" s="8">
        <f t="shared" ref="F45:F54" si="24">U7/E45</f>
        <v>0.171606465665605</v>
      </c>
      <c r="G45" s="281">
        <f>E45*U7</f>
        <v>124.35000216784526</v>
      </c>
      <c r="O45" s="101">
        <v>1</v>
      </c>
      <c r="P45" s="109">
        <v>1</v>
      </c>
      <c r="Q45" s="110">
        <f>P45*8+28</f>
        <v>36</v>
      </c>
      <c r="R45" s="57">
        <f>SUM($Q$21)</f>
        <v>36</v>
      </c>
      <c r="S45" s="276">
        <f>R45/R7</f>
        <v>-121.13470581699865</v>
      </c>
      <c r="T45" s="8">
        <f>U7/S45</f>
        <v>3.8134770147912223E-2</v>
      </c>
      <c r="U45" s="284">
        <f>S45*U7</f>
        <v>559.57500975530365</v>
      </c>
    </row>
    <row r="46" spans="1:21" x14ac:dyDescent="0.2">
      <c r="A46" s="97">
        <v>2</v>
      </c>
      <c r="B46" s="93">
        <f t="shared" ref="B46:B54" si="25">B45*$O$2*2</f>
        <v>16</v>
      </c>
      <c r="C46" s="1">
        <f t="shared" si="22"/>
        <v>128</v>
      </c>
      <c r="D46" s="9">
        <f>SUM($C$45:C46)</f>
        <v>136</v>
      </c>
      <c r="E46" s="9">
        <f t="shared" si="23"/>
        <v>-1515.844605393723</v>
      </c>
      <c r="F46" s="9">
        <f t="shared" si="24"/>
        <v>5.5104114279910174E-2</v>
      </c>
      <c r="G46" s="282">
        <f t="shared" ref="G46:G54" si="26">E46*U8</f>
        <v>126617.39994045805</v>
      </c>
      <c r="O46" s="99">
        <v>2</v>
      </c>
      <c r="P46" s="93">
        <f>Q45*2</f>
        <v>72</v>
      </c>
      <c r="Q46" s="1">
        <f t="shared" ref="Q46:Q54" si="27">P46*8+28</f>
        <v>604</v>
      </c>
      <c r="R46" s="9">
        <f>SUM($Q$45:Q46)</f>
        <v>640</v>
      </c>
      <c r="S46" s="277">
        <f t="shared" ref="S46:S54" si="28">R46/R8</f>
        <v>-7133.3863783234019</v>
      </c>
      <c r="T46" s="9">
        <f t="shared" ref="T46:T54" si="29">U8/S46</f>
        <v>1.1709624284480913E-2</v>
      </c>
      <c r="U46" s="282">
        <f t="shared" ref="U46:U54" si="30">S46*U8</f>
        <v>595846.58795509674</v>
      </c>
    </row>
    <row r="47" spans="1:21" x14ac:dyDescent="0.2">
      <c r="A47" s="97">
        <v>3</v>
      </c>
      <c r="B47" s="93">
        <f t="shared" si="25"/>
        <v>256</v>
      </c>
      <c r="C47" s="1">
        <f t="shared" si="22"/>
        <v>2048</v>
      </c>
      <c r="D47" s="9">
        <f>SUM($C$45:C47)</f>
        <v>2184</v>
      </c>
      <c r="E47" s="9">
        <f t="shared" si="23"/>
        <v>-774290.76320367411</v>
      </c>
      <c r="F47" s="9">
        <f t="shared" si="24"/>
        <v>1.3999149934752354E-3</v>
      </c>
      <c r="G47" s="282">
        <f t="shared" si="26"/>
        <v>839285696.73796368</v>
      </c>
      <c r="O47" s="99">
        <v>3</v>
      </c>
      <c r="P47" s="93">
        <f t="shared" ref="P47:P54" si="31">Q46*2</f>
        <v>1208</v>
      </c>
      <c r="Q47" s="1">
        <f t="shared" si="27"/>
        <v>9692</v>
      </c>
      <c r="R47" s="9">
        <f>SUM($Q$45:Q47)</f>
        <v>10332</v>
      </c>
      <c r="S47" s="277">
        <f t="shared" si="28"/>
        <v>-3662990.918232766</v>
      </c>
      <c r="T47" s="9">
        <f t="shared" si="29"/>
        <v>2.9591699049070016E-4</v>
      </c>
      <c r="U47" s="282">
        <f t="shared" si="30"/>
        <v>3970466949.9526739</v>
      </c>
    </row>
    <row r="48" spans="1:21" x14ac:dyDescent="0.2">
      <c r="A48" s="97">
        <v>4</v>
      </c>
      <c r="B48" s="93">
        <f t="shared" si="25"/>
        <v>4096</v>
      </c>
      <c r="C48" s="1">
        <f t="shared" si="22"/>
        <v>32768</v>
      </c>
      <c r="D48" s="9">
        <f>SUM($C$45:C48)</f>
        <v>34952</v>
      </c>
      <c r="E48" s="9">
        <f t="shared" si="23"/>
        <v>902882.57577306672</v>
      </c>
      <c r="F48" s="9">
        <f t="shared" si="24"/>
        <v>-1.3569135588879446E-2</v>
      </c>
      <c r="G48" s="282">
        <f t="shared" si="26"/>
        <v>-11061517886.956377</v>
      </c>
      <c r="O48" s="99">
        <v>4</v>
      </c>
      <c r="P48" s="93">
        <f t="shared" si="31"/>
        <v>19384</v>
      </c>
      <c r="Q48" s="1">
        <f t="shared" si="27"/>
        <v>155100</v>
      </c>
      <c r="R48" s="9">
        <f>SUM($Q$45:Q48)</f>
        <v>165432</v>
      </c>
      <c r="S48" s="277">
        <f t="shared" si="28"/>
        <v>4273451.3125226013</v>
      </c>
      <c r="T48" s="9">
        <f t="shared" si="29"/>
        <v>-2.8668481738872435E-3</v>
      </c>
      <c r="U48" s="282">
        <f t="shared" si="30"/>
        <v>-52355488300.382446</v>
      </c>
    </row>
    <row r="49" spans="1:21" x14ac:dyDescent="0.2">
      <c r="A49" s="97">
        <v>5</v>
      </c>
      <c r="B49" s="93">
        <f t="shared" si="25"/>
        <v>65536</v>
      </c>
      <c r="C49" s="1">
        <f t="shared" si="22"/>
        <v>524288</v>
      </c>
      <c r="D49" s="9">
        <f>SUM($C$45:C49)</f>
        <v>559240</v>
      </c>
      <c r="E49" s="9">
        <f t="shared" si="23"/>
        <v>9350559.7960772179</v>
      </c>
      <c r="F49" s="9">
        <f t="shared" si="24"/>
        <v>-1.3706375028473628E-2</v>
      </c>
      <c r="G49" s="282">
        <f t="shared" si="26"/>
        <v>-1198389056113.9355</v>
      </c>
      <c r="O49" s="99">
        <v>5</v>
      </c>
      <c r="P49" s="93">
        <f t="shared" si="31"/>
        <v>310200</v>
      </c>
      <c r="Q49" s="1">
        <f t="shared" si="27"/>
        <v>2481628</v>
      </c>
      <c r="R49" s="9">
        <f>SUM($Q$45:Q49)</f>
        <v>2647060</v>
      </c>
      <c r="S49" s="277">
        <f t="shared" si="28"/>
        <v>44259160.313647375</v>
      </c>
      <c r="T49" s="9">
        <f t="shared" si="29"/>
        <v>-2.8957232442496932E-3</v>
      </c>
      <c r="U49" s="282">
        <f t="shared" si="30"/>
        <v>-5672354865311.7686</v>
      </c>
    </row>
    <row r="50" spans="1:21" x14ac:dyDescent="0.2">
      <c r="A50" s="97">
        <v>6</v>
      </c>
      <c r="B50" s="93">
        <f t="shared" si="25"/>
        <v>1048576</v>
      </c>
      <c r="C50" s="1">
        <f t="shared" si="22"/>
        <v>8388608</v>
      </c>
      <c r="D50" s="9">
        <f>SUM($C$45:C50)</f>
        <v>8947848</v>
      </c>
      <c r="E50" s="9">
        <f t="shared" si="23"/>
        <v>126282140.79694577</v>
      </c>
      <c r="F50" s="9">
        <f t="shared" si="24"/>
        <v>-1.0097964723066575E-2</v>
      </c>
      <c r="G50" s="282">
        <f t="shared" si="26"/>
        <v>-161034051825278.91</v>
      </c>
      <c r="O50" s="99">
        <v>6</v>
      </c>
      <c r="P50" s="93">
        <f t="shared" si="31"/>
        <v>4963256</v>
      </c>
      <c r="Q50" s="1">
        <f t="shared" si="27"/>
        <v>39706076</v>
      </c>
      <c r="R50" s="9">
        <f>SUM($Q$45:Q50)</f>
        <v>42353136</v>
      </c>
      <c r="S50" s="277">
        <f t="shared" si="28"/>
        <v>597735308.37182212</v>
      </c>
      <c r="T50" s="9">
        <f t="shared" si="29"/>
        <v>-2.13337339297288E-3</v>
      </c>
      <c r="U50" s="282">
        <f t="shared" si="30"/>
        <v>-762227643740381.5</v>
      </c>
    </row>
    <row r="51" spans="1:21" x14ac:dyDescent="0.2">
      <c r="A51" s="97">
        <v>7</v>
      </c>
      <c r="B51" s="93">
        <f t="shared" si="25"/>
        <v>16777216</v>
      </c>
      <c r="C51" s="1">
        <f t="shared" si="22"/>
        <v>134217728</v>
      </c>
      <c r="D51" s="9">
        <f>SUM($C$45:C51)</f>
        <v>143165576</v>
      </c>
      <c r="E51" s="9">
        <f t="shared" si="23"/>
        <v>1865740984.7791426</v>
      </c>
      <c r="F51" s="9">
        <f t="shared" si="24"/>
        <v>-6.5650187314447031E-3</v>
      </c>
      <c r="G51" s="282">
        <f t="shared" si="26"/>
        <v>-2.2852760761259568E+16</v>
      </c>
      <c r="O51" s="99">
        <v>7</v>
      </c>
      <c r="P51" s="93">
        <f t="shared" si="31"/>
        <v>79412152</v>
      </c>
      <c r="Q51" s="1">
        <f t="shared" si="27"/>
        <v>635297244</v>
      </c>
      <c r="R51" s="9">
        <f>SUM($Q$45:Q51)</f>
        <v>677650380</v>
      </c>
      <c r="S51" s="277">
        <f t="shared" si="28"/>
        <v>8831173824.3358173</v>
      </c>
      <c r="T51" s="9">
        <f t="shared" si="29"/>
        <v>-1.3869758150774892E-3</v>
      </c>
      <c r="U51" s="282">
        <f t="shared" si="30"/>
        <v>-1.0816973218419933E+17</v>
      </c>
    </row>
    <row r="52" spans="1:21" x14ac:dyDescent="0.2">
      <c r="A52" s="97">
        <v>8</v>
      </c>
      <c r="B52" s="93">
        <f t="shared" si="25"/>
        <v>268435456</v>
      </c>
      <c r="C52" s="1">
        <f t="shared" si="22"/>
        <v>2147483648</v>
      </c>
      <c r="D52" s="9">
        <f>SUM($C$45:C52)</f>
        <v>2290649224</v>
      </c>
      <c r="E52" s="9">
        <f t="shared" si="23"/>
        <v>28673419274.003838</v>
      </c>
      <c r="F52" s="9">
        <f t="shared" si="24"/>
        <v>-3.997486468597997E-3</v>
      </c>
      <c r="G52" s="282">
        <f t="shared" si="26"/>
        <v>-3.2865933539743416E+18</v>
      </c>
      <c r="O52" s="99">
        <v>8</v>
      </c>
      <c r="P52" s="93">
        <f t="shared" si="31"/>
        <v>1270594488</v>
      </c>
      <c r="Q52" s="1">
        <f t="shared" si="27"/>
        <v>10164755932</v>
      </c>
      <c r="R52" s="9">
        <f>SUM($Q$45:Q52)</f>
        <v>10842406312</v>
      </c>
      <c r="S52" s="277">
        <f t="shared" si="28"/>
        <v>135720851043.35542</v>
      </c>
      <c r="T52" s="9">
        <f t="shared" si="29"/>
        <v>-8.4453939593741561E-4</v>
      </c>
      <c r="U52" s="282">
        <f t="shared" si="30"/>
        <v>-1.5556541854052401E+19</v>
      </c>
    </row>
    <row r="53" spans="1:21" x14ac:dyDescent="0.2">
      <c r="A53" s="97">
        <v>9</v>
      </c>
      <c r="B53" s="93">
        <f t="shared" si="25"/>
        <v>4294967296</v>
      </c>
      <c r="C53" s="1">
        <f t="shared" si="22"/>
        <v>34359738368</v>
      </c>
      <c r="D53" s="9">
        <f>SUM($C$45:C53)</f>
        <v>36650387592</v>
      </c>
      <c r="E53" s="9">
        <f t="shared" si="23"/>
        <v>449217369688.93945</v>
      </c>
      <c r="F53" s="9">
        <f t="shared" si="24"/>
        <v>-2.340432938950802E-3</v>
      </c>
      <c r="G53" s="282">
        <f t="shared" si="26"/>
        <v>-4.7229057929346908E+20</v>
      </c>
      <c r="O53" s="99">
        <v>9</v>
      </c>
      <c r="P53" s="93">
        <f t="shared" si="31"/>
        <v>20329511864</v>
      </c>
      <c r="Q53" s="1">
        <f t="shared" si="27"/>
        <v>162636094940</v>
      </c>
      <c r="R53" s="9">
        <f>SUM($Q$45:Q53)</f>
        <v>173478501252</v>
      </c>
      <c r="S53" s="277">
        <f t="shared" si="28"/>
        <v>2126295549655.0654</v>
      </c>
      <c r="T53" s="9">
        <f t="shared" si="29"/>
        <v>-4.9445766320650438E-4</v>
      </c>
      <c r="U53" s="282">
        <f t="shared" si="30"/>
        <v>-2.235508741772596E+21</v>
      </c>
    </row>
    <row r="54" spans="1:21" ht="17" thickBot="1" x14ac:dyDescent="0.25">
      <c r="A54" s="145">
        <v>10</v>
      </c>
      <c r="B54" s="94">
        <f t="shared" si="25"/>
        <v>68719476736</v>
      </c>
      <c r="C54" s="111">
        <f t="shared" si="22"/>
        <v>549755813888</v>
      </c>
      <c r="D54" s="10">
        <f>SUM($C$45:C54)</f>
        <v>586406201480</v>
      </c>
      <c r="E54" s="10">
        <f t="shared" si="23"/>
        <v>7107485172182.293</v>
      </c>
      <c r="F54" s="10">
        <f t="shared" si="24"/>
        <v>-1.3356027853129436E-3</v>
      </c>
      <c r="G54" s="283">
        <f t="shared" si="26"/>
        <v>-6.7469771717290779E+22</v>
      </c>
      <c r="O54" s="100">
        <v>10</v>
      </c>
      <c r="P54" s="94">
        <f t="shared" si="31"/>
        <v>325272189880</v>
      </c>
      <c r="Q54" s="111">
        <f t="shared" si="27"/>
        <v>2602177519068</v>
      </c>
      <c r="R54" s="10">
        <f>SUM($Q$45:Q54)</f>
        <v>2775656020320</v>
      </c>
      <c r="S54" s="278">
        <f t="shared" si="28"/>
        <v>33642096481436.605</v>
      </c>
      <c r="T54" s="10">
        <f t="shared" si="29"/>
        <v>-2.8216960253280119E-4</v>
      </c>
      <c r="U54" s="283">
        <f t="shared" si="30"/>
        <v>-3.193569194596953E+23</v>
      </c>
    </row>
  </sheetData>
  <mergeCells count="2">
    <mergeCell ref="A18:F18"/>
    <mergeCell ref="O18:T18"/>
  </mergeCells>
  <conditionalFormatting sqref="F45:F54">
    <cfRule type="cellIs" dxfId="373" priority="63" operator="equal">
      <formula>MAX($F$45:$F$54)</formula>
    </cfRule>
  </conditionalFormatting>
  <conditionalFormatting sqref="F21:F30">
    <cfRule type="cellIs" dxfId="372" priority="61" operator="equal">
      <formula>MAX($F$21:$F$30)</formula>
    </cfRule>
  </conditionalFormatting>
  <conditionalFormatting sqref="E33:E42">
    <cfRule type="cellIs" dxfId="371" priority="59" stopIfTrue="1" operator="lessThan">
      <formula>0</formula>
    </cfRule>
    <cfRule type="cellIs" dxfId="370" priority="60" operator="equal">
      <formula>MIN($E$33:$E$42)</formula>
    </cfRule>
  </conditionalFormatting>
  <conditionalFormatting sqref="E21:E30">
    <cfRule type="cellIs" dxfId="369" priority="55" stopIfTrue="1" operator="lessThan">
      <formula>0</formula>
    </cfRule>
    <cfRule type="cellIs" dxfId="368" priority="56" operator="equal">
      <formula>MIN($E$21:$E$30)</formula>
    </cfRule>
  </conditionalFormatting>
  <conditionalFormatting sqref="E45:E54">
    <cfRule type="cellIs" dxfId="367" priority="51" stopIfTrue="1" operator="lessThan">
      <formula>0</formula>
    </cfRule>
    <cfRule type="cellIs" dxfId="366" priority="52" operator="equal">
      <formula>MIN($E$45:$E$54)</formula>
    </cfRule>
  </conditionalFormatting>
  <conditionalFormatting sqref="F33:F42">
    <cfRule type="cellIs" dxfId="365" priority="41" operator="lessThanOrEqual">
      <formula>0</formula>
    </cfRule>
    <cfRule type="cellIs" dxfId="364" priority="42" operator="equal">
      <formula>MAX($F$33:$F$42)</formula>
    </cfRule>
  </conditionalFormatting>
  <conditionalFormatting sqref="R7:R16">
    <cfRule type="cellIs" dxfId="363" priority="27" operator="lessThanOrEqual">
      <formula>0</formula>
    </cfRule>
    <cfRule type="cellIs" dxfId="362" priority="28" operator="greaterThan">
      <formula>0</formula>
    </cfRule>
  </conditionalFormatting>
  <conditionalFormatting sqref="T21:T30">
    <cfRule type="cellIs" dxfId="361" priority="19" operator="equal">
      <formula>MAX($T$21:$T$30)</formula>
    </cfRule>
  </conditionalFormatting>
  <conditionalFormatting sqref="S33:S42">
    <cfRule type="cellIs" dxfId="360" priority="17" stopIfTrue="1" operator="lessThan">
      <formula>0</formula>
    </cfRule>
    <cfRule type="cellIs" dxfId="359" priority="18" operator="equal">
      <formula>MIN($E$21:$E$30)</formula>
    </cfRule>
  </conditionalFormatting>
  <conditionalFormatting sqref="T33:T42">
    <cfRule type="cellIs" dxfId="358" priority="16" operator="equal">
      <formula>MAX($T$21:$T$30)</formula>
    </cfRule>
  </conditionalFormatting>
  <conditionalFormatting sqref="S45:S54">
    <cfRule type="cellIs" dxfId="357" priority="14" stopIfTrue="1" operator="lessThan">
      <formula>0</formula>
    </cfRule>
    <cfRule type="cellIs" dxfId="356" priority="15" operator="equal">
      <formula>MIN($E$21:$E$30)</formula>
    </cfRule>
  </conditionalFormatting>
  <conditionalFormatting sqref="T45:T54">
    <cfRule type="cellIs" dxfId="355" priority="13" operator="equal">
      <formula>MAX($T$21:$T$30)</formula>
    </cfRule>
  </conditionalFormatting>
  <conditionalFormatting sqref="S21:S30">
    <cfRule type="cellIs" dxfId="354" priority="11" stopIfTrue="1" operator="lessThan">
      <formula>0</formula>
    </cfRule>
    <cfRule type="cellIs" dxfId="353" priority="12" operator="equal">
      <formula>MIN($E$21:$E$30)</formula>
    </cfRule>
  </conditionalFormatting>
  <conditionalFormatting sqref="U7:U16">
    <cfRule type="cellIs" dxfId="352" priority="7" operator="lessThanOrEqual">
      <formula>0</formula>
    </cfRule>
    <cfRule type="cellIs" dxfId="351" priority="8" operator="greaterThan">
      <formula>0</formula>
    </cfRule>
  </conditionalFormatting>
  <conditionalFormatting sqref="S7:T16">
    <cfRule type="cellIs" dxfId="350" priority="1" operator="lessThanOrEqual">
      <formula>0</formula>
    </cfRule>
    <cfRule type="cellIs" dxfId="349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0.99999999999999967</v>
      </c>
    </row>
    <row r="2" spans="1:23" x14ac:dyDescent="0.2">
      <c r="A2" t="s">
        <v>40</v>
      </c>
      <c r="B2" s="149" t="s">
        <v>125</v>
      </c>
      <c r="C2" s="155">
        <f>Analysis!B47</f>
        <v>0.35619716370434029</v>
      </c>
      <c r="D2" s="149" t="s">
        <v>126</v>
      </c>
      <c r="E2" s="155">
        <f>Analysis!N47</f>
        <v>0.64380283629565938</v>
      </c>
      <c r="F2" s="149" t="s">
        <v>47</v>
      </c>
      <c r="G2" s="155">
        <f>Analysis!S47</f>
        <v>15.753358195040351</v>
      </c>
      <c r="H2" t="s">
        <v>155</v>
      </c>
      <c r="I2" s="169">
        <f>Analysis!T47</f>
        <v>-16.67553615581593</v>
      </c>
      <c r="J2" t="s">
        <v>48</v>
      </c>
      <c r="K2" s="169">
        <f>C2*G2+E2*I2</f>
        <v>-5.1244559659732136</v>
      </c>
      <c r="L2" t="s">
        <v>47</v>
      </c>
      <c r="M2" s="176">
        <v>3</v>
      </c>
      <c r="N2" t="s">
        <v>155</v>
      </c>
      <c r="O2" s="176">
        <v>9</v>
      </c>
    </row>
    <row r="4" spans="1:23" x14ac:dyDescent="0.2">
      <c r="A4" t="s">
        <v>123</v>
      </c>
      <c r="B4">
        <f>$C$2</f>
        <v>0.35619716370434029</v>
      </c>
      <c r="C4" t="s">
        <v>124</v>
      </c>
      <c r="D4">
        <f>$E$2</f>
        <v>0.64380283629565938</v>
      </c>
      <c r="E4" t="s">
        <v>47</v>
      </c>
      <c r="F4">
        <f>G2</f>
        <v>15.753358195040351</v>
      </c>
      <c r="G4" t="s">
        <v>155</v>
      </c>
      <c r="H4">
        <f>I2</f>
        <v>-16.67553615581593</v>
      </c>
      <c r="I4" t="s">
        <v>48</v>
      </c>
      <c r="J4">
        <f>K2</f>
        <v>-5.1244559659732136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263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0.35619716370434029</v>
      </c>
      <c r="C7" s="95">
        <v>1</v>
      </c>
      <c r="D7" s="22">
        <f>C7*D4</f>
        <v>0.64380283629565938</v>
      </c>
      <c r="E7" s="2"/>
      <c r="F7" s="2"/>
      <c r="G7" s="2"/>
      <c r="H7" s="2"/>
      <c r="I7" s="2"/>
      <c r="J7" s="2"/>
      <c r="K7" s="2"/>
      <c r="L7" s="2"/>
      <c r="M7" s="256"/>
      <c r="N7" s="96">
        <f>B7+D7</f>
        <v>0.99999999999999967</v>
      </c>
      <c r="R7" s="296">
        <f>B7-D7</f>
        <v>-0.28760567259131908</v>
      </c>
      <c r="S7" s="297">
        <f>SUM(C7)*B4*F4*POWER(O2,A7-1)</f>
        <v>5.6113015078918984</v>
      </c>
      <c r="T7" s="276">
        <f>SUM(C7)*D4*H4*POWER(O2,A7-1)</f>
        <v>-10.735757473865112</v>
      </c>
      <c r="U7" s="294">
        <f>S7+T7</f>
        <v>-5.1244559659732136</v>
      </c>
      <c r="V7" s="109">
        <f>(U7+W7*D7)/B7</f>
        <v>-12.57913758515129</v>
      </c>
      <c r="W7" s="57">
        <f>COUNT(D7:M7)</f>
        <v>1</v>
      </c>
    </row>
    <row r="8" spans="1:23" x14ac:dyDescent="0.2">
      <c r="A8" s="99">
        <v>2</v>
      </c>
      <c r="B8" s="97">
        <f>C8*B4</f>
        <v>0.46218600157919215</v>
      </c>
      <c r="C8" s="97">
        <f>1/(1-B4*D4)</f>
        <v>1.297556658712834</v>
      </c>
      <c r="D8" s="144">
        <f>C8*D4</f>
        <v>0.83537065713364145</v>
      </c>
      <c r="E8" s="1">
        <f>D8*D4</f>
        <v>0.53781399842080713</v>
      </c>
      <c r="F8" s="1"/>
      <c r="G8" s="1"/>
      <c r="H8" s="1"/>
      <c r="I8" s="1"/>
      <c r="J8" s="1"/>
      <c r="K8" s="1"/>
      <c r="L8" s="1"/>
      <c r="M8" s="257"/>
      <c r="N8" s="97">
        <f>B8+E8</f>
        <v>0.99999999999999933</v>
      </c>
      <c r="R8" s="298">
        <f>B8-E8</f>
        <v>-7.5627996841614975E-2</v>
      </c>
      <c r="S8" s="299">
        <f>SUM(C8:D8)*B4*F4*POWER(O2,A8-1)</f>
        <v>107.71648437269833</v>
      </c>
      <c r="T8" s="277">
        <f>SUM(C8:D8)*D4*H4*POWER(O2,A8-1)</f>
        <v>-206.08731335078869</v>
      </c>
      <c r="U8" s="295">
        <f>S8+T8+U7</f>
        <v>-103.49528494406357</v>
      </c>
      <c r="V8" s="93">
        <f>(U8+W8*E8)/B8</f>
        <v>-221.59835347084413</v>
      </c>
      <c r="W8" s="9">
        <f>COUNT(D8:M8)</f>
        <v>2</v>
      </c>
    </row>
    <row r="9" spans="1:23" x14ac:dyDescent="0.2">
      <c r="A9" s="99">
        <v>3</v>
      </c>
      <c r="B9" s="97">
        <f>C9*B4</f>
        <v>0.50708312367462993</v>
      </c>
      <c r="C9" s="97">
        <f>1/(1-D4*B4/(1-D4*B4))</f>
        <v>1.4236023622454552</v>
      </c>
      <c r="D9" s="144">
        <f>C9*D4*C8</f>
        <v>1.1892356408459901</v>
      </c>
      <c r="E9" s="1">
        <f>D9*(D4)</f>
        <v>0.76563327860053454</v>
      </c>
      <c r="F9" s="1">
        <f>E9*D4</f>
        <v>0.4929168763253689</v>
      </c>
      <c r="G9" s="1"/>
      <c r="H9" s="1"/>
      <c r="I9" s="1"/>
      <c r="J9" s="1"/>
      <c r="K9" s="1"/>
      <c r="L9" s="1"/>
      <c r="M9" s="257"/>
      <c r="N9" s="97">
        <f>B9+F9</f>
        <v>0.99999999999999889</v>
      </c>
      <c r="R9" s="298">
        <f>B9-F9</f>
        <v>1.416624734926103E-2</v>
      </c>
      <c r="S9" s="299">
        <f>SUM(C9:E9)*B4*F4*POWER(O2,A9-1)</f>
        <v>1535.5673007835421</v>
      </c>
      <c r="T9" s="277">
        <f>SUM(C9:E9)*D4*H4*POWER(O2,A9-1)</f>
        <v>-2937.9063133257287</v>
      </c>
      <c r="U9" s="295">
        <f t="shared" ref="U9:U16" si="0">S9+T9+U8</f>
        <v>-1505.8342974862501</v>
      </c>
      <c r="V9" s="93">
        <f>(U9+W9*F9)/B9</f>
        <v>-2966.6843099723119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0.52884458998302286</v>
      </c>
      <c r="C10" s="97">
        <f>1/(1-D4*B4/(1-D4*B4/(1-D4*B4)))</f>
        <v>1.48469624093354</v>
      </c>
      <c r="D10" s="144">
        <f>C10*D4*C9</f>
        <v>1.360752668249374</v>
      </c>
      <c r="E10" s="1">
        <f>D10*D4*C8</f>
        <v>1.1367328506718355</v>
      </c>
      <c r="F10" s="1">
        <f>E10*D4</f>
        <v>0.73183183337297797</v>
      </c>
      <c r="G10" s="1">
        <f>F10*D4</f>
        <v>0.47115541001697558</v>
      </c>
      <c r="H10" s="1"/>
      <c r="I10" s="1"/>
      <c r="J10" s="1"/>
      <c r="K10" s="1"/>
      <c r="L10" s="1"/>
      <c r="M10" s="257"/>
      <c r="N10" s="97">
        <f>B10+G10</f>
        <v>0.99999999999999845</v>
      </c>
      <c r="R10" s="298">
        <f>B10-G10</f>
        <v>5.7689179966047277E-2</v>
      </c>
      <c r="S10" s="299">
        <f>SUM(C10:F10)*B4*F4*POWER(O2,A10-1)</f>
        <v>19283.326904664307</v>
      </c>
      <c r="T10" s="277">
        <f>SUM(C10:F10)*D4*H4*POWER(O2,A10-1)</f>
        <v>-36893.601359073909</v>
      </c>
      <c r="U10" s="295">
        <f t="shared" si="0"/>
        <v>-19116.108751895852</v>
      </c>
      <c r="V10" s="93">
        <f>(U10+W10*G10)/B10</f>
        <v>-36143.367053956994</v>
      </c>
      <c r="W10" s="9">
        <f t="shared" si="1"/>
        <v>4</v>
      </c>
    </row>
    <row r="11" spans="1:23" x14ac:dyDescent="0.2">
      <c r="A11" s="99">
        <v>5</v>
      </c>
      <c r="B11" s="97">
        <f>C11*B4</f>
        <v>0.54007862145588381</v>
      </c>
      <c r="C11" s="97">
        <f>1/(1-D4*B4/(1-D4*B4/(1-D4*B4/(1-D4*B4))))</f>
        <v>1.5162350419616857</v>
      </c>
      <c r="D11" s="144">
        <f>C11*D4*C10</f>
        <v>1.4492957680881031</v>
      </c>
      <c r="E11" s="1">
        <f>D11*D4*C9</f>
        <v>1.328307453832027</v>
      </c>
      <c r="F11" s="1">
        <f>E11*D4*C8</f>
        <v>1.1096290705831744</v>
      </c>
      <c r="G11" s="1">
        <f>F11*D4</f>
        <v>0.71438234287756408</v>
      </c>
      <c r="H11" s="1">
        <f>G11*D4</f>
        <v>0.45992137854411397</v>
      </c>
      <c r="I11" s="1"/>
      <c r="J11" s="1"/>
      <c r="K11" s="1"/>
      <c r="L11" s="1"/>
      <c r="M11" s="257"/>
      <c r="N11" s="97">
        <f>B11+H11</f>
        <v>0.99999999999999778</v>
      </c>
      <c r="R11" s="298">
        <f>B11-H11</f>
        <v>8.0157242911769844E-2</v>
      </c>
      <c r="S11" s="299">
        <f>SUM(C11:G11)*B4*F4*POWER(O2,A11-1)</f>
        <v>225233.21932322477</v>
      </c>
      <c r="T11" s="277">
        <f>SUM(C11:G11)*D4*H4*POWER(O2,A11-1)</f>
        <v>-430924.84235808667</v>
      </c>
      <c r="U11" s="295">
        <f t="shared" si="0"/>
        <v>-224807.73178675777</v>
      </c>
      <c r="V11" s="93">
        <f>(U11+W11*H11)/B11</f>
        <v>-416245.75246814918</v>
      </c>
      <c r="W11" s="9">
        <f t="shared" si="1"/>
        <v>5</v>
      </c>
    </row>
    <row r="12" spans="1:23" x14ac:dyDescent="0.2">
      <c r="A12" s="99">
        <v>6</v>
      </c>
      <c r="B12" s="97">
        <f>C12*B4</f>
        <v>0.54606688481114074</v>
      </c>
      <c r="C12" s="97">
        <f>1/(1-D4*B4/(1-D4*B4/(1-D4*B4/(1-D4*B4/(1-D4*B4)))))</f>
        <v>1.5330466956339968</v>
      </c>
      <c r="D12" s="144">
        <f>C12*D4*C11</f>
        <v>1.4964933748783291</v>
      </c>
      <c r="E12" s="1">
        <f>D12*D4*C10</f>
        <v>1.4304256630139613</v>
      </c>
      <c r="F12" s="1">
        <f>E12*D4*C9</f>
        <v>1.3110126394977231</v>
      </c>
      <c r="G12" s="1">
        <f>F12*D4*C8</f>
        <v>1.0951814901677226</v>
      </c>
      <c r="H12" s="1">
        <f>G12*D4</f>
        <v>0.70508094962848655</v>
      </c>
      <c r="I12" s="1">
        <f>H12*D4</f>
        <v>0.4539331151888566</v>
      </c>
      <c r="J12" s="1"/>
      <c r="K12" s="1"/>
      <c r="L12" s="1"/>
      <c r="M12" s="257"/>
      <c r="N12" s="97">
        <f>B12+I12</f>
        <v>0.99999999999999734</v>
      </c>
      <c r="R12" s="298">
        <f>B12-I12</f>
        <v>9.2133769622284145E-2</v>
      </c>
      <c r="S12" s="299">
        <f>SUM(C12:H12)*B4*F4*POWER(O2,A12-1)</f>
        <v>2508668.1256203461</v>
      </c>
      <c r="T12" s="277">
        <f>SUM(C12:H12)*D4*H4*POWER(O2,A12-1)</f>
        <v>-4799680.1706693573</v>
      </c>
      <c r="U12" s="295">
        <f t="shared" si="0"/>
        <v>-2515819.7768357689</v>
      </c>
      <c r="V12" s="93">
        <f>(U12+W12*I12)/B12</f>
        <v>-4607159.1653230945</v>
      </c>
      <c r="W12" s="9">
        <f t="shared" si="1"/>
        <v>6</v>
      </c>
    </row>
    <row r="13" spans="1:23" x14ac:dyDescent="0.2">
      <c r="A13" s="99">
        <v>7</v>
      </c>
      <c r="B13" s="97">
        <f>C13*B4</f>
        <v>0.54931348960057735</v>
      </c>
      <c r="C13" s="97">
        <f>1/(1-D4*B4/(1-D4*B4/(1-D4*B4/(1-D4*B4/(1-D4*B4/(1-D4*B4))))))</f>
        <v>1.5421613240484204</v>
      </c>
      <c r="D13" s="144">
        <f>C13*D4*C12</f>
        <v>1.5220820918676345</v>
      </c>
      <c r="E13" s="1">
        <f>D13*D4*C11</f>
        <v>1.4857902065134923</v>
      </c>
      <c r="F13" s="1">
        <f>E13*D4*C10</f>
        <v>1.4201950218620307</v>
      </c>
      <c r="G13" s="1">
        <f>F13*D4*C9</f>
        <v>1.3016360600590642</v>
      </c>
      <c r="H13" s="1">
        <f>G13*D4*C8</f>
        <v>1.0873485708403845</v>
      </c>
      <c r="I13" s="1">
        <f>H13*D4</f>
        <v>0.70003809394907124</v>
      </c>
      <c r="J13" s="1">
        <f>I13*D4</f>
        <v>0.45068651039941932</v>
      </c>
      <c r="K13" s="1"/>
      <c r="L13" s="1"/>
      <c r="M13" s="257"/>
      <c r="N13" s="97">
        <f>B13+J13</f>
        <v>0.99999999999999667</v>
      </c>
      <c r="R13" s="298">
        <f>B13-J13</f>
        <v>9.8626979201158038E-2</v>
      </c>
      <c r="S13" s="299">
        <f>SUM(C13:I13)*B4*F4*POWER(O2,A13-1)</f>
        <v>27015373.229095448</v>
      </c>
      <c r="T13" s="277">
        <f>SUM(C13:I13)*D4*H4*POWER(O2,A13-1)</f>
        <v>-51686849.235531114</v>
      </c>
      <c r="U13" s="295">
        <f t="shared" si="0"/>
        <v>-27187295.783271436</v>
      </c>
      <c r="V13" s="93">
        <f>(U13+W13*J13)/B13</f>
        <v>-49493218.614082411</v>
      </c>
      <c r="W13" s="9">
        <f t="shared" si="1"/>
        <v>7</v>
      </c>
    </row>
    <row r="14" spans="1:23" x14ac:dyDescent="0.2">
      <c r="A14" s="99">
        <v>8</v>
      </c>
      <c r="B14" s="97">
        <f>C14*B4</f>
        <v>0.55108986414578476</v>
      </c>
      <c r="C14" s="97">
        <f>1/(1-D4*B4/(1-D4*B4/(1-D4*B4/(1-D4*B4/(1-D4*B4/(1-D4*B4/(1-D4*B4)))))))</f>
        <v>1.547148378203298</v>
      </c>
      <c r="D14" s="144">
        <f>C14*D4*C13</f>
        <v>1.5360829168686361</v>
      </c>
      <c r="E14" s="1">
        <f>D14*D4*C12</f>
        <v>1.5160828266992266</v>
      </c>
      <c r="F14" s="1">
        <f>E14*D4*C11</f>
        <v>1.4799339853010343</v>
      </c>
      <c r="G14" s="1">
        <f>F14*D4*C10</f>
        <v>1.4145973431477714</v>
      </c>
      <c r="H14" s="1">
        <f>G14*D4*C9</f>
        <v>1.2965056798261072</v>
      </c>
      <c r="I14" s="1">
        <f>H14*D4*C8</f>
        <v>1.0830628017338337</v>
      </c>
      <c r="J14" s="1">
        <f>I14*D4</f>
        <v>0.69727890364256551</v>
      </c>
      <c r="K14" s="1">
        <f>J14*D4</f>
        <v>0.44891013585421147</v>
      </c>
      <c r="L14" s="1"/>
      <c r="M14" s="257"/>
      <c r="N14" s="97">
        <f>B14+K14</f>
        <v>0.99999999999999623</v>
      </c>
      <c r="R14" s="298">
        <f>B14-K14</f>
        <v>0.10217972829157329</v>
      </c>
      <c r="S14" s="299">
        <f>SUM(C14:J14)*B4*F4*POWER(O2,A14-1)</f>
        <v>283703454.6702866</v>
      </c>
      <c r="T14" s="277">
        <f>SUM(C14:J14)*D4*H4*POWER(O2,A14-1)</f>
        <v>-542792341.41209829</v>
      </c>
      <c r="U14" s="295">
        <f t="shared" si="0"/>
        <v>-286276182.52508312</v>
      </c>
      <c r="V14" s="93">
        <f>(U14+W14*K14)/B14</f>
        <v>-519472771.24674314</v>
      </c>
      <c r="W14" s="9">
        <f t="shared" si="1"/>
        <v>8</v>
      </c>
    </row>
    <row r="15" spans="1:23" x14ac:dyDescent="0.2">
      <c r="A15" s="99">
        <v>9</v>
      </c>
      <c r="B15" s="97">
        <f>C15*B4</f>
        <v>0.55206667601094728</v>
      </c>
      <c r="C15" s="97">
        <f>1/(1-D4*B4/(1-D4*B4/(1-D4*B4/(1-D4*B4/(1-D4*B4/(1-D4*B4/(1-D4*B4/(1-D4*B4))))))))</f>
        <v>1.5498907129681345</v>
      </c>
      <c r="D15" s="144">
        <f>C15*D4*C14</f>
        <v>1.543781840510579</v>
      </c>
      <c r="E15" s="1">
        <f>D15*D4*C13</f>
        <v>1.532740457210833</v>
      </c>
      <c r="F15" s="1">
        <f>E15*D4*C12</f>
        <v>1.5127838864984851</v>
      </c>
      <c r="G15" s="1">
        <f>F15*D4*C11</f>
        <v>1.4767137036432156</v>
      </c>
      <c r="H15" s="1">
        <f>G15*D4*C10</f>
        <v>1.4115192316086198</v>
      </c>
      <c r="I15" s="1">
        <f>H15*D4*C9</f>
        <v>1.293684531382008</v>
      </c>
      <c r="J15" s="1">
        <f>I15*D4*C8</f>
        <v>1.0807060971042148</v>
      </c>
      <c r="K15" s="1">
        <f>J15*D4</f>
        <v>0.69576165051770578</v>
      </c>
      <c r="L15" s="1">
        <f>K15*D4</f>
        <v>0.44793332398904828</v>
      </c>
      <c r="M15" s="257"/>
      <c r="N15" s="97">
        <f>B15+L15</f>
        <v>0.99999999999999556</v>
      </c>
      <c r="R15" s="298">
        <f>B15-L15</f>
        <v>0.10413335202189899</v>
      </c>
      <c r="S15" s="299">
        <f>SUM(C15:K15)*B4*F4*POWER(O2,A15-1)</f>
        <v>2922148342.070528</v>
      </c>
      <c r="T15" s="277">
        <f>SUM(C15:K15)*D4*H4*POWER(O2,A15-1)</f>
        <v>-5590766395.1053877</v>
      </c>
      <c r="U15" s="295">
        <f t="shared" si="0"/>
        <v>-2954894235.5599427</v>
      </c>
      <c r="V15" s="93">
        <f>(U15+W15*L15)/B15</f>
        <v>-5352422741.5420895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0.55260529285160431</v>
      </c>
      <c r="C16" s="145">
        <f>1/(1-D4*B4/(1-D4*B4/(1-D4*B4/(1-D4*B4/(1-D4*B4/(1-D4*B4/(1-D4*B4/(1-D4*B4/(1-D4*B4)))))))))</f>
        <v>1.5514028441570962</v>
      </c>
      <c r="D16" s="153">
        <f>C16*D4*C15</f>
        <v>1.5480270489036949</v>
      </c>
      <c r="E16" s="111">
        <f>D16*D4*C14</f>
        <v>1.5419255220518511</v>
      </c>
      <c r="F16" s="111">
        <f>E16*D4*C13</f>
        <v>1.5308974154490393</v>
      </c>
      <c r="G16" s="111">
        <f>F16*D4*C12</f>
        <v>1.5109648414890913</v>
      </c>
      <c r="H16" s="111">
        <f>G16*D4*C11</f>
        <v>1.4749380311781068</v>
      </c>
      <c r="I16" s="111">
        <f>H16*D4*C10</f>
        <v>1.409821952151298</v>
      </c>
      <c r="J16" s="111">
        <f>I16*D4*C9</f>
        <v>1.2921289421061415</v>
      </c>
      <c r="K16" s="111">
        <f>J16*D4*C8</f>
        <v>1.0794066034686043</v>
      </c>
      <c r="L16" s="111">
        <f>K16*D4</f>
        <v>0.69492503282935159</v>
      </c>
      <c r="M16" s="259">
        <f>L16*D4</f>
        <v>0.44739470714839075</v>
      </c>
      <c r="N16" s="145">
        <f>B16+M16</f>
        <v>0.99999999999999512</v>
      </c>
      <c r="R16" s="300">
        <f>B16-M16</f>
        <v>0.10521058570321357</v>
      </c>
      <c r="S16" s="301">
        <f>SUM(C16:L16)*B4*F4*POWER(O2,A16-1)</f>
        <v>29640357586.830791</v>
      </c>
      <c r="T16" s="278">
        <f>SUM(C16:L16)*D4*H4*POWER(O2,A16-1)</f>
        <v>-56709070087.093147</v>
      </c>
      <c r="U16" s="295">
        <f t="shared" si="0"/>
        <v>-30023606735.8223</v>
      </c>
      <c r="V16" s="94">
        <f>(U16+W16*M16)/B16</f>
        <v>-54331015500.082886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9</v>
      </c>
      <c r="D21" s="57">
        <f>SUM($C$21:C21)</f>
        <v>9</v>
      </c>
      <c r="E21" s="57">
        <f t="shared" ref="E21:E30" si="3">D21/R7</f>
        <v>-31.292845926543283</v>
      </c>
      <c r="F21" s="8">
        <f t="shared" ref="F21:F30" si="4">U7/E21</f>
        <v>0.16375806719536931</v>
      </c>
      <c r="G21" s="281">
        <f>E21*U7</f>
        <v>160.35881100055531</v>
      </c>
      <c r="O21" s="101">
        <v>1</v>
      </c>
      <c r="P21" s="109">
        <v>1</v>
      </c>
      <c r="Q21" s="110">
        <f>P21*9+36</f>
        <v>45</v>
      </c>
      <c r="R21" s="57">
        <f>SUM($Q$21)</f>
        <v>45</v>
      </c>
      <c r="S21" s="276">
        <f>R21/R7</f>
        <v>-156.46422963271641</v>
      </c>
      <c r="T21" s="8">
        <f>U7/S21</f>
        <v>3.2751613439073859E-2</v>
      </c>
      <c r="U21" s="281">
        <f>S21*U7</f>
        <v>801.79405500277653</v>
      </c>
    </row>
    <row r="22" spans="1:21" x14ac:dyDescent="0.2">
      <c r="A22" s="97">
        <v>2</v>
      </c>
      <c r="B22" s="93">
        <f>C21</f>
        <v>9</v>
      </c>
      <c r="C22" s="1">
        <f t="shared" si="2"/>
        <v>81</v>
      </c>
      <c r="D22" s="9">
        <f>SUM($C$21:C22)</f>
        <v>90</v>
      </c>
      <c r="E22" s="9">
        <f t="shared" si="3"/>
        <v>-1190.0354863091745</v>
      </c>
      <c r="F22" s="9">
        <f t="shared" si="4"/>
        <v>8.6968234254129806E-2</v>
      </c>
      <c r="G22" s="282">
        <f t="shared" ref="G22:G30" si="5">E22*U8</f>
        <v>123163.06174911528</v>
      </c>
      <c r="O22" s="99">
        <v>2</v>
      </c>
      <c r="P22" s="93">
        <f>Q21</f>
        <v>45</v>
      </c>
      <c r="Q22" s="1">
        <f t="shared" ref="Q22:Q30" si="6">P22*9+36</f>
        <v>441</v>
      </c>
      <c r="R22" s="9">
        <f>SUM($Q$21:Q22)</f>
        <v>486</v>
      </c>
      <c r="S22" s="277">
        <f t="shared" ref="S22:S30" si="7">R22/R8</f>
        <v>-6426.1916260695434</v>
      </c>
      <c r="T22" s="9">
        <f>U8/S22</f>
        <v>1.6105228565579589E-2</v>
      </c>
      <c r="U22" s="282">
        <f t="shared" ref="U22:U30" si="8">S22*U8</f>
        <v>665080.53344522265</v>
      </c>
    </row>
    <row r="23" spans="1:21" x14ac:dyDescent="0.2">
      <c r="A23" s="97">
        <v>3</v>
      </c>
      <c r="B23" s="93">
        <f t="shared" ref="B23:B30" si="9">C22</f>
        <v>81</v>
      </c>
      <c r="C23" s="1">
        <f t="shared" si="2"/>
        <v>729</v>
      </c>
      <c r="D23" s="9">
        <f>SUM($C$21:C23)</f>
        <v>819</v>
      </c>
      <c r="E23" s="9">
        <f t="shared" si="3"/>
        <v>57813.475919769429</v>
      </c>
      <c r="F23" s="9">
        <f t="shared" si="4"/>
        <v>-2.6046423840281972E-2</v>
      </c>
      <c r="G23" s="282">
        <f t="shared" si="5"/>
        <v>-87057514.896884233</v>
      </c>
      <c r="O23" s="99">
        <v>3</v>
      </c>
      <c r="P23" s="93">
        <f t="shared" ref="P23:P30" si="10">Q22</f>
        <v>441</v>
      </c>
      <c r="Q23" s="1">
        <f t="shared" si="6"/>
        <v>4005</v>
      </c>
      <c r="R23" s="9">
        <f>SUM($Q$21:Q23)</f>
        <v>4491</v>
      </c>
      <c r="S23" s="277">
        <f t="shared" si="7"/>
        <v>317021.14817543892</v>
      </c>
      <c r="T23" s="9">
        <f t="shared" ref="T23:T30" si="11">U9/S23</f>
        <v>-4.7499490370053301E-3</v>
      </c>
      <c r="U23" s="282">
        <f t="shared" si="8"/>
        <v>-477381317.95104647</v>
      </c>
    </row>
    <row r="24" spans="1:21" x14ac:dyDescent="0.2">
      <c r="A24" s="97">
        <v>4</v>
      </c>
      <c r="B24" s="93">
        <f t="shared" si="9"/>
        <v>729</v>
      </c>
      <c r="C24" s="1">
        <f t="shared" si="2"/>
        <v>6561</v>
      </c>
      <c r="D24" s="9">
        <f>SUM($C$21:C24)</f>
        <v>7380</v>
      </c>
      <c r="E24" s="9">
        <f t="shared" si="3"/>
        <v>127926.93542087906</v>
      </c>
      <c r="F24" s="9">
        <f t="shared" si="4"/>
        <v>-0.14942989675320476</v>
      </c>
      <c r="G24" s="282">
        <f t="shared" si="5"/>
        <v>-2445465209.8022819</v>
      </c>
      <c r="O24" s="99">
        <v>4</v>
      </c>
      <c r="P24" s="93">
        <f t="shared" si="10"/>
        <v>4005</v>
      </c>
      <c r="Q24" s="1">
        <f t="shared" si="6"/>
        <v>36081</v>
      </c>
      <c r="R24" s="9">
        <f>SUM($Q$21:Q24)</f>
        <v>40572</v>
      </c>
      <c r="S24" s="277">
        <f t="shared" si="7"/>
        <v>703286.12789917411</v>
      </c>
      <c r="T24" s="9">
        <f t="shared" si="11"/>
        <v>-2.7181125851292794E-2</v>
      </c>
      <c r="U24" s="282">
        <f t="shared" si="8"/>
        <v>-13444094104.620348</v>
      </c>
    </row>
    <row r="25" spans="1:21" x14ac:dyDescent="0.2">
      <c r="A25" s="97">
        <v>5</v>
      </c>
      <c r="B25" s="93">
        <f t="shared" si="9"/>
        <v>6561</v>
      </c>
      <c r="C25" s="1">
        <f t="shared" si="2"/>
        <v>59049</v>
      </c>
      <c r="D25" s="9">
        <f>SUM($C$21:C25)</f>
        <v>66429</v>
      </c>
      <c r="E25" s="9">
        <f t="shared" si="3"/>
        <v>828733.59395755781</v>
      </c>
      <c r="F25" s="9">
        <f t="shared" si="4"/>
        <v>-0.27126658485413219</v>
      </c>
      <c r="G25" s="282">
        <f t="shared" si="5"/>
        <v>-186305719513.08649</v>
      </c>
      <c r="O25" s="99">
        <v>5</v>
      </c>
      <c r="P25" s="93">
        <f t="shared" si="10"/>
        <v>36081</v>
      </c>
      <c r="Q25" s="1">
        <f t="shared" si="6"/>
        <v>324765</v>
      </c>
      <c r="R25" s="9">
        <f>SUM($Q$21:Q25)</f>
        <v>365337</v>
      </c>
      <c r="S25" s="277">
        <f t="shared" si="7"/>
        <v>4557754.0684892489</v>
      </c>
      <c r="T25" s="9">
        <f t="shared" si="11"/>
        <v>-4.9324234789455065E-2</v>
      </c>
      <c r="U25" s="282">
        <f t="shared" si="8"/>
        <v>-1024618354178.9351</v>
      </c>
    </row>
    <row r="26" spans="1:21" x14ac:dyDescent="0.2">
      <c r="A26" s="97">
        <v>6</v>
      </c>
      <c r="B26" s="93">
        <f t="shared" si="9"/>
        <v>59049</v>
      </c>
      <c r="C26" s="1">
        <f t="shared" si="2"/>
        <v>531441</v>
      </c>
      <c r="D26" s="9">
        <f>SUM($C$21:C26)</f>
        <v>597870</v>
      </c>
      <c r="E26" s="9">
        <f t="shared" si="3"/>
        <v>6489151.6156459833</v>
      </c>
      <c r="F26" s="9">
        <f t="shared" si="4"/>
        <v>-0.38769625458740703</v>
      </c>
      <c r="G26" s="282">
        <f t="shared" si="5"/>
        <v>-16325535969527.947</v>
      </c>
      <c r="O26" s="99">
        <v>6</v>
      </c>
      <c r="P26" s="93">
        <f t="shared" si="10"/>
        <v>324765</v>
      </c>
      <c r="Q26" s="1">
        <f t="shared" si="6"/>
        <v>2922921</v>
      </c>
      <c r="R26" s="9">
        <f>SUM($Q$21:Q26)</f>
        <v>3288258</v>
      </c>
      <c r="S26" s="277">
        <f t="shared" si="7"/>
        <v>35690040.833895043</v>
      </c>
      <c r="T26" s="9">
        <f t="shared" si="11"/>
        <v>-7.0490806904498687E-2</v>
      </c>
      <c r="U26" s="282">
        <f t="shared" si="8"/>
        <v>-89789710565989.312</v>
      </c>
    </row>
    <row r="27" spans="1:21" x14ac:dyDescent="0.2">
      <c r="A27" s="97">
        <v>7</v>
      </c>
      <c r="B27" s="93">
        <f t="shared" si="9"/>
        <v>531441</v>
      </c>
      <c r="C27" s="1">
        <f t="shared" si="2"/>
        <v>4782969</v>
      </c>
      <c r="D27" s="9">
        <f>SUM($C$21:C27)</f>
        <v>5380839</v>
      </c>
      <c r="E27" s="9">
        <f t="shared" si="3"/>
        <v>54557475.485742345</v>
      </c>
      <c r="F27" s="9">
        <f t="shared" si="4"/>
        <v>-0.49832393345209613</v>
      </c>
      <c r="G27" s="282">
        <f t="shared" si="5"/>
        <v>-1483270223219457.5</v>
      </c>
      <c r="O27" s="99">
        <v>7</v>
      </c>
      <c r="P27" s="93">
        <f t="shared" si="10"/>
        <v>2922921</v>
      </c>
      <c r="Q27" s="1">
        <f t="shared" si="6"/>
        <v>26306325</v>
      </c>
      <c r="R27" s="9">
        <f>SUM($Q$21:Q27)</f>
        <v>29594583</v>
      </c>
      <c r="S27" s="277">
        <f t="shared" si="7"/>
        <v>300065795.78635734</v>
      </c>
      <c r="T27" s="9">
        <f t="shared" si="11"/>
        <v>-9.0604447974564919E-2</v>
      </c>
      <c r="U27" s="282">
        <f t="shared" si="8"/>
        <v>-8157977544486421</v>
      </c>
    </row>
    <row r="28" spans="1:21" x14ac:dyDescent="0.2">
      <c r="A28" s="97">
        <v>8</v>
      </c>
      <c r="B28" s="93">
        <f t="shared" si="9"/>
        <v>4782969</v>
      </c>
      <c r="C28" s="1">
        <f t="shared" si="2"/>
        <v>43046721</v>
      </c>
      <c r="D28" s="9">
        <f>SUM($C$21:C28)</f>
        <v>48427560</v>
      </c>
      <c r="E28" s="9">
        <f t="shared" si="3"/>
        <v>473944889.16441751</v>
      </c>
      <c r="F28" s="9">
        <f t="shared" si="4"/>
        <v>-0.60402841990721479</v>
      </c>
      <c r="G28" s="282">
        <f t="shared" si="5"/>
        <v>-1.3567913359726307E+17</v>
      </c>
      <c r="O28" s="99">
        <v>8</v>
      </c>
      <c r="P28" s="93">
        <f t="shared" si="10"/>
        <v>26306325</v>
      </c>
      <c r="Q28" s="1">
        <f t="shared" si="6"/>
        <v>236756961</v>
      </c>
      <c r="R28" s="9">
        <f>SUM($Q$21:Q28)</f>
        <v>266351544</v>
      </c>
      <c r="S28" s="277">
        <f t="shared" si="7"/>
        <v>2606696538.0839233</v>
      </c>
      <c r="T28" s="9">
        <f t="shared" si="11"/>
        <v>-0.10982336391773211</v>
      </c>
      <c r="U28" s="282">
        <f t="shared" si="8"/>
        <v>-7.4623513392401549E+17</v>
      </c>
    </row>
    <row r="29" spans="1:21" x14ac:dyDescent="0.2">
      <c r="A29" s="97">
        <v>9</v>
      </c>
      <c r="B29" s="93">
        <f t="shared" si="9"/>
        <v>43046721</v>
      </c>
      <c r="C29" s="1">
        <f t="shared" si="2"/>
        <v>387420489</v>
      </c>
      <c r="D29" s="9">
        <f>SUM($C$21:C29)</f>
        <v>435848049</v>
      </c>
      <c r="E29" s="9">
        <f t="shared" si="3"/>
        <v>4185479873.0414653</v>
      </c>
      <c r="F29" s="9">
        <f t="shared" si="4"/>
        <v>-0.7059869656983222</v>
      </c>
      <c r="G29" s="282">
        <f t="shared" si="5"/>
        <v>-1.2367650349902387E+19</v>
      </c>
      <c r="O29" s="99">
        <v>9</v>
      </c>
      <c r="P29" s="93">
        <f t="shared" si="10"/>
        <v>236756961</v>
      </c>
      <c r="Q29" s="1">
        <f t="shared" si="6"/>
        <v>2130812685</v>
      </c>
      <c r="R29" s="9">
        <f>SUM($Q$21:Q29)</f>
        <v>2397164229</v>
      </c>
      <c r="S29" s="277">
        <f t="shared" si="7"/>
        <v>23020138912.803673</v>
      </c>
      <c r="T29" s="9">
        <f t="shared" si="11"/>
        <v>-0.12836126865926284</v>
      </c>
      <c r="U29" s="282">
        <f t="shared" si="8"/>
        <v>-6.8022075775232696E+19</v>
      </c>
    </row>
    <row r="30" spans="1:21" ht="17" thickBot="1" x14ac:dyDescent="0.25">
      <c r="A30" s="145">
        <v>10</v>
      </c>
      <c r="B30" s="94">
        <f t="shared" si="9"/>
        <v>387420489</v>
      </c>
      <c r="C30" s="111">
        <f t="shared" si="2"/>
        <v>3486784401</v>
      </c>
      <c r="D30" s="10">
        <f>SUM($C$21:C30)</f>
        <v>3922632450</v>
      </c>
      <c r="E30" s="10">
        <f t="shared" si="3"/>
        <v>37283629054.829857</v>
      </c>
      <c r="F30" s="10">
        <f t="shared" si="4"/>
        <v>-0.80527586763802261</v>
      </c>
      <c r="G30" s="283">
        <f t="shared" si="5"/>
        <v>-1.1193890164264897E+21</v>
      </c>
      <c r="O30" s="100">
        <v>10</v>
      </c>
      <c r="P30" s="94">
        <f t="shared" si="10"/>
        <v>2130812685</v>
      </c>
      <c r="Q30" s="111">
        <f t="shared" si="6"/>
        <v>19177314201</v>
      </c>
      <c r="R30" s="10">
        <f>SUM($Q$21:Q30)</f>
        <v>21574478430</v>
      </c>
      <c r="S30" s="278">
        <f t="shared" si="7"/>
        <v>205059959373.85059</v>
      </c>
      <c r="T30" s="10">
        <f t="shared" si="11"/>
        <v>-0.14641379442139368</v>
      </c>
      <c r="U30" s="283">
        <f t="shared" si="8"/>
        <v>-6.1566395775041877E+21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9</v>
      </c>
      <c r="D33" s="57">
        <f>SUM($C$33:C33)</f>
        <v>9</v>
      </c>
      <c r="E33" s="9">
        <f t="shared" ref="E33:E42" si="13">D33/R7</f>
        <v>-31.292845926543283</v>
      </c>
      <c r="F33" s="8">
        <f t="shared" ref="F33:F42" si="14">U7/E33</f>
        <v>0.16375806719536931</v>
      </c>
      <c r="G33" s="284">
        <f>E33*U7</f>
        <v>160.35881100055531</v>
      </c>
      <c r="O33" s="101">
        <v>1</v>
      </c>
      <c r="P33" s="109">
        <v>1</v>
      </c>
      <c r="Q33" s="110">
        <f>P33*9+36</f>
        <v>45</v>
      </c>
      <c r="R33" s="57">
        <f>SUM($Q$21)</f>
        <v>45</v>
      </c>
      <c r="S33" s="276">
        <f>R33/R7</f>
        <v>-156.46422963271641</v>
      </c>
      <c r="T33" s="8">
        <f>U7/S33</f>
        <v>3.2751613439073859E-2</v>
      </c>
      <c r="U33" s="284">
        <f>S33*U7</f>
        <v>801.79405500277653</v>
      </c>
    </row>
    <row r="34" spans="1:21" x14ac:dyDescent="0.2">
      <c r="A34" s="97">
        <v>2</v>
      </c>
      <c r="B34" s="93">
        <f t="shared" ref="B34:B42" si="15">B33*($O$2+1)</f>
        <v>10</v>
      </c>
      <c r="C34" s="1">
        <f t="shared" si="12"/>
        <v>90</v>
      </c>
      <c r="D34" s="9">
        <f>SUM($C$33:C34)</f>
        <v>99</v>
      </c>
      <c r="E34" s="9">
        <f t="shared" si="13"/>
        <v>-1309.0390349400921</v>
      </c>
      <c r="F34" s="9">
        <f t="shared" si="14"/>
        <v>7.9062031140117991E-2</v>
      </c>
      <c r="G34" s="282">
        <f t="shared" ref="G34:G42" si="16">E34*U8</f>
        <v>135479.36792402682</v>
      </c>
      <c r="O34" s="99">
        <v>2</v>
      </c>
      <c r="P34" s="93">
        <f>Q33+1</f>
        <v>46</v>
      </c>
      <c r="Q34" s="1">
        <f t="shared" ref="Q34:Q42" si="17">P34*9+36</f>
        <v>450</v>
      </c>
      <c r="R34" s="9">
        <f>SUM($Q$33:Q34)</f>
        <v>495</v>
      </c>
      <c r="S34" s="277">
        <f>R34/R8</f>
        <v>-6545.1951747004605</v>
      </c>
      <c r="T34" s="9">
        <f t="shared" ref="T34:T42" si="18">U8/S34</f>
        <v>1.5812406228023598E-2</v>
      </c>
      <c r="U34" s="282">
        <f t="shared" ref="U34:U42" si="19">S34*U8</f>
        <v>677396.83962013409</v>
      </c>
    </row>
    <row r="35" spans="1:21" x14ac:dyDescent="0.2">
      <c r="A35" s="97">
        <v>3</v>
      </c>
      <c r="B35" s="93">
        <f t="shared" si="15"/>
        <v>100</v>
      </c>
      <c r="C35" s="1">
        <f t="shared" si="12"/>
        <v>900</v>
      </c>
      <c r="D35" s="9">
        <f>SUM($C$33:C35)</f>
        <v>999</v>
      </c>
      <c r="E35" s="9">
        <f t="shared" si="13"/>
        <v>70519.734363674797</v>
      </c>
      <c r="F35" s="9">
        <f t="shared" si="14"/>
        <v>-2.1353374499690624E-2</v>
      </c>
      <c r="G35" s="282">
        <f t="shared" si="16"/>
        <v>-106191034.65444121</v>
      </c>
      <c r="O35" s="99">
        <v>3</v>
      </c>
      <c r="P35" s="93">
        <f t="shared" ref="P35:P42" si="20">Q34+1</f>
        <v>451</v>
      </c>
      <c r="Q35" s="1">
        <f t="shared" si="17"/>
        <v>4095</v>
      </c>
      <c r="R35" s="9">
        <f>SUM($Q$33:Q35)</f>
        <v>4590</v>
      </c>
      <c r="S35" s="277">
        <f t="shared" ref="S35:S42" si="21">R35/R9</f>
        <v>324009.59031958692</v>
      </c>
      <c r="T35" s="9">
        <f t="shared" si="18"/>
        <v>-4.6474991558150183E-3</v>
      </c>
      <c r="U35" s="282">
        <f t="shared" si="19"/>
        <v>-487904753.81770289</v>
      </c>
    </row>
    <row r="36" spans="1:21" x14ac:dyDescent="0.2">
      <c r="A36" s="97">
        <v>4</v>
      </c>
      <c r="B36" s="93">
        <f t="shared" si="15"/>
        <v>1000</v>
      </c>
      <c r="C36" s="1">
        <f t="shared" si="12"/>
        <v>9000</v>
      </c>
      <c r="D36" s="9">
        <f>SUM($C$33:C36)</f>
        <v>9999</v>
      </c>
      <c r="E36" s="9">
        <f t="shared" si="13"/>
        <v>173325.3966495081</v>
      </c>
      <c r="F36" s="9">
        <f t="shared" si="14"/>
        <v>-0.11029029283314844</v>
      </c>
      <c r="G36" s="282">
        <f t="shared" si="16"/>
        <v>-3313307131.8174815</v>
      </c>
      <c r="O36" s="99">
        <v>4</v>
      </c>
      <c r="P36" s="93">
        <f t="shared" si="20"/>
        <v>4096</v>
      </c>
      <c r="Q36" s="1">
        <f t="shared" si="17"/>
        <v>36900</v>
      </c>
      <c r="R36" s="9">
        <f>SUM($Q$33:Q36)</f>
        <v>41490</v>
      </c>
      <c r="S36" s="277">
        <f t="shared" si="21"/>
        <v>719198.9905978688</v>
      </c>
      <c r="T36" s="9">
        <f t="shared" si="18"/>
        <v>-2.6579721331372652E-2</v>
      </c>
      <c r="U36" s="282">
        <f t="shared" si="19"/>
        <v>-13748286118.522583</v>
      </c>
    </row>
    <row r="37" spans="1:21" x14ac:dyDescent="0.2">
      <c r="A37" s="97">
        <v>5</v>
      </c>
      <c r="B37" s="93">
        <f t="shared" si="15"/>
        <v>10000</v>
      </c>
      <c r="C37" s="1">
        <f t="shared" si="12"/>
        <v>90000</v>
      </c>
      <c r="D37" s="9">
        <f>SUM($C$33:C37)</f>
        <v>99999</v>
      </c>
      <c r="E37" s="9">
        <f t="shared" si="13"/>
        <v>1247535.4237179819</v>
      </c>
      <c r="F37" s="9">
        <f t="shared" si="14"/>
        <v>-0.18020148166756814</v>
      </c>
      <c r="G37" s="282">
        <f t="shared" si="16"/>
        <v>-280455608929.67126</v>
      </c>
      <c r="O37" s="99">
        <v>5</v>
      </c>
      <c r="P37" s="93">
        <f t="shared" si="20"/>
        <v>36901</v>
      </c>
      <c r="Q37" s="1">
        <f t="shared" si="17"/>
        <v>332145</v>
      </c>
      <c r="R37" s="9">
        <f>SUM($Q$33:Q37)</f>
        <v>373635</v>
      </c>
      <c r="S37" s="277">
        <f t="shared" si="21"/>
        <v>4661275.5931646135</v>
      </c>
      <c r="T37" s="9">
        <f t="shared" si="18"/>
        <v>-4.8228800742101639E-2</v>
      </c>
      <c r="U37" s="282">
        <f t="shared" si="19"/>
        <v>-1047890793332.3107</v>
      </c>
    </row>
    <row r="38" spans="1:21" x14ac:dyDescent="0.2">
      <c r="A38" s="97">
        <v>6</v>
      </c>
      <c r="B38" s="93">
        <f t="shared" si="15"/>
        <v>100000</v>
      </c>
      <c r="C38" s="1">
        <f t="shared" si="12"/>
        <v>900000</v>
      </c>
      <c r="D38" s="9">
        <f>SUM($C$33:C38)</f>
        <v>999999</v>
      </c>
      <c r="E38" s="9">
        <f t="shared" si="13"/>
        <v>10853772.770827049</v>
      </c>
      <c r="F38" s="9">
        <f t="shared" si="14"/>
        <v>-0.23179219152236458</v>
      </c>
      <c r="G38" s="282">
        <f t="shared" si="16"/>
        <v>-27306136190128.254</v>
      </c>
      <c r="O38" s="99">
        <v>6</v>
      </c>
      <c r="P38" s="93">
        <f t="shared" si="20"/>
        <v>332146</v>
      </c>
      <c r="Q38" s="1">
        <f t="shared" si="17"/>
        <v>2989350</v>
      </c>
      <c r="R38" s="9">
        <f>SUM($Q$33:Q38)</f>
        <v>3362985</v>
      </c>
      <c r="S38" s="277">
        <f t="shared" si="21"/>
        <v>36501111.522811323</v>
      </c>
      <c r="T38" s="9">
        <f t="shared" si="18"/>
        <v>-6.8924470293555598E-2</v>
      </c>
      <c r="U38" s="282">
        <f t="shared" si="19"/>
        <v>-91830218245576.703</v>
      </c>
    </row>
    <row r="39" spans="1:21" x14ac:dyDescent="0.2">
      <c r="A39" s="97">
        <v>7</v>
      </c>
      <c r="B39" s="93">
        <f t="shared" si="15"/>
        <v>1000000</v>
      </c>
      <c r="C39" s="1">
        <f t="shared" si="12"/>
        <v>9000000</v>
      </c>
      <c r="D39" s="9">
        <f>SUM($C$33:C39)</f>
        <v>9999999</v>
      </c>
      <c r="E39" s="9">
        <f t="shared" si="13"/>
        <v>101392124.96414556</v>
      </c>
      <c r="F39" s="9">
        <f t="shared" si="14"/>
        <v>-0.26814011238925556</v>
      </c>
      <c r="G39" s="282">
        <f t="shared" si="16"/>
        <v>-2756577691494645</v>
      </c>
      <c r="O39" s="99">
        <v>7</v>
      </c>
      <c r="P39" s="93">
        <f t="shared" si="20"/>
        <v>2989351</v>
      </c>
      <c r="Q39" s="1">
        <f t="shared" si="17"/>
        <v>26904195</v>
      </c>
      <c r="R39" s="9">
        <f>SUM($Q$33:Q39)</f>
        <v>30267180</v>
      </c>
      <c r="S39" s="277">
        <f t="shared" si="21"/>
        <v>306885400.37576872</v>
      </c>
      <c r="T39" s="9">
        <f t="shared" si="18"/>
        <v>-8.8591036751770186E-2</v>
      </c>
      <c r="U39" s="282">
        <f t="shared" si="19"/>
        <v>-8343384151583703</v>
      </c>
    </row>
    <row r="40" spans="1:21" x14ac:dyDescent="0.2">
      <c r="A40" s="97">
        <v>8</v>
      </c>
      <c r="B40" s="93">
        <f t="shared" si="15"/>
        <v>10000000</v>
      </c>
      <c r="C40" s="1">
        <f t="shared" si="12"/>
        <v>90000000</v>
      </c>
      <c r="D40" s="9">
        <f>SUM($C$33:C40)</f>
        <v>99999999</v>
      </c>
      <c r="E40" s="9">
        <f t="shared" si="13"/>
        <v>978667693.4063344</v>
      </c>
      <c r="F40" s="9">
        <f t="shared" si="14"/>
        <v>-0.29251622839278063</v>
      </c>
      <c r="G40" s="282">
        <f t="shared" si="16"/>
        <v>-2.8016925122899389E+17</v>
      </c>
      <c r="O40" s="99">
        <v>8</v>
      </c>
      <c r="P40" s="93">
        <f t="shared" si="20"/>
        <v>26904196</v>
      </c>
      <c r="Q40" s="1">
        <f t="shared" si="17"/>
        <v>242137800</v>
      </c>
      <c r="R40" s="9">
        <f>SUM($Q$33:Q40)</f>
        <v>272404980</v>
      </c>
      <c r="S40" s="277">
        <f t="shared" si="21"/>
        <v>2665939561.1493821</v>
      </c>
      <c r="T40" s="9">
        <f t="shared" si="18"/>
        <v>-0.10738284794485708</v>
      </c>
      <c r="U40" s="282">
        <f t="shared" si="19"/>
        <v>-7.6319500040844058E+17</v>
      </c>
    </row>
    <row r="41" spans="1:21" x14ac:dyDescent="0.2">
      <c r="A41" s="97">
        <v>9</v>
      </c>
      <c r="B41" s="93">
        <f t="shared" si="15"/>
        <v>100000000</v>
      </c>
      <c r="C41" s="1">
        <f t="shared" si="12"/>
        <v>900000000</v>
      </c>
      <c r="D41" s="9">
        <f>SUM($C$33:C41)</f>
        <v>999999999</v>
      </c>
      <c r="E41" s="9">
        <f t="shared" si="13"/>
        <v>9603071250.3108749</v>
      </c>
      <c r="F41" s="9">
        <f t="shared" si="14"/>
        <v>-0.30770304192674669</v>
      </c>
      <c r="G41" s="282">
        <f t="shared" si="16"/>
        <v>-2.8376059881215017E+19</v>
      </c>
      <c r="O41" s="99">
        <v>9</v>
      </c>
      <c r="P41" s="93">
        <f t="shared" si="20"/>
        <v>242137801</v>
      </c>
      <c r="Q41" s="1">
        <f t="shared" si="17"/>
        <v>2179240245</v>
      </c>
      <c r="R41" s="9">
        <f>SUM($Q$33:Q41)</f>
        <v>2451645225</v>
      </c>
      <c r="S41" s="277">
        <f t="shared" si="21"/>
        <v>23543323799.702759</v>
      </c>
      <c r="T41" s="9">
        <f t="shared" si="18"/>
        <v>-0.12550879649360508</v>
      </c>
      <c r="U41" s="282">
        <f t="shared" si="19"/>
        <v>-6.9568031781662892E+19</v>
      </c>
    </row>
    <row r="42" spans="1:21" ht="17" thickBot="1" x14ac:dyDescent="0.25">
      <c r="A42" s="145">
        <v>10</v>
      </c>
      <c r="B42" s="94">
        <f t="shared" si="15"/>
        <v>1000000000</v>
      </c>
      <c r="C42" s="111">
        <f t="shared" si="12"/>
        <v>9000000000</v>
      </c>
      <c r="D42" s="10">
        <f>SUM($C$33:C42)</f>
        <v>9999999999</v>
      </c>
      <c r="E42" s="9">
        <f t="shared" si="13"/>
        <v>95047470101.618866</v>
      </c>
      <c r="F42" s="10">
        <f t="shared" si="14"/>
        <v>-0.31588012499146922</v>
      </c>
      <c r="G42" s="283">
        <f t="shared" si="16"/>
        <v>-2.8536678635658328E+21</v>
      </c>
      <c r="O42" s="100">
        <v>10</v>
      </c>
      <c r="P42" s="94">
        <f t="shared" si="20"/>
        <v>2179240246</v>
      </c>
      <c r="Q42" s="111">
        <f t="shared" si="17"/>
        <v>19613162250</v>
      </c>
      <c r="R42" s="10">
        <f>SUM($Q$33:Q42)</f>
        <v>22064807475</v>
      </c>
      <c r="S42" s="278">
        <f t="shared" si="21"/>
        <v>209720412898.77591</v>
      </c>
      <c r="T42" s="10">
        <f t="shared" si="18"/>
        <v>-0.14316015461171896</v>
      </c>
      <c r="U42" s="283">
        <f t="shared" si="19"/>
        <v>-6.2965632013471224E+21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9</v>
      </c>
      <c r="D45" s="57">
        <f>SUM(C45:C45)</f>
        <v>9</v>
      </c>
      <c r="E45" s="57">
        <f t="shared" ref="E45:E54" si="23">D45/R7</f>
        <v>-31.292845926543283</v>
      </c>
      <c r="F45" s="8">
        <f t="shared" ref="F45:F54" si="24">U7/E45</f>
        <v>0.16375806719536931</v>
      </c>
      <c r="G45" s="281">
        <f>E45*U7</f>
        <v>160.35881100055531</v>
      </c>
      <c r="O45" s="101">
        <v>1</v>
      </c>
      <c r="P45" s="109">
        <v>1</v>
      </c>
      <c r="Q45" s="110">
        <f>P45*9+36</f>
        <v>45</v>
      </c>
      <c r="R45" s="57">
        <f>SUM($Q$21)</f>
        <v>45</v>
      </c>
      <c r="S45" s="276">
        <f>R45/R7</f>
        <v>-156.46422963271641</v>
      </c>
      <c r="T45" s="8">
        <f>U7/S45</f>
        <v>3.2751613439073859E-2</v>
      </c>
      <c r="U45" s="284">
        <f>S45*U7</f>
        <v>801.79405500277653</v>
      </c>
    </row>
    <row r="46" spans="1:21" x14ac:dyDescent="0.2">
      <c r="A46" s="97">
        <v>2</v>
      </c>
      <c r="B46" s="93">
        <f t="shared" ref="B46:B54" si="25">B45*$O$2*2</f>
        <v>18</v>
      </c>
      <c r="C46" s="1">
        <f t="shared" si="22"/>
        <v>162</v>
      </c>
      <c r="D46" s="9">
        <f>SUM($C$45:C46)</f>
        <v>171</v>
      </c>
      <c r="E46" s="9">
        <f t="shared" si="23"/>
        <v>-2261.067423987432</v>
      </c>
      <c r="F46" s="9">
        <f t="shared" si="24"/>
        <v>4.5772754870594623E-2</v>
      </c>
      <c r="G46" s="282">
        <f t="shared" ref="G46:G54" si="26">E46*U8</f>
        <v>234009.81732331906</v>
      </c>
      <c r="O46" s="99">
        <v>2</v>
      </c>
      <c r="P46" s="93">
        <f>Q45*2</f>
        <v>90</v>
      </c>
      <c r="Q46" s="1">
        <f t="shared" ref="Q46:Q54" si="27">P46*9+36</f>
        <v>846</v>
      </c>
      <c r="R46" s="9">
        <f>SUM($Q$45:Q46)</f>
        <v>891</v>
      </c>
      <c r="S46" s="277">
        <f t="shared" ref="S46:S54" si="28">R46/R8</f>
        <v>-11781.35131446083</v>
      </c>
      <c r="T46" s="9">
        <f t="shared" ref="T46:T54" si="29">U8/S46</f>
        <v>8.7846701266797774E-3</v>
      </c>
      <c r="U46" s="282">
        <f t="shared" ref="U46:U54" si="30">S46*U8</f>
        <v>1219314.3113162415</v>
      </c>
    </row>
    <row r="47" spans="1:21" x14ac:dyDescent="0.2">
      <c r="A47" s="97">
        <v>3</v>
      </c>
      <c r="B47" s="93">
        <f t="shared" si="25"/>
        <v>324</v>
      </c>
      <c r="C47" s="1">
        <f t="shared" si="22"/>
        <v>2916</v>
      </c>
      <c r="D47" s="9">
        <f>SUM($C$45:C47)</f>
        <v>3087</v>
      </c>
      <c r="E47" s="9">
        <f t="shared" si="23"/>
        <v>217912.33231297706</v>
      </c>
      <c r="F47" s="9">
        <f t="shared" si="24"/>
        <v>-6.9102757127278702E-3</v>
      </c>
      <c r="G47" s="282">
        <f t="shared" si="26"/>
        <v>-328139863.84210211</v>
      </c>
      <c r="O47" s="99">
        <v>3</v>
      </c>
      <c r="P47" s="93">
        <f t="shared" ref="P47:P54" si="31">Q46*2</f>
        <v>1692</v>
      </c>
      <c r="Q47" s="1">
        <f t="shared" si="27"/>
        <v>15264</v>
      </c>
      <c r="R47" s="9">
        <f>SUM($Q$45:Q47)</f>
        <v>16155</v>
      </c>
      <c r="S47" s="277">
        <f t="shared" si="28"/>
        <v>1140386.6953405067</v>
      </c>
      <c r="T47" s="9">
        <f t="shared" si="29"/>
        <v>-1.320459370175855E-3</v>
      </c>
      <c r="U47" s="282">
        <f t="shared" si="30"/>
        <v>-1717233398.2407382</v>
      </c>
    </row>
    <row r="48" spans="1:21" x14ac:dyDescent="0.2">
      <c r="A48" s="97">
        <v>4</v>
      </c>
      <c r="B48" s="93">
        <f t="shared" si="25"/>
        <v>5832</v>
      </c>
      <c r="C48" s="1">
        <f t="shared" si="22"/>
        <v>52488</v>
      </c>
      <c r="D48" s="9">
        <f>SUM($C$45:C48)</f>
        <v>55575</v>
      </c>
      <c r="E48" s="9">
        <f t="shared" si="23"/>
        <v>963352.22710235149</v>
      </c>
      <c r="F48" s="9">
        <f t="shared" si="24"/>
        <v>-1.9843322321883062E-2</v>
      </c>
      <c r="G48" s="282">
        <f t="shared" si="26"/>
        <v>-18415545939.669621</v>
      </c>
      <c r="O48" s="99">
        <v>4</v>
      </c>
      <c r="P48" s="93">
        <f t="shared" si="31"/>
        <v>30528</v>
      </c>
      <c r="Q48" s="1">
        <f t="shared" si="27"/>
        <v>274788</v>
      </c>
      <c r="R48" s="9">
        <f>SUM($Q$45:Q48)</f>
        <v>290943</v>
      </c>
      <c r="S48" s="277">
        <f t="shared" si="28"/>
        <v>5043285.4162814114</v>
      </c>
      <c r="T48" s="9">
        <f t="shared" si="29"/>
        <v>-3.7904078738400689E-3</v>
      </c>
      <c r="U48" s="282">
        <f t="shared" si="30"/>
        <v>-96407992484.485809</v>
      </c>
    </row>
    <row r="49" spans="1:21" x14ac:dyDescent="0.2">
      <c r="A49" s="97">
        <v>5</v>
      </c>
      <c r="B49" s="93">
        <f t="shared" si="25"/>
        <v>104976</v>
      </c>
      <c r="C49" s="1">
        <f t="shared" si="22"/>
        <v>944784</v>
      </c>
      <c r="D49" s="9">
        <f>SUM($C$45:C49)</f>
        <v>1000359</v>
      </c>
      <c r="E49" s="9">
        <f t="shared" si="23"/>
        <v>12479957.688927857</v>
      </c>
      <c r="F49" s="9">
        <f t="shared" si="24"/>
        <v>-1.8013501118373649E-2</v>
      </c>
      <c r="G49" s="282">
        <f t="shared" si="26"/>
        <v>-2805590980842.5791</v>
      </c>
      <c r="O49" s="99">
        <v>5</v>
      </c>
      <c r="P49" s="93">
        <f t="shared" si="31"/>
        <v>549576</v>
      </c>
      <c r="Q49" s="1">
        <f t="shared" si="27"/>
        <v>4946220</v>
      </c>
      <c r="R49" s="9">
        <f>SUM($Q$45:Q49)</f>
        <v>5237163</v>
      </c>
      <c r="S49" s="277">
        <f t="shared" si="28"/>
        <v>65336116.984021217</v>
      </c>
      <c r="T49" s="9">
        <f t="shared" si="29"/>
        <v>-3.4407880688982081E-3</v>
      </c>
      <c r="U49" s="282">
        <f t="shared" si="30"/>
        <v>-14688064262932.07</v>
      </c>
    </row>
    <row r="50" spans="1:21" x14ac:dyDescent="0.2">
      <c r="A50" s="97">
        <v>6</v>
      </c>
      <c r="B50" s="93">
        <f t="shared" si="25"/>
        <v>1889568</v>
      </c>
      <c r="C50" s="1">
        <f t="shared" si="22"/>
        <v>17006112</v>
      </c>
      <c r="D50" s="9">
        <f>SUM($C$45:C50)</f>
        <v>18006471</v>
      </c>
      <c r="E50" s="9">
        <f t="shared" si="23"/>
        <v>195438340.07682699</v>
      </c>
      <c r="F50" s="9">
        <f t="shared" si="24"/>
        <v>-1.287270335926307E-2</v>
      </c>
      <c r="G50" s="282">
        <f t="shared" si="26"/>
        <v>-491687641117236</v>
      </c>
      <c r="O50" s="99">
        <v>6</v>
      </c>
      <c r="P50" s="93">
        <f t="shared" si="31"/>
        <v>9892440</v>
      </c>
      <c r="Q50" s="1">
        <f t="shared" si="27"/>
        <v>89031996</v>
      </c>
      <c r="R50" s="9">
        <f>SUM($Q$45:Q50)</f>
        <v>94269159</v>
      </c>
      <c r="S50" s="277">
        <f t="shared" si="28"/>
        <v>1023177054.2600199</v>
      </c>
      <c r="T50" s="9">
        <f t="shared" si="29"/>
        <v>-2.4588313101443181E-3</v>
      </c>
      <c r="U50" s="282">
        <f t="shared" si="30"/>
        <v>-2574129068311922.5</v>
      </c>
    </row>
    <row r="51" spans="1:21" x14ac:dyDescent="0.2">
      <c r="A51" s="97">
        <v>7</v>
      </c>
      <c r="B51" s="93">
        <f t="shared" si="25"/>
        <v>34012224</v>
      </c>
      <c r="C51" s="1">
        <f t="shared" si="22"/>
        <v>306110016</v>
      </c>
      <c r="D51" s="9">
        <f>SUM($C$45:C51)</f>
        <v>324116487</v>
      </c>
      <c r="E51" s="9">
        <f t="shared" si="23"/>
        <v>3286286263.913012</v>
      </c>
      <c r="F51" s="9">
        <f t="shared" si="24"/>
        <v>-8.272954210294288E-3</v>
      </c>
      <c r="G51" s="282">
        <f t="shared" si="26"/>
        <v>-8.9345236685505072E+16</v>
      </c>
      <c r="O51" s="99">
        <v>7</v>
      </c>
      <c r="P51" s="93">
        <f t="shared" si="31"/>
        <v>178063992</v>
      </c>
      <c r="Q51" s="1">
        <f t="shared" si="27"/>
        <v>1602575964</v>
      </c>
      <c r="R51" s="9">
        <f>SUM($Q$45:Q51)</f>
        <v>1696845123</v>
      </c>
      <c r="S51" s="277">
        <f t="shared" si="28"/>
        <v>17204674996.069191</v>
      </c>
      <c r="T51" s="9">
        <f t="shared" si="29"/>
        <v>-1.5802272225126604E-3</v>
      </c>
      <c r="U51" s="282">
        <f t="shared" si="30"/>
        <v>-4.6774858797318739E+17</v>
      </c>
    </row>
    <row r="52" spans="1:21" x14ac:dyDescent="0.2">
      <c r="A52" s="97">
        <v>8</v>
      </c>
      <c r="B52" s="93">
        <f t="shared" si="25"/>
        <v>612220032</v>
      </c>
      <c r="C52" s="1">
        <f t="shared" si="22"/>
        <v>5509980288</v>
      </c>
      <c r="D52" s="9">
        <f>SUM($C$45:C52)</f>
        <v>5834096775</v>
      </c>
      <c r="E52" s="9">
        <f t="shared" si="23"/>
        <v>57096420909.95005</v>
      </c>
      <c r="F52" s="9">
        <f t="shared" si="24"/>
        <v>-5.0139076664119679E-3</v>
      </c>
      <c r="G52" s="282">
        <f t="shared" si="26"/>
        <v>-1.6345345413945833E+19</v>
      </c>
      <c r="O52" s="99">
        <v>8</v>
      </c>
      <c r="P52" s="93">
        <f t="shared" si="31"/>
        <v>3205151928</v>
      </c>
      <c r="Q52" s="1">
        <f t="shared" si="27"/>
        <v>28846367388</v>
      </c>
      <c r="R52" s="9">
        <f>SUM($Q$45:Q52)</f>
        <v>30543212511</v>
      </c>
      <c r="S52" s="277">
        <f t="shared" si="28"/>
        <v>298916556362.76422</v>
      </c>
      <c r="T52" s="9">
        <f t="shared" si="29"/>
        <v>-9.5771270085708872E-4</v>
      </c>
      <c r="U52" s="282">
        <f t="shared" si="30"/>
        <v>-8.5572690649075991E+19</v>
      </c>
    </row>
    <row r="53" spans="1:21" x14ac:dyDescent="0.2">
      <c r="A53" s="97">
        <v>9</v>
      </c>
      <c r="B53" s="93">
        <f t="shared" si="25"/>
        <v>11019960576</v>
      </c>
      <c r="C53" s="1">
        <f t="shared" si="22"/>
        <v>99179645184</v>
      </c>
      <c r="D53" s="9">
        <f>SUM($C$45:C53)</f>
        <v>105013741959</v>
      </c>
      <c r="E53" s="9">
        <f t="shared" si="23"/>
        <v>1008454447302.4921</v>
      </c>
      <c r="F53" s="9">
        <f t="shared" si="24"/>
        <v>-2.9301216762581289E-3</v>
      </c>
      <c r="G53" s="282">
        <f t="shared" si="26"/>
        <v>-2.9798762331589218E+21</v>
      </c>
      <c r="O53" s="99">
        <v>9</v>
      </c>
      <c r="P53" s="93">
        <f t="shared" si="31"/>
        <v>57692734776</v>
      </c>
      <c r="Q53" s="1">
        <f t="shared" si="27"/>
        <v>519234613020</v>
      </c>
      <c r="R53" s="9">
        <f>SUM($Q$45:Q53)</f>
        <v>549777825531</v>
      </c>
      <c r="S53" s="277">
        <f t="shared" si="28"/>
        <v>5279555635694.7295</v>
      </c>
      <c r="T53" s="9">
        <f t="shared" si="29"/>
        <v>-5.5968616290016839E-4</v>
      </c>
      <c r="U53" s="282">
        <f t="shared" si="30"/>
        <v>-1.5600528514232365E+22</v>
      </c>
    </row>
    <row r="54" spans="1:21" ht="17" thickBot="1" x14ac:dyDescent="0.25">
      <c r="A54" s="145">
        <v>10</v>
      </c>
      <c r="B54" s="94">
        <f t="shared" si="25"/>
        <v>198359290368</v>
      </c>
      <c r="C54" s="111">
        <f t="shared" si="22"/>
        <v>1785233613312</v>
      </c>
      <c r="D54" s="10">
        <f>SUM($C$45:C54)</f>
        <v>1890247355271</v>
      </c>
      <c r="E54" s="10">
        <f t="shared" si="23"/>
        <v>17966322900275.082</v>
      </c>
      <c r="F54" s="10">
        <f t="shared" si="24"/>
        <v>-1.6711047053129947E-3</v>
      </c>
      <c r="G54" s="283">
        <f t="shared" si="26"/>
        <v>-5.3941381324665739E+23</v>
      </c>
      <c r="O54" s="100">
        <v>10</v>
      </c>
      <c r="P54" s="94">
        <f t="shared" si="31"/>
        <v>1038469226040</v>
      </c>
      <c r="Q54" s="111">
        <f t="shared" si="27"/>
        <v>9346223034396</v>
      </c>
      <c r="R54" s="10">
        <f>SUM($Q$45:Q54)</f>
        <v>9896000859927</v>
      </c>
      <c r="S54" s="278">
        <f t="shared" si="28"/>
        <v>94058984595356.5</v>
      </c>
      <c r="T54" s="10">
        <f t="shared" si="29"/>
        <v>-3.1919977517282815E-4</v>
      </c>
      <c r="U54" s="283">
        <f t="shared" si="30"/>
        <v>-2.8239899634617515E+24</v>
      </c>
    </row>
  </sheetData>
  <mergeCells count="2">
    <mergeCell ref="A18:F18"/>
    <mergeCell ref="O18:T18"/>
  </mergeCells>
  <conditionalFormatting sqref="F45:F54">
    <cfRule type="cellIs" dxfId="348" priority="63" operator="equal">
      <formula>MAX($F$45:$F$54)</formula>
    </cfRule>
  </conditionalFormatting>
  <conditionalFormatting sqref="F21:F30">
    <cfRule type="cellIs" dxfId="347" priority="61" operator="equal">
      <formula>MAX($F$21:$F$30)</formula>
    </cfRule>
  </conditionalFormatting>
  <conditionalFormatting sqref="E33:E42">
    <cfRule type="cellIs" dxfId="346" priority="59" stopIfTrue="1" operator="lessThan">
      <formula>0</formula>
    </cfRule>
    <cfRule type="cellIs" dxfId="345" priority="60" operator="equal">
      <formula>MIN($E$33:$E$42)</formula>
    </cfRule>
  </conditionalFormatting>
  <conditionalFormatting sqref="E21:E30">
    <cfRule type="cellIs" dxfId="344" priority="55" stopIfTrue="1" operator="lessThan">
      <formula>0</formula>
    </cfRule>
    <cfRule type="cellIs" dxfId="343" priority="56" operator="equal">
      <formula>MIN($E$21:$E$30)</formula>
    </cfRule>
  </conditionalFormatting>
  <conditionalFormatting sqref="E45:E54">
    <cfRule type="cellIs" dxfId="342" priority="51" stopIfTrue="1" operator="lessThan">
      <formula>0</formula>
    </cfRule>
    <cfRule type="cellIs" dxfId="341" priority="52" operator="equal">
      <formula>MIN($E$45:$E$54)</formula>
    </cfRule>
  </conditionalFormatting>
  <conditionalFormatting sqref="F33:F42">
    <cfRule type="cellIs" dxfId="340" priority="41" operator="lessThanOrEqual">
      <formula>0</formula>
    </cfRule>
    <cfRule type="cellIs" dxfId="339" priority="42" operator="equal">
      <formula>MAX($F$33:$F$42)</formula>
    </cfRule>
  </conditionalFormatting>
  <conditionalFormatting sqref="R7:R16">
    <cfRule type="cellIs" dxfId="338" priority="27" operator="lessThanOrEqual">
      <formula>0</formula>
    </cfRule>
    <cfRule type="cellIs" dxfId="337" priority="28" operator="greaterThan">
      <formula>0</formula>
    </cfRule>
  </conditionalFormatting>
  <conditionalFormatting sqref="T21:T30">
    <cfRule type="cellIs" dxfId="336" priority="19" operator="equal">
      <formula>MAX($T$21:$T$30)</formula>
    </cfRule>
  </conditionalFormatting>
  <conditionalFormatting sqref="S33:S42">
    <cfRule type="cellIs" dxfId="335" priority="17" stopIfTrue="1" operator="lessThan">
      <formula>0</formula>
    </cfRule>
    <cfRule type="cellIs" dxfId="334" priority="18" operator="equal">
      <formula>MIN($E$21:$E$30)</formula>
    </cfRule>
  </conditionalFormatting>
  <conditionalFormatting sqref="T33:T42">
    <cfRule type="cellIs" dxfId="333" priority="16" operator="equal">
      <formula>MAX($T$21:$T$30)</formula>
    </cfRule>
  </conditionalFormatting>
  <conditionalFormatting sqref="S45:S54">
    <cfRule type="cellIs" dxfId="332" priority="14" stopIfTrue="1" operator="lessThan">
      <formula>0</formula>
    </cfRule>
    <cfRule type="cellIs" dxfId="331" priority="15" operator="equal">
      <formula>MIN($E$21:$E$30)</formula>
    </cfRule>
  </conditionalFormatting>
  <conditionalFormatting sqref="T45:T54">
    <cfRule type="cellIs" dxfId="330" priority="13" operator="equal">
      <formula>MAX($T$21:$T$30)</formula>
    </cfRule>
  </conditionalFormatting>
  <conditionalFormatting sqref="S21:S30">
    <cfRule type="cellIs" dxfId="329" priority="11" stopIfTrue="1" operator="lessThan">
      <formula>0</formula>
    </cfRule>
    <cfRule type="cellIs" dxfId="328" priority="12" operator="equal">
      <formula>MIN($E$21:$E$30)</formula>
    </cfRule>
  </conditionalFormatting>
  <conditionalFormatting sqref="U7:U16">
    <cfRule type="cellIs" dxfId="327" priority="7" operator="lessThanOrEqual">
      <formula>0</formula>
    </cfRule>
    <cfRule type="cellIs" dxfId="326" priority="8" operator="greaterThan">
      <formula>0</formula>
    </cfRule>
  </conditionalFormatting>
  <conditionalFormatting sqref="S7:T16">
    <cfRule type="cellIs" dxfId="325" priority="1" operator="lessThanOrEqual">
      <formula>0</formula>
    </cfRule>
    <cfRule type="cellIs" dxfId="32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0.99999999999999978</v>
      </c>
    </row>
    <row r="2" spans="1:23" x14ac:dyDescent="0.2">
      <c r="A2" t="s">
        <v>40</v>
      </c>
      <c r="B2" s="149" t="s">
        <v>125</v>
      </c>
      <c r="C2" s="155">
        <f>Analysis!B48</f>
        <v>0.35958789597790025</v>
      </c>
      <c r="D2" s="149" t="s">
        <v>126</v>
      </c>
      <c r="E2" s="155">
        <f>Analysis!O48</f>
        <v>0.64041210402209947</v>
      </c>
      <c r="F2" s="149" t="s">
        <v>47</v>
      </c>
      <c r="G2" s="155">
        <f>Analysis!S48</f>
        <v>17.752593886049109</v>
      </c>
      <c r="H2" t="s">
        <v>155</v>
      </c>
      <c r="I2" s="169">
        <f>Analysis!T48</f>
        <v>-18.791804105586166</v>
      </c>
      <c r="J2" t="s">
        <v>48</v>
      </c>
      <c r="K2" s="169">
        <f>C2*G2+E2*I2</f>
        <v>-5.6508809219950296</v>
      </c>
      <c r="L2" t="s">
        <v>47</v>
      </c>
      <c r="M2" s="176">
        <v>3</v>
      </c>
      <c r="N2" t="s">
        <v>155</v>
      </c>
      <c r="O2" s="176">
        <v>10</v>
      </c>
    </row>
    <row r="4" spans="1:23" x14ac:dyDescent="0.2">
      <c r="A4" t="s">
        <v>123</v>
      </c>
      <c r="B4">
        <f>$C$2</f>
        <v>0.35958789597790025</v>
      </c>
      <c r="C4" t="s">
        <v>124</v>
      </c>
      <c r="D4">
        <f>$E$2</f>
        <v>0.64041210402209947</v>
      </c>
      <c r="E4" t="s">
        <v>47</v>
      </c>
      <c r="F4">
        <f>G2</f>
        <v>17.752593886049109</v>
      </c>
      <c r="G4" t="s">
        <v>155</v>
      </c>
      <c r="H4">
        <f>I2</f>
        <v>-18.791804105586166</v>
      </c>
      <c r="I4" t="s">
        <v>48</v>
      </c>
      <c r="J4">
        <f>K2</f>
        <v>-5.6508809219950296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263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0.35958789597790025</v>
      </c>
      <c r="C7" s="95">
        <v>1</v>
      </c>
      <c r="D7" s="22">
        <f>C7*D4</f>
        <v>0.64041210402209947</v>
      </c>
      <c r="E7" s="2"/>
      <c r="F7" s="2"/>
      <c r="G7" s="2"/>
      <c r="H7" s="2"/>
      <c r="I7" s="2"/>
      <c r="J7" s="2"/>
      <c r="K7" s="2"/>
      <c r="L7" s="2"/>
      <c r="M7" s="256"/>
      <c r="N7" s="96">
        <f>B7+D7</f>
        <v>0.99999999999999978</v>
      </c>
      <c r="R7" s="296">
        <f>B7-D7</f>
        <v>-0.28082420804419922</v>
      </c>
      <c r="S7" s="297">
        <f>SUM(C7)*B4*F4*POWER(O2,A7-1)</f>
        <v>6.3836178836345345</v>
      </c>
      <c r="T7" s="276">
        <f>SUM(C7)*D4*H4*POWER(O2,A7-1)</f>
        <v>-12.034498805629564</v>
      </c>
      <c r="U7" s="294">
        <f>S7+T7</f>
        <v>-5.6508809219950296</v>
      </c>
      <c r="V7" s="109">
        <f>(U7+W7*D7)/B7</f>
        <v>-13.933919561855513</v>
      </c>
      <c r="W7" s="57">
        <f>COUNT(D7:M7)</f>
        <v>1</v>
      </c>
    </row>
    <row r="8" spans="1:23" x14ac:dyDescent="0.2">
      <c r="A8" s="99">
        <v>2</v>
      </c>
      <c r="B8" s="97">
        <f>C8*B4</f>
        <v>0.46716984189025124</v>
      </c>
      <c r="C8" s="97">
        <f>1/(1-B4*D4)</f>
        <v>1.2991812213806073</v>
      </c>
      <c r="D8" s="144">
        <f>C8*D4</f>
        <v>0.83201137949035575</v>
      </c>
      <c r="E8" s="1">
        <f>D8*D4</f>
        <v>0.53283015810974821</v>
      </c>
      <c r="F8" s="1"/>
      <c r="G8" s="1"/>
      <c r="H8" s="1"/>
      <c r="I8" s="1"/>
      <c r="J8" s="1"/>
      <c r="K8" s="1"/>
      <c r="L8" s="1"/>
      <c r="M8" s="257"/>
      <c r="N8" s="97">
        <f>B8+E8</f>
        <v>0.99999999999999944</v>
      </c>
      <c r="R8" s="298">
        <f>B8-E8</f>
        <v>-6.5660316219496973E-2</v>
      </c>
      <c r="S8" s="299">
        <f>SUM(C8:D8)*B4*F4*POWER(O2,A8-1)</f>
        <v>136.04719200389476</v>
      </c>
      <c r="T8" s="277">
        <f>SUM(C8:D8)*D4*H4*POWER(O2,A8-1)</f>
        <v>-256.47834809748167</v>
      </c>
      <c r="U8" s="295">
        <f>S8+T8+U7</f>
        <v>-126.08203701558193</v>
      </c>
      <c r="V8" s="93">
        <f>(U8+W8*E8)/B8</f>
        <v>-267.60369674875466</v>
      </c>
      <c r="W8" s="9">
        <f>COUNT(D8:M8)</f>
        <v>2</v>
      </c>
    </row>
    <row r="9" spans="1:23" x14ac:dyDescent="0.2">
      <c r="A9" s="99">
        <v>3</v>
      </c>
      <c r="B9" s="97">
        <f>C9*B4</f>
        <v>0.51309683323024746</v>
      </c>
      <c r="C9" s="97">
        <f>1/(1-D4*B4/(1-D4*B4))</f>
        <v>1.4269024040280311</v>
      </c>
      <c r="D9" s="144">
        <f>C9*D4*C8</f>
        <v>1.1871990375734671</v>
      </c>
      <c r="E9" s="1">
        <f>D9*(D4)</f>
        <v>0.76029663354543564</v>
      </c>
      <c r="F9" s="1">
        <f>E9*D4</f>
        <v>0.48690316676975159</v>
      </c>
      <c r="G9" s="1"/>
      <c r="H9" s="1"/>
      <c r="I9" s="1"/>
      <c r="J9" s="1"/>
      <c r="K9" s="1"/>
      <c r="L9" s="1"/>
      <c r="M9" s="257"/>
      <c r="N9" s="97">
        <f>B9+F9</f>
        <v>0.99999999999999911</v>
      </c>
      <c r="R9" s="298">
        <f>B9-F9</f>
        <v>2.6193666460495868E-2</v>
      </c>
      <c r="S9" s="299">
        <f>SUM(C9:E9)*B4*F4*POWER(O2,A9-1)</f>
        <v>2154.0867899009918</v>
      </c>
      <c r="T9" s="277">
        <f>SUM(C9:E9)*D4*H4*POWER(O2,A9-1)</f>
        <v>-4060.9189605074475</v>
      </c>
      <c r="U9" s="295">
        <f t="shared" ref="U9:U16" si="0">S9+T9+U8</f>
        <v>-2032.9142076220378</v>
      </c>
      <c r="V9" s="93">
        <f>(U9+W9*F9)/B9</f>
        <v>-3959.2010056513686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0.53557398459834504</v>
      </c>
      <c r="C10" s="97">
        <f>1/(1-D4*B4/(1-D4*B4/(1-D4*B4)))</f>
        <v>1.4894104907003338</v>
      </c>
      <c r="D10" s="144">
        <f>C10*D4*C9</f>
        <v>1.361031603606625</v>
      </c>
      <c r="E10" s="1">
        <f>D10*D4*C8</f>
        <v>1.1323937820467191</v>
      </c>
      <c r="F10" s="1">
        <f>E10*D4</f>
        <v>0.72519868454208214</v>
      </c>
      <c r="G10" s="1">
        <f>F10*D4</f>
        <v>0.46442601540165362</v>
      </c>
      <c r="H10" s="1"/>
      <c r="I10" s="1"/>
      <c r="J10" s="1"/>
      <c r="K10" s="1"/>
      <c r="L10" s="1"/>
      <c r="M10" s="257"/>
      <c r="N10" s="97">
        <f>B10+G10</f>
        <v>0.99999999999999867</v>
      </c>
      <c r="R10" s="298">
        <f>B10-G10</f>
        <v>7.1147969196691419E-2</v>
      </c>
      <c r="S10" s="299">
        <f>SUM(C10:F10)*B4*F4*POWER(O2,A10-1)</f>
        <v>30054.29361970364</v>
      </c>
      <c r="T10" s="277">
        <f>SUM(C10:F10)*D4*H4*POWER(O2,A10-1)</f>
        <v>-56658.836299962735</v>
      </c>
      <c r="U10" s="295">
        <f t="shared" si="0"/>
        <v>-28637.456887881133</v>
      </c>
      <c r="V10" s="93">
        <f>(U10+W10*G10)/B10</f>
        <v>-53467.121270453157</v>
      </c>
      <c r="W10" s="9">
        <f t="shared" si="1"/>
        <v>4</v>
      </c>
    </row>
    <row r="11" spans="1:23" x14ac:dyDescent="0.2">
      <c r="A11" s="99">
        <v>5</v>
      </c>
      <c r="B11" s="97">
        <f>C11*B4</f>
        <v>0.54730800973948901</v>
      </c>
      <c r="C11" s="97">
        <f>1/(1-D4*B4/(1-D4*B4/(1-D4*B4/(1-D4*B4))))</f>
        <v>1.5220423597715473</v>
      </c>
      <c r="D11" s="144">
        <f>C11*D4*C10</f>
        <v>1.4517795665837183</v>
      </c>
      <c r="E11" s="1">
        <f>D11*D4*C9</f>
        <v>1.326644255514593</v>
      </c>
      <c r="F11" s="1">
        <f>E11*D4*C8</f>
        <v>1.1037831171236525</v>
      </c>
      <c r="G11" s="1">
        <f>F11*D4</f>
        <v>0.70687606842122974</v>
      </c>
      <c r="H11" s="1">
        <f>G11*D4</f>
        <v>0.45269199026050927</v>
      </c>
      <c r="I11" s="1"/>
      <c r="J11" s="1"/>
      <c r="K11" s="1"/>
      <c r="L11" s="1"/>
      <c r="M11" s="257"/>
      <c r="N11" s="97">
        <f>B11+H11</f>
        <v>0.99999999999999822</v>
      </c>
      <c r="R11" s="298">
        <f>B11-H11</f>
        <v>9.461601947897974E-2</v>
      </c>
      <c r="S11" s="299">
        <f>SUM(C11:G11)*B4*F4*POWER(O2,A11-1)</f>
        <v>390110.89184561407</v>
      </c>
      <c r="T11" s="277">
        <f>SUM(C11:G11)*D4*H4*POWER(O2,A11-1)</f>
        <v>-735443.30935205228</v>
      </c>
      <c r="U11" s="295">
        <f t="shared" si="0"/>
        <v>-373969.87439431937</v>
      </c>
      <c r="V11" s="93">
        <f>(U11+W11*H11)/B11</f>
        <v>-683285.47048374359</v>
      </c>
      <c r="W11" s="9">
        <f t="shared" si="1"/>
        <v>5</v>
      </c>
    </row>
    <row r="12" spans="1:23" x14ac:dyDescent="0.2">
      <c r="A12" s="99">
        <v>6</v>
      </c>
      <c r="B12" s="97">
        <f>C12*B4</f>
        <v>0.55364030246079254</v>
      </c>
      <c r="C12" s="97">
        <f>1/(1-D4*B4/(1-D4*B4/(1-D4*B4/(1-D4*B4/(1-D4*B4)))))</f>
        <v>1.5396522203706724</v>
      </c>
      <c r="D12" s="144">
        <f>C12*D4*C11</f>
        <v>1.5007519062984223</v>
      </c>
      <c r="E12" s="1">
        <f>D12*D4*C10</f>
        <v>1.4314719548295858</v>
      </c>
      <c r="F12" s="1">
        <f>E12*D4*C9</f>
        <v>1.3080870467640682</v>
      </c>
      <c r="G12" s="1">
        <f>F12*D4*C8</f>
        <v>1.0883433082716378</v>
      </c>
      <c r="H12" s="1">
        <f>G12*D4</f>
        <v>0.69698822794861204</v>
      </c>
      <c r="I12" s="1">
        <f>H12*D4</f>
        <v>0.44635969753920529</v>
      </c>
      <c r="J12" s="1"/>
      <c r="K12" s="1"/>
      <c r="L12" s="1"/>
      <c r="M12" s="257"/>
      <c r="N12" s="97">
        <f>B12+I12</f>
        <v>0.99999999999999778</v>
      </c>
      <c r="R12" s="298">
        <f>B12-I12</f>
        <v>0.10728060492158725</v>
      </c>
      <c r="S12" s="299">
        <f>SUM(C12:H12)*B4*F4*POWER(O2,A12-1)</f>
        <v>4829395.03151586</v>
      </c>
      <c r="T12" s="277">
        <f>SUM(C12:H12)*D4*H4*POWER(O2,A12-1)</f>
        <v>-9104452.9603956342</v>
      </c>
      <c r="U12" s="295">
        <f t="shared" si="0"/>
        <v>-4649027.8032740932</v>
      </c>
      <c r="V12" s="93">
        <f>(U12+W12*I12)/B12</f>
        <v>-8397194.1790584158</v>
      </c>
      <c r="W12" s="9">
        <f t="shared" si="1"/>
        <v>6</v>
      </c>
    </row>
    <row r="13" spans="1:23" x14ac:dyDescent="0.2">
      <c r="A13" s="99">
        <v>7</v>
      </c>
      <c r="B13" s="97">
        <f>C13*B4</f>
        <v>0.55711879403968045</v>
      </c>
      <c r="C13" s="97">
        <f>1/(1-D4*B4/(1-D4*B4/(1-D4*B4/(1-D4*B4/(1-D4*B4/(1-D4*B4))))))</f>
        <v>1.5493257706147043</v>
      </c>
      <c r="D13" s="144">
        <f>C13*D4*C12</f>
        <v>1.5276536745510065</v>
      </c>
      <c r="E13" s="1">
        <f>D13*D4*C11</f>
        <v>1.4890565115375602</v>
      </c>
      <c r="F13" s="1">
        <f>E13*D4*C10</f>
        <v>1.4203164603534015</v>
      </c>
      <c r="G13" s="1">
        <f>F13*D4*C9</f>
        <v>1.2978930937667272</v>
      </c>
      <c r="H13" s="1">
        <f>G13*D4*C8</f>
        <v>1.0798618233758603</v>
      </c>
      <c r="I13" s="1">
        <f>H13*D4</f>
        <v>0.69155658236127548</v>
      </c>
      <c r="J13" s="1">
        <f>I13*D4</f>
        <v>0.44288120596031677</v>
      </c>
      <c r="K13" s="1"/>
      <c r="L13" s="1"/>
      <c r="M13" s="257"/>
      <c r="N13" s="97">
        <f>B13+J13</f>
        <v>0.99999999999999722</v>
      </c>
      <c r="R13" s="298">
        <f>B13-J13</f>
        <v>0.11423758807936368</v>
      </c>
      <c r="S13" s="299">
        <f>SUM(C13:I13)*B4*F4*POWER(O2,A13-1)</f>
        <v>57807898.125939801</v>
      </c>
      <c r="T13" s="277">
        <f>SUM(C13:I13)*D4*H4*POWER(O2,A13-1)</f>
        <v>-108980376.58803052</v>
      </c>
      <c r="U13" s="295">
        <f t="shared" si="0"/>
        <v>-55821506.265364811</v>
      </c>
      <c r="V13" s="93">
        <f>(U13+W13*J13)/B13</f>
        <v>-100196769.09557015</v>
      </c>
      <c r="W13" s="9">
        <f t="shared" si="1"/>
        <v>7</v>
      </c>
    </row>
    <row r="14" spans="1:23" x14ac:dyDescent="0.2">
      <c r="A14" s="99">
        <v>8</v>
      </c>
      <c r="B14" s="97">
        <f>C14*B4</f>
        <v>0.5590482841261265</v>
      </c>
      <c r="C14" s="97">
        <f>1/(1-D4*B4/(1-D4*B4/(1-D4*B4/(1-D4*B4/(1-D4*B4/(1-D4*B4/(1-D4*B4)))))))</f>
        <v>1.5546916077522386</v>
      </c>
      <c r="D14" s="144">
        <f>C14*D4*C13</f>
        <v>1.5425758596344108</v>
      </c>
      <c r="E14" s="1">
        <f>D14*D4*C12</f>
        <v>1.5209981818796063</v>
      </c>
      <c r="F14" s="1">
        <f>E14*D4*C11</f>
        <v>1.4825691742143599</v>
      </c>
      <c r="G14" s="1">
        <f>F14*D4*C10</f>
        <v>1.4141286011871352</v>
      </c>
      <c r="H14" s="1">
        <f>G14*D4*C9</f>
        <v>1.2922385935892811</v>
      </c>
      <c r="I14" s="1">
        <f>H14*D4*C8</f>
        <v>1.075157214882895</v>
      </c>
      <c r="J14" s="1">
        <f>I14*D4</f>
        <v>0.68854369413769523</v>
      </c>
      <c r="K14" s="1">
        <f>J14*D4</f>
        <v>0.44095171587387033</v>
      </c>
      <c r="L14" s="1"/>
      <c r="M14" s="257"/>
      <c r="N14" s="97">
        <f>B14+K14</f>
        <v>0.99999999999999689</v>
      </c>
      <c r="R14" s="298">
        <f>B14-K14</f>
        <v>0.11809656825225617</v>
      </c>
      <c r="S14" s="299">
        <f>SUM(C14:J14)*B4*F4*POWER(O2,A14-1)</f>
        <v>674806049.72734094</v>
      </c>
      <c r="T14" s="277">
        <f>SUM(C14:J14)*D4*H4*POWER(O2,A14-1)</f>
        <v>-1272155186.5274863</v>
      </c>
      <c r="U14" s="295">
        <f t="shared" si="0"/>
        <v>-653170643.06551015</v>
      </c>
      <c r="V14" s="93">
        <f>(U14+W14*K14)/B14</f>
        <v>-1168361764.2417002</v>
      </c>
      <c r="W14" s="9">
        <f t="shared" si="1"/>
        <v>8</v>
      </c>
    </row>
    <row r="15" spans="1:23" x14ac:dyDescent="0.2">
      <c r="A15" s="99">
        <v>9</v>
      </c>
      <c r="B15" s="97">
        <f>C15*B4</f>
        <v>0.56012432997107575</v>
      </c>
      <c r="C15" s="97">
        <f>1/(1-D4*B4/(1-D4*B4/(1-D4*B4/(1-D4*B4/(1-D4*B4/(1-D4*B4/(1-D4*B4/(1-D4*B4))))))))</f>
        <v>1.5576840495362507</v>
      </c>
      <c r="D15" s="144">
        <f>C15*D4*C14</f>
        <v>1.5508977242396533</v>
      </c>
      <c r="E15" s="1">
        <f>D15*D4*C13</f>
        <v>1.5388115419449109</v>
      </c>
      <c r="F15" s="1">
        <f>E15*D4*C12</f>
        <v>1.5172865197749605</v>
      </c>
      <c r="G15" s="1">
        <f>F15*D4*C11</f>
        <v>1.4789512896652492</v>
      </c>
      <c r="H15" s="1">
        <f>G15*D4*C10</f>
        <v>1.4106777308293312</v>
      </c>
      <c r="I15" s="1">
        <f>H15*D4*C9</f>
        <v>1.2890851690322187</v>
      </c>
      <c r="J15" s="1">
        <f>I15*D4*C8</f>
        <v>1.0725335297670546</v>
      </c>
      <c r="K15" s="1">
        <f>J15*D4</f>
        <v>0.68686345443236851</v>
      </c>
      <c r="L15" s="1">
        <f>K15*D4</f>
        <v>0.43987567002892058</v>
      </c>
      <c r="M15" s="257"/>
      <c r="N15" s="97">
        <f>B15+L15</f>
        <v>0.99999999999999634</v>
      </c>
      <c r="R15" s="298">
        <f>B15-L15</f>
        <v>0.12024865994215517</v>
      </c>
      <c r="S15" s="299">
        <f>SUM(C15:K15)*B4*F4*POWER(O2,A15-1)</f>
        <v>7725959312.8360806</v>
      </c>
      <c r="T15" s="277">
        <f>SUM(C15:K15)*D4*H4*POWER(O2,A15-1)</f>
        <v>-14565102394.526636</v>
      </c>
      <c r="U15" s="295">
        <f t="shared" si="0"/>
        <v>-7492313724.7560654</v>
      </c>
      <c r="V15" s="93">
        <f>(U15+W15*L15)/B15</f>
        <v>-13376161898.170143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0.56072622471034106</v>
      </c>
      <c r="C16" s="145">
        <f>1/(1-D4*B4/(1-D4*B4/(1-D4*B4/(1-D4*B4/(1-D4*B4/(1-D4*B4/(1-D4*B4/(1-D4*B4/(1-D4*B4)))))))))</f>
        <v>1.5593578954748868</v>
      </c>
      <c r="D16" s="153">
        <f>C16*D4*C15</f>
        <v>1.5555526249116687</v>
      </c>
      <c r="E16" s="111">
        <f>D16*D4*C14</f>
        <v>1.5487755855423762</v>
      </c>
      <c r="F16" s="111">
        <f>E16*D4*C13</f>
        <v>1.5367059411242125</v>
      </c>
      <c r="G16" s="111">
        <f>F16*D4*C12</f>
        <v>1.5152103722713912</v>
      </c>
      <c r="H16" s="111">
        <f>G16*D4*C11</f>
        <v>1.4769275973777869</v>
      </c>
      <c r="I16" s="111">
        <f>H16*D4*C10</f>
        <v>1.4087474592484326</v>
      </c>
      <c r="J16" s="111">
        <f>I16*D4*C9</f>
        <v>1.2873212761084409</v>
      </c>
      <c r="K16" s="111">
        <f>J16*D4*C8</f>
        <v>1.0710659507822691</v>
      </c>
      <c r="L16" s="111">
        <f>K16*D4</f>
        <v>0.68592359908690337</v>
      </c>
      <c r="M16" s="259">
        <f>L16*D4</f>
        <v>0.43927377528965483</v>
      </c>
      <c r="N16" s="145">
        <f>B16+M16</f>
        <v>0.99999999999999589</v>
      </c>
      <c r="R16" s="300">
        <f>B16-M16</f>
        <v>0.12145244942068623</v>
      </c>
      <c r="S16" s="301">
        <f>SUM(C16:L16)*B4*F4*POWER(O2,A16-1)</f>
        <v>87108221516.904144</v>
      </c>
      <c r="T16" s="278">
        <f>SUM(C16:L16)*D4*H4*POWER(O2,A16-1)</f>
        <v>-164217816121.66974</v>
      </c>
      <c r="U16" s="295">
        <f t="shared" si="0"/>
        <v>-84601908329.521667</v>
      </c>
      <c r="V16" s="94">
        <f>(U16+W16*M16)/B16</f>
        <v>-150879171682.81622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10</v>
      </c>
      <c r="D21" s="57">
        <f>SUM($C$21:C21)</f>
        <v>10</v>
      </c>
      <c r="E21" s="57">
        <f t="shared" ref="E21:E30" si="3">D21/R7</f>
        <v>-35.609465685472848</v>
      </c>
      <c r="F21" s="8">
        <f t="shared" ref="F21:F30" si="4">U7/E21</f>
        <v>0.15869041596713285</v>
      </c>
      <c r="G21" s="281">
        <f>E21*U7</f>
        <v>201.22485028447517</v>
      </c>
      <c r="O21" s="101">
        <v>1</v>
      </c>
      <c r="P21" s="109">
        <v>1</v>
      </c>
      <c r="Q21" s="110">
        <f>P21*10+45</f>
        <v>55</v>
      </c>
      <c r="R21" s="57">
        <f>SUM($Q$21)</f>
        <v>55</v>
      </c>
      <c r="S21" s="276">
        <f>R21/R7</f>
        <v>-195.85206127010065</v>
      </c>
      <c r="T21" s="8">
        <f>U7/S21</f>
        <v>2.8852802903115066E-2</v>
      </c>
      <c r="U21" s="281">
        <f>S21*U7</f>
        <v>1106.7366765646134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-1675.2889162501008</v>
      </c>
      <c r="F22" s="9">
        <f t="shared" si="4"/>
        <v>7.5259876545831203E-2</v>
      </c>
      <c r="G22" s="282">
        <f t="shared" ref="G22:G30" si="5">E22*U8</f>
        <v>211223.83915043934</v>
      </c>
      <c r="O22" s="99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77">
        <f t="shared" ref="S22:S30" si="7">R22/R8</f>
        <v>-9899.4345051142318</v>
      </c>
      <c r="T22" s="9">
        <f>U8/S22</f>
        <v>1.2736286800063742E-2</v>
      </c>
      <c r="U22" s="282">
        <f t="shared" ref="U22:U30" si="8">S22*U8</f>
        <v>1248140.8677071417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42376.656268188075</v>
      </c>
      <c r="F23" s="9">
        <f t="shared" si="4"/>
        <v>-4.7972501529058471E-2</v>
      </c>
      <c r="G23" s="282">
        <f t="shared" si="5"/>
        <v>-86148106.599115029</v>
      </c>
      <c r="O23" s="99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77">
        <f t="shared" si="7"/>
        <v>253687.28009199077</v>
      </c>
      <c r="T23" s="9">
        <f t="shared" ref="T23:T30" si="11">U9/S23</f>
        <v>-8.013465266705027E-3</v>
      </c>
      <c r="U23" s="282">
        <f t="shared" si="8"/>
        <v>-515724475.99199939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156153.43804523721</v>
      </c>
      <c r="F24" s="9">
        <f t="shared" si="4"/>
        <v>-0.18339306035378447</v>
      </c>
      <c r="G24" s="282">
        <f t="shared" si="5"/>
        <v>-4471837349.9148979</v>
      </c>
      <c r="O24" s="99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77">
        <f t="shared" si="7"/>
        <v>936639.52397251199</v>
      </c>
      <c r="T24" s="9">
        <f t="shared" si="11"/>
        <v>-3.0574683381310707E-2</v>
      </c>
      <c r="U24" s="282">
        <f t="shared" si="8"/>
        <v>-26822973987.248318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1174325.4536794864</v>
      </c>
      <c r="F25" s="9">
        <f t="shared" si="4"/>
        <v>-0.31845505283272907</v>
      </c>
      <c r="G25" s="282">
        <f t="shared" si="5"/>
        <v>-439162342410.56964</v>
      </c>
      <c r="O25" s="99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77">
        <f t="shared" si="7"/>
        <v>7045688.4962075818</v>
      </c>
      <c r="T25" s="9">
        <f t="shared" si="11"/>
        <v>-5.3077832577414219E-2</v>
      </c>
      <c r="U25" s="282">
        <f t="shared" si="8"/>
        <v>-2634875241948.2505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10357044.507831814</v>
      </c>
      <c r="F26" s="9">
        <f t="shared" si="4"/>
        <v>-0.44887591240518282</v>
      </c>
      <c r="G26" s="282">
        <f t="shared" si="5"/>
        <v>-48150187876657.352</v>
      </c>
      <c r="O26" s="99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77">
        <f t="shared" si="7"/>
        <v>62141987.406509534</v>
      </c>
      <c r="T26" s="9">
        <f t="shared" si="11"/>
        <v>-7.4812988726316393E-2</v>
      </c>
      <c r="U26" s="282">
        <f t="shared" si="8"/>
        <v>-288899827203571.38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97263170.439845398</v>
      </c>
      <c r="F27" s="9">
        <f t="shared" si="4"/>
        <v>-0.57392233887634658</v>
      </c>
      <c r="G27" s="282">
        <f t="shared" si="5"/>
        <v>-5429376678097075</v>
      </c>
      <c r="O27" s="99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77">
        <f t="shared" si="7"/>
        <v>583578716.26005483</v>
      </c>
      <c r="T27" s="9">
        <f t="shared" si="11"/>
        <v>-9.5653773364293815E-2</v>
      </c>
      <c r="U27" s="282">
        <f t="shared" si="8"/>
        <v>-3.2576242966044204E+16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940849608.45487797</v>
      </c>
      <c r="F28" s="9">
        <f t="shared" si="4"/>
        <v>-0.69423490980475377</v>
      </c>
      <c r="G28" s="282">
        <f t="shared" si="5"/>
        <v>-6.1453534378240614E+17</v>
      </c>
      <c r="O28" s="99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77">
        <f t="shared" si="7"/>
        <v>5645097312.023406</v>
      </c>
      <c r="T28" s="9">
        <f t="shared" si="11"/>
        <v>-0.11570582524314188</v>
      </c>
      <c r="U28" s="282">
        <f t="shared" si="8"/>
        <v>-3.6872118414617108E+18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9240112201.9529591</v>
      </c>
      <c r="F29" s="9">
        <f t="shared" si="4"/>
        <v>-0.81084661755216725</v>
      </c>
      <c r="G29" s="282">
        <f t="shared" si="5"/>
        <v>-6.9229819468978143E+19</v>
      </c>
      <c r="O29" s="99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77">
        <f t="shared" si="7"/>
        <v>55440672837.49321</v>
      </c>
      <c r="T29" s="9">
        <f t="shared" si="11"/>
        <v>-0.13514110383756367</v>
      </c>
      <c r="U29" s="282">
        <f t="shared" si="8"/>
        <v>-4.1537891401006114E+20</v>
      </c>
    </row>
    <row r="30" spans="1:21" ht="17" thickBot="1" x14ac:dyDescent="0.25">
      <c r="A30" s="145">
        <v>10</v>
      </c>
      <c r="B30" s="94">
        <f t="shared" si="9"/>
        <v>1000000000</v>
      </c>
      <c r="C30" s="111">
        <f t="shared" si="2"/>
        <v>10000000000</v>
      </c>
      <c r="D30" s="10">
        <f>SUM($C$21:C30)</f>
        <v>11111111110</v>
      </c>
      <c r="E30" s="10">
        <f t="shared" si="3"/>
        <v>91485278090.303497</v>
      </c>
      <c r="F30" s="10">
        <f t="shared" si="4"/>
        <v>-0.92475980939810476</v>
      </c>
      <c r="G30" s="283">
        <f t="shared" si="5"/>
        <v>-7.7398291104966535E+21</v>
      </c>
      <c r="O30" s="100">
        <v>10</v>
      </c>
      <c r="P30" s="94">
        <f t="shared" si="10"/>
        <v>5999999995</v>
      </c>
      <c r="Q30" s="111">
        <f t="shared" si="6"/>
        <v>59999999995</v>
      </c>
      <c r="R30" s="10">
        <f>SUM($Q$21:Q30)</f>
        <v>66666666610</v>
      </c>
      <c r="S30" s="278">
        <f t="shared" si="7"/>
        <v>548911668130.13727</v>
      </c>
      <c r="T30" s="10">
        <f t="shared" si="11"/>
        <v>-0.1541266350152791</v>
      </c>
      <c r="U30" s="283">
        <f t="shared" si="8"/>
        <v>-4.6438974628150693E+22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10</v>
      </c>
      <c r="D33" s="57">
        <f>SUM($C$33:C33)</f>
        <v>10</v>
      </c>
      <c r="E33" s="9">
        <f t="shared" ref="E33:E42" si="13">D33/R7</f>
        <v>-35.609465685472848</v>
      </c>
      <c r="F33" s="8">
        <f t="shared" ref="F33:F42" si="14">U7/E33</f>
        <v>0.15869041596713285</v>
      </c>
      <c r="G33" s="284">
        <f>E33*U7</f>
        <v>201.22485028447517</v>
      </c>
      <c r="O33" s="101">
        <v>1</v>
      </c>
      <c r="P33" s="109">
        <v>1</v>
      </c>
      <c r="Q33" s="110">
        <f>P33*10+45</f>
        <v>55</v>
      </c>
      <c r="R33" s="57">
        <f>SUM($Q$21)</f>
        <v>55</v>
      </c>
      <c r="S33" s="276">
        <f>R33/R7</f>
        <v>-195.85206127010065</v>
      </c>
      <c r="T33" s="8">
        <f>U7/S33</f>
        <v>2.8852802903115066E-2</v>
      </c>
      <c r="U33" s="284">
        <f>S33*U7</f>
        <v>1106.7366765646134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-1827.5879086364737</v>
      </c>
      <c r="F34" s="9">
        <f t="shared" si="14"/>
        <v>6.8988220167011935E-2</v>
      </c>
      <c r="G34" s="282">
        <f t="shared" ref="G34:G42" si="16">E34*U8</f>
        <v>230426.00634593386</v>
      </c>
      <c r="O34" s="99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77">
        <f>R34/R8</f>
        <v>-10051.733497500605</v>
      </c>
      <c r="T34" s="9">
        <f t="shared" ref="T34:T42" si="18">U8/S34</f>
        <v>1.2543312757638533E-2</v>
      </c>
      <c r="U34" s="282">
        <f t="shared" ref="U34:U42" si="19">S34*U8</f>
        <v>1267343.0349026362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50775.633186207335</v>
      </c>
      <c r="F35" s="9">
        <f t="shared" si="14"/>
        <v>-4.0037200524251811E-2</v>
      </c>
      <c r="G35" s="282">
        <f t="shared" si="16"/>
        <v>-103222506.10524593</v>
      </c>
      <c r="O35" s="99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77">
        <f t="shared" ref="S35:S42" si="21">R35/R9</f>
        <v>258268.54022909221</v>
      </c>
      <c r="T35" s="9">
        <f t="shared" si="18"/>
        <v>-7.8713195413532746E-3</v>
      </c>
      <c r="U35" s="282">
        <f t="shared" si="19"/>
        <v>-525037784.81352538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205768.34680308489</v>
      </c>
      <c r="F36" s="9">
        <f t="shared" si="14"/>
        <v>-0.13917328555536512</v>
      </c>
      <c r="G36" s="282">
        <f t="shared" si="16"/>
        <v>-5892682160.4639168</v>
      </c>
      <c r="O36" s="99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77">
        <f t="shared" si="21"/>
        <v>953927.43835555809</v>
      </c>
      <c r="T36" s="9">
        <f t="shared" si="18"/>
        <v>-3.0020582002807505E-2</v>
      </c>
      <c r="U36" s="282">
        <f t="shared" si="19"/>
        <v>-27318055890.074181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1702143.0502662342</v>
      </c>
      <c r="F37" s="9">
        <f t="shared" si="14"/>
        <v>-0.21970531462430629</v>
      </c>
      <c r="G37" s="282">
        <f t="shared" si="16"/>
        <v>-636550222709.22729</v>
      </c>
      <c r="O37" s="99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77">
        <f t="shared" si="21"/>
        <v>7176110.3853121158</v>
      </c>
      <c r="T37" s="9">
        <f t="shared" si="18"/>
        <v>-5.2113171943362464E-2</v>
      </c>
      <c r="U37" s="282">
        <f t="shared" si="19"/>
        <v>-2683649099434.9429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16513329.704794781</v>
      </c>
      <c r="F38" s="9">
        <f t="shared" si="14"/>
        <v>-0.28153182225412782</v>
      </c>
      <c r="G38" s="282">
        <f t="shared" si="16"/>
        <v>-76770928922222.906</v>
      </c>
      <c r="O38" s="99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77">
        <f t="shared" si="21"/>
        <v>63292707.987272769</v>
      </c>
      <c r="T38" s="9">
        <f t="shared" si="18"/>
        <v>-7.3452818675556503E-2</v>
      </c>
      <c r="U38" s="282">
        <f t="shared" si="19"/>
        <v>-294249559177339.38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170584571.39747891</v>
      </c>
      <c r="F39" s="9">
        <f t="shared" si="14"/>
        <v>-0.3272365478780328</v>
      </c>
      <c r="G39" s="282">
        <f t="shared" si="16"/>
        <v>-9522287721038940</v>
      </c>
      <c r="O39" s="99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77">
        <f t="shared" si="21"/>
        <v>594385667.11358929</v>
      </c>
      <c r="T39" s="9">
        <f t="shared" si="18"/>
        <v>-9.3914623709621045E-2</v>
      </c>
      <c r="U39" s="282">
        <f t="shared" si="19"/>
        <v>-3.3179503240824268E+16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1815115233.002588</v>
      </c>
      <c r="F40" s="9">
        <f t="shared" si="14"/>
        <v>-0.35985078588372954</v>
      </c>
      <c r="G40" s="282">
        <f t="shared" si="16"/>
        <v>-1.1855799839783037E+18</v>
      </c>
      <c r="O40" s="99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77">
        <f t="shared" si="21"/>
        <v>5749636082.1393118</v>
      </c>
      <c r="T40" s="9">
        <f t="shared" si="18"/>
        <v>-0.11360208432921895</v>
      </c>
      <c r="U40" s="282">
        <f t="shared" si="19"/>
        <v>-3.7554934971635948E+18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19608931119.351147</v>
      </c>
      <c r="F41" s="9">
        <f t="shared" si="14"/>
        <v>-0.38208679907913223</v>
      </c>
      <c r="G41" s="282">
        <f t="shared" si="16"/>
        <v>-1.4691626375331091E+20</v>
      </c>
      <c r="O41" s="99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77">
        <f t="shared" si="21"/>
        <v>56467351887.88253</v>
      </c>
      <c r="T41" s="9">
        <f t="shared" si="18"/>
        <v>-0.13268399303782227</v>
      </c>
      <c r="U41" s="282">
        <f t="shared" si="19"/>
        <v>-4.2307111555021262E+20</v>
      </c>
    </row>
    <row r="42" spans="1:21" ht="17" thickBot="1" x14ac:dyDescent="0.25">
      <c r="A42" s="145">
        <v>10</v>
      </c>
      <c r="B42" s="94">
        <f t="shared" si="15"/>
        <v>2357947691</v>
      </c>
      <c r="C42" s="111">
        <f t="shared" si="12"/>
        <v>23579476910</v>
      </c>
      <c r="D42" s="10">
        <f>SUM($C$33:C42)</f>
        <v>25937424600</v>
      </c>
      <c r="E42" s="9">
        <f t="shared" si="13"/>
        <v>213560325244.31116</v>
      </c>
      <c r="F42" s="10">
        <f t="shared" si="14"/>
        <v>-0.39614993202851617</v>
      </c>
      <c r="G42" s="283">
        <f t="shared" si="16"/>
        <v>-1.8067611059142045E+22</v>
      </c>
      <c r="O42" s="100">
        <v>10</v>
      </c>
      <c r="P42" s="94">
        <f t="shared" si="20"/>
        <v>6111111106</v>
      </c>
      <c r="Q42" s="111">
        <f t="shared" si="17"/>
        <v>61111111105</v>
      </c>
      <c r="R42" s="10">
        <f>SUM($Q$33:Q42)</f>
        <v>67901234500</v>
      </c>
      <c r="S42" s="278">
        <f t="shared" si="21"/>
        <v>559076698937.57458</v>
      </c>
      <c r="T42" s="10">
        <f t="shared" si="18"/>
        <v>-0.15132433258315447</v>
      </c>
      <c r="U42" s="283">
        <f t="shared" si="19"/>
        <v>-4.7298955632688272E+22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10</v>
      </c>
      <c r="D45" s="57">
        <f>SUM(C45:C45)</f>
        <v>10</v>
      </c>
      <c r="E45" s="57">
        <f t="shared" ref="E45:E54" si="23">D45/R7</f>
        <v>-35.609465685472848</v>
      </c>
      <c r="F45" s="8">
        <f t="shared" ref="F45:F54" si="24">U7/E45</f>
        <v>0.15869041596713285</v>
      </c>
      <c r="G45" s="281">
        <f>E45*U7</f>
        <v>201.22485028447517</v>
      </c>
      <c r="O45" s="101">
        <v>1</v>
      </c>
      <c r="P45" s="109">
        <v>1</v>
      </c>
      <c r="Q45" s="110">
        <f>P45*10+45</f>
        <v>55</v>
      </c>
      <c r="R45" s="57">
        <f>SUM($Q$21)</f>
        <v>55</v>
      </c>
      <c r="S45" s="276">
        <f>R45/R7</f>
        <v>-195.85206127010065</v>
      </c>
      <c r="T45" s="8">
        <f>U7/S45</f>
        <v>2.8852802903115066E-2</v>
      </c>
      <c r="U45" s="284">
        <f>S45*U7</f>
        <v>1106.7366765646134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-3198.2788401138287</v>
      </c>
      <c r="F46" s="9">
        <f t="shared" si="24"/>
        <v>3.9421840095435395E-2</v>
      </c>
      <c r="G46" s="282">
        <f t="shared" ref="G46:G54" si="26">E46*U8</f>
        <v>403245.51110538421</v>
      </c>
      <c r="O46" s="99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77">
        <f t="shared" ref="S46:S54" si="28">R46/R8</f>
        <v>-18275.879086364737</v>
      </c>
      <c r="T46" s="9">
        <f t="shared" ref="T46:T54" si="29">U8/S46</f>
        <v>6.8988220167011931E-3</v>
      </c>
      <c r="U46" s="282">
        <f t="shared" ref="U46:U54" si="30">S46*U8</f>
        <v>2304260.0634593386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160725.87647664125</v>
      </c>
      <c r="F47" s="9">
        <f t="shared" si="24"/>
        <v>-1.2648331757067675E-2</v>
      </c>
      <c r="G47" s="282">
        <f t="shared" si="26"/>
        <v>-326741917.82186866</v>
      </c>
      <c r="O47" s="99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77">
        <f t="shared" si="28"/>
        <v>921787.71675261355</v>
      </c>
      <c r="T47" s="9">
        <f t="shared" si="29"/>
        <v>-2.205403880606954E-3</v>
      </c>
      <c r="U47" s="282">
        <f t="shared" si="30"/>
        <v>-1873915345.7978668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1183589.650566105</v>
      </c>
      <c r="F48" s="9">
        <f t="shared" si="24"/>
        <v>-2.4195426915218445E-2</v>
      </c>
      <c r="G48" s="282">
        <f t="shared" si="26"/>
        <v>-33894997591.029129</v>
      </c>
      <c r="O48" s="99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77">
        <f t="shared" si="28"/>
        <v>6789933.7880534343</v>
      </c>
      <c r="T48" s="9">
        <f t="shared" si="29"/>
        <v>-4.2176341893447296E-3</v>
      </c>
      <c r="U48" s="282">
        <f t="shared" si="30"/>
        <v>-194446436126.94766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17800474.055814307</v>
      </c>
      <c r="F49" s="9">
        <f t="shared" si="24"/>
        <v>-2.1008983986702683E-2</v>
      </c>
      <c r="G49" s="282">
        <f t="shared" si="26"/>
        <v>-6656841046812.2168</v>
      </c>
      <c r="O49" s="99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77">
        <f t="shared" si="28"/>
        <v>102118383.89741765</v>
      </c>
      <c r="T49" s="9">
        <f t="shared" si="29"/>
        <v>-3.6621209631557462E-3</v>
      </c>
      <c r="U49" s="282">
        <f t="shared" si="30"/>
        <v>-38189199199468.164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313982289.94532806</v>
      </c>
      <c r="F50" s="9">
        <f t="shared" si="24"/>
        <v>-1.4806656146382021E-2</v>
      </c>
      <c r="G50" s="282">
        <f t="shared" si="26"/>
        <v>-1459712395691498</v>
      </c>
      <c r="O50" s="99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77">
        <f t="shared" si="28"/>
        <v>1801266688.8040226</v>
      </c>
      <c r="T50" s="9">
        <f t="shared" si="29"/>
        <v>-2.580976949260569E-3</v>
      </c>
      <c r="U50" s="282">
        <f t="shared" si="30"/>
        <v>-8374138917361365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5897220182.3096514</v>
      </c>
      <c r="F51" s="9">
        <f t="shared" si="24"/>
        <v>-9.46573208048377E-3</v>
      </c>
      <c r="G51" s="282">
        <f t="shared" si="26"/>
        <v>-3.2919171335503405E+17</v>
      </c>
      <c r="O51" s="99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77">
        <f t="shared" si="28"/>
        <v>33831420900.754784</v>
      </c>
      <c r="T51" s="9">
        <f t="shared" si="29"/>
        <v>-1.6499900027586315E-3</v>
      </c>
      <c r="U51" s="282">
        <f t="shared" si="30"/>
        <v>-1.8885208737776771E+18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114090395761.71251</v>
      </c>
      <c r="F52" s="9">
        <f t="shared" si="24"/>
        <v>-5.7250274109813112E-3</v>
      </c>
      <c r="G52" s="282">
        <f t="shared" si="26"/>
        <v>-7.4520497167276311E+19</v>
      </c>
      <c r="O52" s="99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77">
        <f t="shared" si="28"/>
        <v>654518586051.48999</v>
      </c>
      <c r="T52" s="9">
        <f t="shared" si="29"/>
        <v>-9.9794055812209769E-4</v>
      </c>
      <c r="U52" s="282">
        <f t="shared" si="30"/>
        <v>-4.2751232574958017E+20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2240970372057.606</v>
      </c>
      <c r="F53" s="9">
        <f t="shared" si="24"/>
        <v>-3.3433345742437462E-3</v>
      </c>
      <c r="G53" s="282">
        <f t="shared" si="26"/>
        <v>-1.6790053075338907E+22</v>
      </c>
      <c r="O53" s="99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77">
        <f t="shared" si="28"/>
        <v>12856093186890.055</v>
      </c>
      <c r="T53" s="9">
        <f t="shared" si="29"/>
        <v>-5.8278309093125744E-4</v>
      </c>
      <c r="U53" s="282">
        <f t="shared" si="30"/>
        <v>-9.6321883430879305E+22</v>
      </c>
    </row>
    <row r="54" spans="1:21" ht="17" thickBot="1" x14ac:dyDescent="0.25">
      <c r="A54" s="145">
        <v>10</v>
      </c>
      <c r="B54" s="94">
        <f t="shared" si="25"/>
        <v>512000000000</v>
      </c>
      <c r="C54" s="111">
        <f t="shared" si="22"/>
        <v>5120000000000</v>
      </c>
      <c r="D54" s="10">
        <f>SUM($C$45:C54)</f>
        <v>5389473684210</v>
      </c>
      <c r="E54" s="10">
        <f t="shared" si="23"/>
        <v>44375174892866.719</v>
      </c>
      <c r="F54" s="10">
        <f t="shared" si="24"/>
        <v>-1.9065143638030229E-3</v>
      </c>
      <c r="G54" s="283">
        <f t="shared" si="26"/>
        <v>-3.7542244783928017E+24</v>
      </c>
      <c r="O54" s="100">
        <v>10</v>
      </c>
      <c r="P54" s="94">
        <f t="shared" si="31"/>
        <v>2937263157890</v>
      </c>
      <c r="Q54" s="111">
        <f t="shared" si="27"/>
        <v>29372631578945</v>
      </c>
      <c r="R54" s="10">
        <f>SUM($Q$45:Q54)</f>
        <v>30918559556760</v>
      </c>
      <c r="S54" s="278">
        <f t="shared" si="28"/>
        <v>254573371753619.31</v>
      </c>
      <c r="T54" s="10">
        <f t="shared" si="29"/>
        <v>-3.323281918558274E-4</v>
      </c>
      <c r="U54" s="283">
        <f t="shared" si="30"/>
        <v>-2.1537393060236941E+25</v>
      </c>
    </row>
  </sheetData>
  <mergeCells count="2">
    <mergeCell ref="A18:F18"/>
    <mergeCell ref="O18:T18"/>
  </mergeCells>
  <conditionalFormatting sqref="F45:F54">
    <cfRule type="cellIs" dxfId="323" priority="63" operator="equal">
      <formula>MAX($F$45:$F$54)</formula>
    </cfRule>
  </conditionalFormatting>
  <conditionalFormatting sqref="F21:F30">
    <cfRule type="cellIs" dxfId="322" priority="61" operator="equal">
      <formula>MAX($F$21:$F$30)</formula>
    </cfRule>
  </conditionalFormatting>
  <conditionalFormatting sqref="E33:E42">
    <cfRule type="cellIs" dxfId="321" priority="59" stopIfTrue="1" operator="lessThan">
      <formula>0</formula>
    </cfRule>
    <cfRule type="cellIs" dxfId="320" priority="60" operator="equal">
      <formula>MIN($E$33:$E$42)</formula>
    </cfRule>
  </conditionalFormatting>
  <conditionalFormatting sqref="E21:E30">
    <cfRule type="cellIs" dxfId="319" priority="55" stopIfTrue="1" operator="lessThan">
      <formula>0</formula>
    </cfRule>
    <cfRule type="cellIs" dxfId="318" priority="56" operator="equal">
      <formula>MIN($E$21:$E$30)</formula>
    </cfRule>
  </conditionalFormatting>
  <conditionalFormatting sqref="E45:E54">
    <cfRule type="cellIs" dxfId="317" priority="51" stopIfTrue="1" operator="lessThan">
      <formula>0</formula>
    </cfRule>
    <cfRule type="cellIs" dxfId="316" priority="52" operator="equal">
      <formula>MIN($E$45:$E$54)</formula>
    </cfRule>
  </conditionalFormatting>
  <conditionalFormatting sqref="F33:F42">
    <cfRule type="cellIs" dxfId="315" priority="41" operator="lessThanOrEqual">
      <formula>0</formula>
    </cfRule>
    <cfRule type="cellIs" dxfId="314" priority="42" operator="equal">
      <formula>MAX($F$33:$F$42)</formula>
    </cfRule>
  </conditionalFormatting>
  <conditionalFormatting sqref="R7:R16">
    <cfRule type="cellIs" dxfId="313" priority="27" operator="lessThanOrEqual">
      <formula>0</formula>
    </cfRule>
    <cfRule type="cellIs" dxfId="312" priority="28" operator="greaterThan">
      <formula>0</formula>
    </cfRule>
  </conditionalFormatting>
  <conditionalFormatting sqref="T21:T30">
    <cfRule type="cellIs" dxfId="311" priority="19" operator="equal">
      <formula>MAX($T$21:$T$30)</formula>
    </cfRule>
  </conditionalFormatting>
  <conditionalFormatting sqref="S33:S42">
    <cfRule type="cellIs" dxfId="310" priority="17" stopIfTrue="1" operator="lessThan">
      <formula>0</formula>
    </cfRule>
    <cfRule type="cellIs" dxfId="309" priority="18" operator="equal">
      <formula>MIN($E$21:$E$30)</formula>
    </cfRule>
  </conditionalFormatting>
  <conditionalFormatting sqref="T33:T42">
    <cfRule type="cellIs" dxfId="308" priority="16" operator="equal">
      <formula>MAX($T$21:$T$30)</formula>
    </cfRule>
  </conditionalFormatting>
  <conditionalFormatting sqref="S45:S54">
    <cfRule type="cellIs" dxfId="307" priority="14" stopIfTrue="1" operator="lessThan">
      <formula>0</formula>
    </cfRule>
    <cfRule type="cellIs" dxfId="306" priority="15" operator="equal">
      <formula>MIN($E$21:$E$30)</formula>
    </cfRule>
  </conditionalFormatting>
  <conditionalFormatting sqref="T45:T54">
    <cfRule type="cellIs" dxfId="305" priority="13" operator="equal">
      <formula>MAX($T$21:$T$30)</formula>
    </cfRule>
  </conditionalFormatting>
  <conditionalFormatting sqref="S21:S30">
    <cfRule type="cellIs" dxfId="304" priority="11" stopIfTrue="1" operator="lessThan">
      <formula>0</formula>
    </cfRule>
    <cfRule type="cellIs" dxfId="303" priority="12" operator="equal">
      <formula>MIN($E$21:$E$30)</formula>
    </cfRule>
  </conditionalFormatting>
  <conditionalFormatting sqref="U7:U16">
    <cfRule type="cellIs" dxfId="302" priority="7" operator="lessThanOrEqual">
      <formula>0</formula>
    </cfRule>
    <cfRule type="cellIs" dxfId="301" priority="8" operator="greaterThan">
      <formula>0</formula>
    </cfRule>
  </conditionalFormatting>
  <conditionalFormatting sqref="S7:T16">
    <cfRule type="cellIs" dxfId="300" priority="1" operator="lessThanOrEqual">
      <formula>0</formula>
    </cfRule>
    <cfRule type="cellIs" dxfId="299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32FE-DE9E-DE45-9F04-E65736F466C5}">
  <sheetPr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1.0000000000000004</v>
      </c>
    </row>
    <row r="2" spans="1:23" x14ac:dyDescent="0.2">
      <c r="A2" t="s">
        <v>40</v>
      </c>
      <c r="B2" s="149" t="s">
        <v>125</v>
      </c>
      <c r="C2" s="155">
        <f>Analysis!B57</f>
        <v>0.20868360504437705</v>
      </c>
      <c r="D2" s="149" t="s">
        <v>126</v>
      </c>
      <c r="E2" s="155">
        <f>Analysis!J57</f>
        <v>0.79131639495562334</v>
      </c>
      <c r="F2" s="149" t="s">
        <v>47</v>
      </c>
      <c r="G2" s="155">
        <f>Analysis!S57</f>
        <v>7.7690510662519916</v>
      </c>
      <c r="H2" t="s">
        <v>155</v>
      </c>
      <c r="I2" s="169">
        <f>Analysis!T57</f>
        <v>-8.2238396631172108</v>
      </c>
      <c r="J2" t="s">
        <v>48</v>
      </c>
      <c r="K2" s="169">
        <f>C2*G2+E2*I2</f>
        <v>-4.8863855706316528</v>
      </c>
      <c r="L2" t="s">
        <v>47</v>
      </c>
      <c r="M2" s="176">
        <v>3</v>
      </c>
      <c r="N2" t="s">
        <v>155</v>
      </c>
      <c r="O2" s="176">
        <v>10</v>
      </c>
    </row>
    <row r="4" spans="1:23" x14ac:dyDescent="0.2">
      <c r="A4" t="s">
        <v>123</v>
      </c>
      <c r="B4">
        <f>$C$2</f>
        <v>0.20868360504437705</v>
      </c>
      <c r="C4" t="s">
        <v>124</v>
      </c>
      <c r="D4">
        <f>$E$2</f>
        <v>0.79131639495562334</v>
      </c>
      <c r="E4" t="s">
        <v>47</v>
      </c>
      <c r="F4">
        <f>G2</f>
        <v>7.7690510662519916</v>
      </c>
      <c r="G4" t="s">
        <v>155</v>
      </c>
      <c r="H4">
        <f>I2</f>
        <v>-8.2238396631172108</v>
      </c>
      <c r="I4" t="s">
        <v>48</v>
      </c>
      <c r="J4">
        <f>K2</f>
        <v>-4.8863855706316528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263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0.20868360504437705</v>
      </c>
      <c r="C7" s="95">
        <v>1</v>
      </c>
      <c r="D7" s="22">
        <f>C7*D4</f>
        <v>0.79131639495562334</v>
      </c>
      <c r="E7" s="2"/>
      <c r="F7" s="2"/>
      <c r="G7" s="2"/>
      <c r="H7" s="2"/>
      <c r="I7" s="2"/>
      <c r="J7" s="2"/>
      <c r="K7" s="2"/>
      <c r="L7" s="2"/>
      <c r="M7" s="256"/>
      <c r="N7" s="96">
        <f>B7+D7</f>
        <v>1.0000000000000004</v>
      </c>
      <c r="R7" s="296">
        <f>B7-D7</f>
        <v>-0.58263278991124623</v>
      </c>
      <c r="S7" s="297">
        <f>SUM(C7)*B4*F4*POWER(O2,A7-1)</f>
        <v>1.6212735842793271</v>
      </c>
      <c r="T7" s="276">
        <f>SUM(C7)*D4*H4*POWER(O2,A7-1)</f>
        <v>-6.5076591549109795</v>
      </c>
      <c r="U7" s="294">
        <f>S7+T7</f>
        <v>-4.8863855706316528</v>
      </c>
      <c r="V7" s="109">
        <f>(U7+W7*D7)/B7</f>
        <v>-19.623339240306894</v>
      </c>
      <c r="W7" s="57">
        <f>COUNT(D7:M7)</f>
        <v>1</v>
      </c>
    </row>
    <row r="8" spans="1:23" x14ac:dyDescent="0.2">
      <c r="A8" s="99">
        <v>2</v>
      </c>
      <c r="B8" s="97">
        <f>C8*B4</f>
        <v>0.24996082547641957</v>
      </c>
      <c r="C8" s="97">
        <f>1/(1-B4*D4)</f>
        <v>1.1977980992961321</v>
      </c>
      <c r="D8" s="144">
        <f>C8*D4</f>
        <v>0.94783727381971306</v>
      </c>
      <c r="E8" s="1">
        <f>D8*D4</f>
        <v>0.75003917452358138</v>
      </c>
      <c r="F8" s="1"/>
      <c r="G8" s="1"/>
      <c r="H8" s="1"/>
      <c r="I8" s="1"/>
      <c r="J8" s="1"/>
      <c r="K8" s="1"/>
      <c r="L8" s="1"/>
      <c r="M8" s="257"/>
      <c r="N8" s="97">
        <f>B8+E8</f>
        <v>1.0000000000000009</v>
      </c>
      <c r="R8" s="298">
        <f>B8-E8</f>
        <v>-0.50007834904716186</v>
      </c>
      <c r="S8" s="299">
        <f>SUM(C8:D8)*B4*F4*POWER(O2,A8-1)</f>
        <v>34.786619519280379</v>
      </c>
      <c r="T8" s="277">
        <f>SUM(C8:D8)*D4*H4*POWER(O2,A8-1)</f>
        <v>-139.63063678958164</v>
      </c>
      <c r="U8" s="295">
        <f>S8+T8+U7</f>
        <v>-109.73040284093292</v>
      </c>
      <c r="V8" s="93">
        <f>(U8+W8*E8)/B8</f>
        <v>-432.98914654166816</v>
      </c>
      <c r="W8" s="9">
        <f>COUNT(D8:M8)</f>
        <v>2</v>
      </c>
    </row>
    <row r="9" spans="1:23" x14ac:dyDescent="0.2">
      <c r="A9" s="99">
        <v>3</v>
      </c>
      <c r="B9" s="97">
        <f>C9*B4</f>
        <v>0.26013850735241828</v>
      </c>
      <c r="C9" s="97">
        <f>1/(1-D4*B4/(1-D4*B4))</f>
        <v>1.2465689736244456</v>
      </c>
      <c r="D9" s="144">
        <f>C9*D4*C8</f>
        <v>1.1815445375884324</v>
      </c>
      <c r="E9" s="1">
        <f>D9*(D4)</f>
        <v>0.93497556396398729</v>
      </c>
      <c r="F9" s="1">
        <f>E9*D4</f>
        <v>0.73986149264758327</v>
      </c>
      <c r="G9" s="1"/>
      <c r="H9" s="1"/>
      <c r="I9" s="1"/>
      <c r="J9" s="1"/>
      <c r="K9" s="1"/>
      <c r="L9" s="1"/>
      <c r="M9" s="257"/>
      <c r="N9" s="97">
        <f>B9+F9</f>
        <v>1.0000000000000016</v>
      </c>
      <c r="R9" s="298">
        <f>B9-F9</f>
        <v>-0.47972298529516499</v>
      </c>
      <c r="S9" s="299">
        <f>SUM(C9:E9)*B4*F4*POWER(O2,A9-1)</f>
        <v>545.24874791626439</v>
      </c>
      <c r="T9" s="277">
        <f>SUM(C9:E9)*D4*H4*POWER(O2,A9-1)</f>
        <v>-2188.5837408855823</v>
      </c>
      <c r="U9" s="295">
        <f t="shared" ref="U9:U16" si="0">S9+T9+U8</f>
        <v>-1753.0653958102507</v>
      </c>
      <c r="V9" s="93">
        <f>(U9+W9*F9)/B9</f>
        <v>-6730.4369089824095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0.26277667360102747</v>
      </c>
      <c r="C10" s="97">
        <f>1/(1-D4*B4/(1-D4*B4/(1-D4*B4)))</f>
        <v>1.259210916665674</v>
      </c>
      <c r="D10" s="144">
        <f>C10*D4*C9</f>
        <v>1.2421240116613483</v>
      </c>
      <c r="E10" s="1">
        <f>D10*D4*C8</f>
        <v>1.1773314369590979</v>
      </c>
      <c r="F10" s="1">
        <f>E10*D4</f>
        <v>0.93164166836239704</v>
      </c>
      <c r="G10" s="1">
        <f>F10*D4</f>
        <v>0.73722332639897448</v>
      </c>
      <c r="H10" s="1"/>
      <c r="I10" s="1"/>
      <c r="J10" s="1"/>
      <c r="K10" s="1"/>
      <c r="L10" s="1"/>
      <c r="M10" s="257"/>
      <c r="N10" s="97">
        <f>B10+G10</f>
        <v>1.000000000000002</v>
      </c>
      <c r="R10" s="298">
        <f>B10-G10</f>
        <v>-0.47444665279794701</v>
      </c>
      <c r="S10" s="299">
        <f>SUM(C10:F10)*B4*F4*POWER(O2,A10-1)</f>
        <v>7474.5706303451088</v>
      </c>
      <c r="T10" s="277">
        <f>SUM(C10:F10)*D4*H4*POWER(O2,A10-1)</f>
        <v>-30002.313282132414</v>
      </c>
      <c r="U10" s="295">
        <f t="shared" si="0"/>
        <v>-24280.808047597558</v>
      </c>
      <c r="V10" s="93">
        <f>(U10+W10*G10)/B10</f>
        <v>-92389.704236658843</v>
      </c>
      <c r="W10" s="9">
        <f t="shared" si="1"/>
        <v>4</v>
      </c>
    </row>
    <row r="11" spans="1:23" x14ac:dyDescent="0.2">
      <c r="A11" s="99">
        <v>5</v>
      </c>
      <c r="B11" s="97">
        <f>C11*B4</f>
        <v>0.26346927086784355</v>
      </c>
      <c r="C11" s="97">
        <f>1/(1-D4*B4/(1-D4*B4/(1-D4*B4/(1-D4*B4))))</f>
        <v>1.2625298034879942</v>
      </c>
      <c r="D11" s="144">
        <f>C11*D4*C10</f>
        <v>1.2580279290851168</v>
      </c>
      <c r="E11" s="1">
        <f>D11*D4*C9</f>
        <v>1.2409570766706655</v>
      </c>
      <c r="F11" s="1">
        <f>E11*D4*C8</f>
        <v>1.1762253724788041</v>
      </c>
      <c r="G11" s="1">
        <f>F11*D4</f>
        <v>0.93076642140526256</v>
      </c>
      <c r="H11" s="1">
        <f>G11*D4</f>
        <v>0.73653072913215889</v>
      </c>
      <c r="I11" s="1"/>
      <c r="J11" s="1"/>
      <c r="K11" s="1"/>
      <c r="L11" s="1"/>
      <c r="M11" s="257"/>
      <c r="N11" s="97">
        <f>B11+H11</f>
        <v>1.0000000000000024</v>
      </c>
      <c r="R11" s="298">
        <f>B11-H11</f>
        <v>-0.47306145826431534</v>
      </c>
      <c r="S11" s="299">
        <f>SUM(C11:G11)*B4*F4*POWER(O2,A11-1)</f>
        <v>95144.547348199761</v>
      </c>
      <c r="T11" s="277">
        <f>SUM(C11:G11)*D4*H4*POWER(O2,A11-1)</f>
        <v>-381902.40721500438</v>
      </c>
      <c r="U11" s="295">
        <f t="shared" si="0"/>
        <v>-311038.66791440221</v>
      </c>
      <c r="V11" s="93">
        <f>(U11+W11*H11)/B11</f>
        <v>-1180536.0990913131</v>
      </c>
      <c r="W11" s="9">
        <f t="shared" si="1"/>
        <v>5</v>
      </c>
    </row>
    <row r="12" spans="1:23" x14ac:dyDescent="0.2">
      <c r="A12" s="99">
        <v>6</v>
      </c>
      <c r="B12" s="97">
        <f>C12*B4</f>
        <v>0.2636517037663399</v>
      </c>
      <c r="C12" s="97">
        <f>1/(1-D4*B4/(1-D4*B4/(1-D4*B4/(1-D4*B4/(1-D4*B4)))))</f>
        <v>1.2634040115910099</v>
      </c>
      <c r="D12" s="144">
        <f>C12*D4*C11</f>
        <v>1.26221708473455</v>
      </c>
      <c r="E12" s="1">
        <f>D12*D4*C10</f>
        <v>1.2577163254107366</v>
      </c>
      <c r="F12" s="1">
        <f>E12*D4*C9</f>
        <v>1.2406497013128543</v>
      </c>
      <c r="G12" s="1">
        <f>F12*D4*C8</f>
        <v>1.1759340306576171</v>
      </c>
      <c r="H12" s="1">
        <f>G12*D4</f>
        <v>0.93053587784562108</v>
      </c>
      <c r="I12" s="1">
        <f>H12*D4</f>
        <v>0.73634829623366316</v>
      </c>
      <c r="J12" s="1"/>
      <c r="K12" s="1"/>
      <c r="L12" s="1"/>
      <c r="M12" s="257"/>
      <c r="N12" s="97">
        <f>B12+I12</f>
        <v>1.0000000000000031</v>
      </c>
      <c r="R12" s="298">
        <f>B12-I12</f>
        <v>-0.47269659246732326</v>
      </c>
      <c r="S12" s="299">
        <f>SUM(C12:H12)*B4*F4*POWER(O2,A12-1)</f>
        <v>1156042.1629094672</v>
      </c>
      <c r="T12" s="277">
        <f>SUM(C12:H12)*D4*H4*POWER(O2,A12-1)</f>
        <v>-4640258.3980081268</v>
      </c>
      <c r="U12" s="295">
        <f t="shared" si="0"/>
        <v>-3795254.9030130617</v>
      </c>
      <c r="V12" s="93">
        <f>(U12+W12*I12)/B12</f>
        <v>-14394940.107372899</v>
      </c>
      <c r="W12" s="9">
        <f t="shared" si="1"/>
        <v>6</v>
      </c>
    </row>
    <row r="13" spans="1:23" x14ac:dyDescent="0.2">
      <c r="A13" s="99">
        <v>7</v>
      </c>
      <c r="B13" s="97">
        <f>C13*B4</f>
        <v>0.26369979936921567</v>
      </c>
      <c r="C13" s="97">
        <f>1/(1-D4*B4/(1-D4*B4/(1-D4*B4/(1-D4*B4/(1-D4*B4/(1-D4*B4))))))</f>
        <v>1.2636344829922759</v>
      </c>
      <c r="D13" s="144">
        <f>C13*D4*C12</f>
        <v>1.2633214906183623</v>
      </c>
      <c r="E13" s="1">
        <f>D13*D4*C11</f>
        <v>1.2621346412876642</v>
      </c>
      <c r="F13" s="1">
        <f>E13*D4*C10</f>
        <v>1.2576341759371434</v>
      </c>
      <c r="G13" s="1">
        <f>F13*D4*C9</f>
        <v>1.2405686665693139</v>
      </c>
      <c r="H13" s="1">
        <f>G13*D4*C8</f>
        <v>1.1758572229072148</v>
      </c>
      <c r="I13" s="1">
        <f>H13*D4</f>
        <v>0.930475098613468</v>
      </c>
      <c r="J13" s="1">
        <f>I13*D4</f>
        <v>0.7363002006307876</v>
      </c>
      <c r="K13" s="1"/>
      <c r="L13" s="1"/>
      <c r="M13" s="257"/>
      <c r="N13" s="97">
        <f>B13+J13</f>
        <v>1.0000000000000033</v>
      </c>
      <c r="R13" s="298">
        <f>B13-J13</f>
        <v>-0.47260040126157193</v>
      </c>
      <c r="S13" s="299">
        <f>SUM(C13:I13)*B4*F4*POWER(O2,A13-1)</f>
        <v>13608363.75169781</v>
      </c>
      <c r="T13" s="277">
        <f>SUM(C13:I13)*D4*H4*POWER(O2,A13-1)</f>
        <v>-54622855.643120967</v>
      </c>
      <c r="U13" s="295">
        <f t="shared" si="0"/>
        <v>-44809746.794436216</v>
      </c>
      <c r="V13" s="93">
        <f>(U13+W13*J13)/B13</f>
        <v>-169927097.96337414</v>
      </c>
      <c r="W13" s="9">
        <f t="shared" si="1"/>
        <v>7</v>
      </c>
    </row>
    <row r="14" spans="1:23" x14ac:dyDescent="0.2">
      <c r="A14" s="99">
        <v>8</v>
      </c>
      <c r="B14" s="97">
        <f>C14*B4</f>
        <v>0.26371248195158659</v>
      </c>
      <c r="C14" s="97">
        <f>1/(1-D4*B4/(1-D4*B4/(1-D4*B4/(1-D4*B4/(1-D4*B4/(1-D4*B4/(1-D4*B4)))))))</f>
        <v>1.2636952572077118</v>
      </c>
      <c r="D14" s="144">
        <f>C14*D4*C13</f>
        <v>1.2636127172119556</v>
      </c>
      <c r="E14" s="1">
        <f>D14*D4*C12</f>
        <v>1.2632997302292552</v>
      </c>
      <c r="F14" s="1">
        <f>E14*D4*C11</f>
        <v>1.2621129013417329</v>
      </c>
      <c r="G14" s="1">
        <f>F14*D4*C10</f>
        <v>1.2576125135105751</v>
      </c>
      <c r="H14" s="1">
        <f>G14*D4*C9</f>
        <v>1.2405472980917736</v>
      </c>
      <c r="I14" s="1">
        <f>H14*D4*C8</f>
        <v>1.1758369690677175</v>
      </c>
      <c r="J14" s="1">
        <f>I14*D4</f>
        <v>0.93045907141821305</v>
      </c>
      <c r="K14" s="1">
        <f>J14*D4</f>
        <v>0.73628751804841719</v>
      </c>
      <c r="L14" s="1"/>
      <c r="M14" s="257"/>
      <c r="N14" s="97">
        <f>B14+K14</f>
        <v>1.0000000000000038</v>
      </c>
      <c r="R14" s="298">
        <f>B14-K14</f>
        <v>-0.4725750360968306</v>
      </c>
      <c r="S14" s="299">
        <f>SUM(C14:J14)*B4*F4*POWER(O2,A14-1)</f>
        <v>156569250.90207571</v>
      </c>
      <c r="T14" s="277">
        <f>SUM(C14:J14)*D4*H4*POWER(O2,A14-1)</f>
        <v>-628456127.88008165</v>
      </c>
      <c r="U14" s="295">
        <f t="shared" si="0"/>
        <v>-516696623.77244216</v>
      </c>
      <c r="V14" s="93">
        <f>(U14+W14*K14)/B14</f>
        <v>-1959318019.6036351</v>
      </c>
      <c r="W14" s="9">
        <f t="shared" si="1"/>
        <v>8</v>
      </c>
    </row>
    <row r="15" spans="1:23" x14ac:dyDescent="0.2">
      <c r="A15" s="99">
        <v>9</v>
      </c>
      <c r="B15" s="97">
        <f>C15*B4</f>
        <v>0.26371582649166875</v>
      </c>
      <c r="C15" s="97">
        <f>1/(1-D4*B4/(1-D4*B4/(1-D4*B4/(1-D4*B4/(1-D4*B4/(1-D4*B4/(1-D4*B4/(1-D4*B4))))))))</f>
        <v>1.2637112840541018</v>
      </c>
      <c r="D15" s="144">
        <f>C15*D4*C14</f>
        <v>1.263689516950903</v>
      </c>
      <c r="E15" s="1">
        <f>D15*D4*C13</f>
        <v>1.2636069773300795</v>
      </c>
      <c r="F15" s="1">
        <f>E15*D4*C12</f>
        <v>1.2632939917691031</v>
      </c>
      <c r="G15" s="1">
        <f>F15*D4*C11</f>
        <v>1.2621071682726768</v>
      </c>
      <c r="H15" s="1">
        <f>G15*D4*C10</f>
        <v>1.2576068008842498</v>
      </c>
      <c r="I15" s="1">
        <f>H15*D4*C9</f>
        <v>1.2405416629831238</v>
      </c>
      <c r="J15" s="1">
        <f>I15*D4*C8</f>
        <v>1.1758316279016974</v>
      </c>
      <c r="K15" s="1">
        <f>J15*D4</f>
        <v>0.93045484486597307</v>
      </c>
      <c r="L15" s="1">
        <f>K15*D4</f>
        <v>0.73628417350833564</v>
      </c>
      <c r="M15" s="257"/>
      <c r="N15" s="97">
        <f>B15+L15</f>
        <v>1.0000000000000044</v>
      </c>
      <c r="R15" s="298">
        <f>B15-L15</f>
        <v>-0.47256834701666689</v>
      </c>
      <c r="S15" s="299">
        <f>SUM(C15:K15)*B4*F4*POWER(O2,A15-1)</f>
        <v>1770567569.2595491</v>
      </c>
      <c r="T15" s="277">
        <f>SUM(C15:K15)*D4*H4*POWER(O2,A15-1)</f>
        <v>-7106912962.2574739</v>
      </c>
      <c r="U15" s="295">
        <f t="shared" si="0"/>
        <v>-5853042016.7703667</v>
      </c>
      <c r="V15" s="93">
        <f>(U15+W15*L15)/B15</f>
        <v>-22194504167.646976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0.26371670849876422</v>
      </c>
      <c r="C16" s="145">
        <f>1/(1-D4*B4/(1-D4*B4/(1-D4*B4/(1-D4*B4/(1-D4*B4/(1-D4*B4/(1-D4*B4/(1-D4*B4/(1-D4*B4)))))))))</f>
        <v>1.2637155105820808</v>
      </c>
      <c r="D16" s="153">
        <f>C16*D4*C15</f>
        <v>1.2637097702332722</v>
      </c>
      <c r="E16" s="111">
        <f>D16*D4*C14</f>
        <v>1.2636880031561484</v>
      </c>
      <c r="F16" s="111">
        <f>E16*D4*C13</f>
        <v>1.2636054636342005</v>
      </c>
      <c r="G16" s="111">
        <f>F16*D4*C12</f>
        <v>1.2632924784481547</v>
      </c>
      <c r="H16" s="111">
        <f>G16*D4*C11</f>
        <v>1.2621056563734443</v>
      </c>
      <c r="I16" s="111">
        <f>H16*D4*C10</f>
        <v>1.2576052943760825</v>
      </c>
      <c r="J16" s="111">
        <f>I16*D4*C9</f>
        <v>1.2405401769175699</v>
      </c>
      <c r="K16" s="111">
        <f>J16*D4*C8</f>
        <v>1.1758302193533738</v>
      </c>
      <c r="L16" s="111">
        <f>K16*D4</f>
        <v>0.93045373025859157</v>
      </c>
      <c r="M16" s="259">
        <f>L16*D4</f>
        <v>0.73628329150124072</v>
      </c>
      <c r="N16" s="145">
        <f>B16+M16</f>
        <v>1.0000000000000049</v>
      </c>
      <c r="R16" s="300">
        <f>B16-M16</f>
        <v>-0.4725665830024765</v>
      </c>
      <c r="S16" s="301">
        <f>SUM(C16:L16)*B4*F4*POWER(O2,A16-1)</f>
        <v>19754483058.021984</v>
      </c>
      <c r="T16" s="278">
        <f>SUM(C16:L16)*D4*H4*POWER(O2,A16-1)</f>
        <v>-79292874299.321198</v>
      </c>
      <c r="U16" s="295">
        <f t="shared" si="0"/>
        <v>-65391433258.06958</v>
      </c>
      <c r="V16" s="94">
        <f>(U16+W16*M16)/B16</f>
        <v>-247960903285.02328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10</v>
      </c>
      <c r="D21" s="57">
        <f>SUM($C$21:C21)</f>
        <v>10</v>
      </c>
      <c r="E21" s="57">
        <f t="shared" ref="E21:E30" si="3">D21/R7</f>
        <v>-17.16346929516844</v>
      </c>
      <c r="F21" s="8">
        <f t="shared" ref="F21:F30" si="4">U7/E21</f>
        <v>0.28469684575991772</v>
      </c>
      <c r="G21" s="281">
        <f>E21*U7</f>
        <v>83.867328705890486</v>
      </c>
      <c r="O21" s="101">
        <v>1</v>
      </c>
      <c r="P21" s="109">
        <v>1</v>
      </c>
      <c r="Q21" s="110">
        <f>P21*10+45</f>
        <v>55</v>
      </c>
      <c r="R21" s="57">
        <f>SUM($Q$21)</f>
        <v>55</v>
      </c>
      <c r="S21" s="276">
        <f>R21/R7</f>
        <v>-94.399081123426427</v>
      </c>
      <c r="T21" s="8">
        <f>U7/S21</f>
        <v>5.176306286543958E-2</v>
      </c>
      <c r="U21" s="281">
        <f>S21*U7</f>
        <v>461.27030788239773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-219.96553182034685</v>
      </c>
      <c r="F22" s="9">
        <f t="shared" si="4"/>
        <v>0.49885271539067033</v>
      </c>
      <c r="G22" s="282">
        <f t="shared" ref="G22:G30" si="5">E22*U8</f>
        <v>24136.90641776671</v>
      </c>
      <c r="O22" s="99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77">
        <f t="shared" ref="S22:S30" si="7">R22/R8</f>
        <v>-1299.7963243929587</v>
      </c>
      <c r="T22" s="9">
        <f>U8/S22</f>
        <v>8.4421228758421132E-2</v>
      </c>
      <c r="U22" s="282">
        <f t="shared" ref="U22:U30" si="8">S22*U8</f>
        <v>142627.17428680329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-2313.8353466991721</v>
      </c>
      <c r="F23" s="9">
        <f t="shared" si="4"/>
        <v>0.75764483341958877</v>
      </c>
      <c r="G23" s="282">
        <f t="shared" si="5"/>
        <v>4056304.6779009327</v>
      </c>
      <c r="O23" s="99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77">
        <f t="shared" si="7"/>
        <v>-13851.74403496937</v>
      </c>
      <c r="T23" s="9">
        <f t="shared" ref="T23:T30" si="11">U9/S23</f>
        <v>0.1265591821062067</v>
      </c>
      <c r="U23" s="282">
        <f t="shared" si="8"/>
        <v>24283013.139325857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-23416.752830863421</v>
      </c>
      <c r="F24" s="9">
        <f t="shared" si="4"/>
        <v>1.0368990193890293</v>
      </c>
      <c r="G24" s="282">
        <f t="shared" si="5"/>
        <v>568577680.5842315</v>
      </c>
      <c r="O24" s="99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77">
        <f t="shared" si="7"/>
        <v>-140458.36261464792</v>
      </c>
      <c r="T24" s="9">
        <f t="shared" si="11"/>
        <v>0.17286836892875324</v>
      </c>
      <c r="U24" s="282">
        <f t="shared" si="8"/>
        <v>3410442541.3261194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-234874.3446732435</v>
      </c>
      <c r="F25" s="9">
        <f t="shared" si="4"/>
        <v>1.3242768951505466</v>
      </c>
      <c r="G25" s="282">
        <f t="shared" si="5"/>
        <v>73055003294.433823</v>
      </c>
      <c r="O25" s="99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77">
        <f t="shared" si="7"/>
        <v>-1409193.2207834369</v>
      </c>
      <c r="T25" s="9">
        <f t="shared" si="11"/>
        <v>0.22072109298218251</v>
      </c>
      <c r="U25" s="282">
        <f t="shared" si="8"/>
        <v>438313582226.48633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-2350577.5537758064</v>
      </c>
      <c r="F26" s="9">
        <f t="shared" si="4"/>
        <v>1.6146052687845269</v>
      </c>
      <c r="G26" s="282">
        <f t="shared" si="5"/>
        <v>8921040985880.0781</v>
      </c>
      <c r="O26" s="99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77">
        <f t="shared" si="7"/>
        <v>-14103401.856997421</v>
      </c>
      <c r="T26" s="9">
        <f t="shared" si="11"/>
        <v>0.26910208909136635</v>
      </c>
      <c r="U26" s="282">
        <f t="shared" si="8"/>
        <v>53526005046932.984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-23510580.969334159</v>
      </c>
      <c r="F27" s="9">
        <f t="shared" si="4"/>
        <v>1.9059395789871572</v>
      </c>
      <c r="G27" s="282">
        <f t="shared" si="5"/>
        <v>1053503180225954.5</v>
      </c>
      <c r="O27" s="99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77">
        <f t="shared" si="7"/>
        <v>-141063411.75766748</v>
      </c>
      <c r="T27" s="9">
        <f t="shared" si="11"/>
        <v>0.31765676326767694</v>
      </c>
      <c r="U27" s="282">
        <f t="shared" si="8"/>
        <v>6321015762820377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-235118450.00892797</v>
      </c>
      <c r="F28" s="9">
        <f t="shared" si="4"/>
        <v>2.197601352649365</v>
      </c>
      <c r="G28" s="282">
        <f t="shared" si="5"/>
        <v>1.214849093062228E+17</v>
      </c>
      <c r="O28" s="99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77">
        <f t="shared" si="7"/>
        <v>-1410710615.4109249</v>
      </c>
      <c r="T28" s="9">
        <f t="shared" si="11"/>
        <v>0.36626691408424256</v>
      </c>
      <c r="U28" s="282">
        <f t="shared" si="8"/>
        <v>7.2890941210276902E+17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-2351217801.6459756</v>
      </c>
      <c r="F29" s="9">
        <f t="shared" si="4"/>
        <v>2.4893661542852095</v>
      </c>
      <c r="G29" s="282">
        <f t="shared" si="5"/>
        <v>1.3761776583612348E+19</v>
      </c>
      <c r="O29" s="99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77">
        <f t="shared" si="7"/>
        <v>-14107306714.651531</v>
      </c>
      <c r="T29" s="9">
        <f t="shared" si="11"/>
        <v>0.41489436184807188</v>
      </c>
      <c r="U29" s="282">
        <f t="shared" si="8"/>
        <v>8.2570658944322126E+19</v>
      </c>
    </row>
    <row r="30" spans="1:21" ht="17" thickBot="1" x14ac:dyDescent="0.25">
      <c r="A30" s="145">
        <v>10</v>
      </c>
      <c r="B30" s="94">
        <f t="shared" si="9"/>
        <v>1000000000</v>
      </c>
      <c r="C30" s="111">
        <f t="shared" si="2"/>
        <v>10000000000</v>
      </c>
      <c r="D30" s="10">
        <f>SUM($C$21:C30)</f>
        <v>11111111110</v>
      </c>
      <c r="E30" s="10">
        <f t="shared" si="3"/>
        <v>-23512265804.757023</v>
      </c>
      <c r="F30" s="10">
        <f t="shared" si="4"/>
        <v>2.7811625557941562</v>
      </c>
      <c r="G30" s="283">
        <f t="shared" si="5"/>
        <v>1.5375007601177605E+21</v>
      </c>
      <c r="O30" s="100">
        <v>10</v>
      </c>
      <c r="P30" s="94">
        <f t="shared" si="10"/>
        <v>5999999995</v>
      </c>
      <c r="Q30" s="111">
        <f t="shared" si="6"/>
        <v>59999999995</v>
      </c>
      <c r="R30" s="10">
        <f>SUM($Q$21:Q30)</f>
        <v>66666666610</v>
      </c>
      <c r="S30" s="278">
        <f t="shared" si="7"/>
        <v>-141073594722.73694</v>
      </c>
      <c r="T30" s="10">
        <f t="shared" si="11"/>
        <v>0.46352709298000466</v>
      </c>
      <c r="U30" s="283">
        <f t="shared" si="8"/>
        <v>9.2250045537878089E+21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10</v>
      </c>
      <c r="D33" s="57">
        <f>SUM($C$33:C33)</f>
        <v>10</v>
      </c>
      <c r="E33" s="9">
        <f t="shared" ref="E33:E42" si="13">D33/R7</f>
        <v>-17.16346929516844</v>
      </c>
      <c r="F33" s="8">
        <f t="shared" ref="F33:F42" si="14">U7/E33</f>
        <v>0.28469684575991772</v>
      </c>
      <c r="G33" s="284">
        <f>E33*U7</f>
        <v>83.867328705890486</v>
      </c>
      <c r="O33" s="101">
        <v>1</v>
      </c>
      <c r="P33" s="109">
        <v>1</v>
      </c>
      <c r="Q33" s="110">
        <f>P33*10+45</f>
        <v>55</v>
      </c>
      <c r="R33" s="57">
        <f>SUM($Q$21)</f>
        <v>55</v>
      </c>
      <c r="S33" s="276">
        <f>R33/R7</f>
        <v>-94.399081123426427</v>
      </c>
      <c r="T33" s="8">
        <f>U7/S33</f>
        <v>5.176306286543958E-2</v>
      </c>
      <c r="U33" s="284">
        <f>S33*U7</f>
        <v>461.27030788239773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-239.96239834946928</v>
      </c>
      <c r="F34" s="9">
        <f t="shared" si="14"/>
        <v>0.45728165577478114</v>
      </c>
      <c r="G34" s="282">
        <f t="shared" ref="G34:G42" si="16">E34*U8</f>
        <v>26331.170637563682</v>
      </c>
      <c r="O34" s="99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77">
        <f>R34/R8</f>
        <v>-1319.7931909220811</v>
      </c>
      <c r="T34" s="9">
        <f t="shared" ref="T34:T42" si="18">U8/S34</f>
        <v>8.3142119231778389E-2</v>
      </c>
      <c r="U34" s="282">
        <f t="shared" ref="U34:U42" si="19">S34*U8</f>
        <v>144821.43850660024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-2772.4333433422516</v>
      </c>
      <c r="F35" s="9">
        <f t="shared" si="14"/>
        <v>0.6323201241321379</v>
      </c>
      <c r="G35" s="282">
        <f t="shared" si="16"/>
        <v>4860256.9564038208</v>
      </c>
      <c r="O35" s="99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77">
        <f t="shared" ref="S35:S42" si="21">R35/R9</f>
        <v>-14101.888396774684</v>
      </c>
      <c r="T35" s="9">
        <f t="shared" si="18"/>
        <v>0.12431422987372411</v>
      </c>
      <c r="U35" s="282">
        <f t="shared" si="19"/>
        <v>24721532.563963793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-30856.99922986863</v>
      </c>
      <c r="F36" s="9">
        <f t="shared" si="14"/>
        <v>0.78688170118935219</v>
      </c>
      <c r="G36" s="282">
        <f t="shared" si="16"/>
        <v>749232875.22530591</v>
      </c>
      <c r="O36" s="99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77">
        <f t="shared" si="21"/>
        <v>-143050.85640240327</v>
      </c>
      <c r="T36" s="9">
        <f t="shared" si="18"/>
        <v>0.16973549588053805</v>
      </c>
      <c r="U36" s="282">
        <f t="shared" si="19"/>
        <v>3473390385.3511958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-340442.02330686589</v>
      </c>
      <c r="F37" s="9">
        <f t="shared" si="14"/>
        <v>0.9136318275080858</v>
      </c>
      <c r="G37" s="282">
        <f t="shared" si="16"/>
        <v>105890633431.45143</v>
      </c>
      <c r="O37" s="99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77">
        <f t="shared" si="21"/>
        <v>-1435278.6263569032</v>
      </c>
      <c r="T37" s="9">
        <f t="shared" si="18"/>
        <v>0.2167096075999517</v>
      </c>
      <c r="U37" s="282">
        <f t="shared" si="19"/>
        <v>446427152028.06421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-3747774.0018243627</v>
      </c>
      <c r="F38" s="9">
        <f t="shared" si="14"/>
        <v>1.0126690940183656</v>
      </c>
      <c r="G38" s="282">
        <f t="shared" si="16"/>
        <v>14223757655808.795</v>
      </c>
      <c r="O38" s="99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77">
        <f t="shared" si="21"/>
        <v>-14364563.037270863</v>
      </c>
      <c r="T38" s="9">
        <f t="shared" si="18"/>
        <v>0.26420956162507298</v>
      </c>
      <c r="U38" s="282">
        <f t="shared" si="19"/>
        <v>54517178296842.438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-41233926.056728765</v>
      </c>
      <c r="F39" s="9">
        <f t="shared" si="14"/>
        <v>1.0867203557766465</v>
      </c>
      <c r="G39" s="282">
        <f t="shared" si="16"/>
        <v>1847681785942521.8</v>
      </c>
      <c r="O39" s="99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77">
        <f t="shared" si="21"/>
        <v>-143675682.07462963</v>
      </c>
      <c r="T39" s="9">
        <f t="shared" si="18"/>
        <v>0.31188121850126754</v>
      </c>
      <c r="U39" s="282">
        <f t="shared" si="19"/>
        <v>6438070934282072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-453597553.03722364</v>
      </c>
      <c r="F40" s="9">
        <f t="shared" si="14"/>
        <v>1.1391080492227443</v>
      </c>
      <c r="G40" s="282">
        <f t="shared" si="16"/>
        <v>2.3437232420577472E+17</v>
      </c>
      <c r="O40" s="99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77">
        <f t="shared" si="21"/>
        <v>-1436834868.8246629</v>
      </c>
      <c r="T40" s="9">
        <f t="shared" si="18"/>
        <v>0.35960751996163776</v>
      </c>
      <c r="U40" s="282">
        <f t="shared" si="19"/>
        <v>7.424077256402231E+17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-4989643730.6598492</v>
      </c>
      <c r="F41" s="9">
        <f t="shared" si="14"/>
        <v>1.173038062979366</v>
      </c>
      <c r="G41" s="282">
        <f t="shared" si="16"/>
        <v>2.9204594404266938E+19</v>
      </c>
      <c r="O41" s="99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77">
        <f t="shared" si="21"/>
        <v>-14368553115.895679</v>
      </c>
      <c r="T41" s="9">
        <f t="shared" si="18"/>
        <v>0.40735082854621241</v>
      </c>
      <c r="U41" s="282">
        <f t="shared" si="19"/>
        <v>8.4099745107534184E+19</v>
      </c>
    </row>
    <row r="42" spans="1:21" ht="17" thickBot="1" x14ac:dyDescent="0.25">
      <c r="A42" s="145">
        <v>10</v>
      </c>
      <c r="B42" s="94">
        <f t="shared" si="15"/>
        <v>2357947691</v>
      </c>
      <c r="C42" s="111">
        <f t="shared" si="12"/>
        <v>23579476910</v>
      </c>
      <c r="D42" s="10">
        <f>SUM($C$33:C42)</f>
        <v>25937424600</v>
      </c>
      <c r="E42" s="9">
        <f t="shared" si="13"/>
        <v>-54886285939.232552</v>
      </c>
      <c r="F42" s="10">
        <f t="shared" si="14"/>
        <v>1.1913984001480411</v>
      </c>
      <c r="G42" s="283">
        <f t="shared" si="16"/>
        <v>3.5890929037786481E+21</v>
      </c>
      <c r="O42" s="100">
        <v>10</v>
      </c>
      <c r="P42" s="94">
        <f t="shared" si="20"/>
        <v>6111111106</v>
      </c>
      <c r="Q42" s="111">
        <f t="shared" si="17"/>
        <v>61111111105</v>
      </c>
      <c r="R42" s="10">
        <f>SUM($Q$33:Q42)</f>
        <v>67901234500</v>
      </c>
      <c r="S42" s="278">
        <f t="shared" si="21"/>
        <v>-143686068677.53101</v>
      </c>
      <c r="T42" s="10">
        <f t="shared" si="18"/>
        <v>0.45509932772136041</v>
      </c>
      <c r="U42" s="283">
        <f t="shared" si="19"/>
        <v>9.3958379700411706E+21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10</v>
      </c>
      <c r="D45" s="57">
        <f>SUM(C45:C45)</f>
        <v>10</v>
      </c>
      <c r="E45" s="57">
        <f t="shared" ref="E45:E54" si="23">D45/R7</f>
        <v>-17.16346929516844</v>
      </c>
      <c r="F45" s="8">
        <f t="shared" ref="F45:F54" si="24">U7/E45</f>
        <v>0.28469684575991772</v>
      </c>
      <c r="G45" s="281">
        <f>E45*U7</f>
        <v>83.867328705890486</v>
      </c>
      <c r="O45" s="101">
        <v>1</v>
      </c>
      <c r="P45" s="109">
        <v>1</v>
      </c>
      <c r="Q45" s="110">
        <f>P45*10+45</f>
        <v>55</v>
      </c>
      <c r="R45" s="57">
        <f>SUM($Q$21)</f>
        <v>55</v>
      </c>
      <c r="S45" s="276">
        <f>R45/R7</f>
        <v>-94.399081123426427</v>
      </c>
      <c r="T45" s="8">
        <f>U7/S45</f>
        <v>5.176306286543958E-2</v>
      </c>
      <c r="U45" s="284">
        <f>S45*U7</f>
        <v>461.27030788239773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-419.93419711157128</v>
      </c>
      <c r="F46" s="9">
        <f t="shared" si="24"/>
        <v>0.2613038032998749</v>
      </c>
      <c r="G46" s="282">
        <f t="shared" ref="G46:G54" si="26">E46*U8</f>
        <v>46079.54861573645</v>
      </c>
      <c r="O46" s="99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77">
        <f t="shared" ref="S46:S54" si="28">R46/R8</f>
        <v>-2399.6239834946928</v>
      </c>
      <c r="T46" s="9">
        <f t="shared" ref="T46:T54" si="29">U8/S46</f>
        <v>4.5728165577478115E-2</v>
      </c>
      <c r="U46" s="282">
        <f t="shared" ref="U46:U54" si="30">S46*U8</f>
        <v>263311.7063756368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-8775.8980266698327</v>
      </c>
      <c r="F47" s="9">
        <f t="shared" si="24"/>
        <v>0.19975908909637616</v>
      </c>
      <c r="G47" s="282">
        <f t="shared" si="26"/>
        <v>15384723.147714349</v>
      </c>
      <c r="O47" s="99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77">
        <f t="shared" si="28"/>
        <v>-50331.130131577942</v>
      </c>
      <c r="T47" s="9">
        <f t="shared" si="29"/>
        <v>3.4830638438423836E-2</v>
      </c>
      <c r="U47" s="282">
        <f t="shared" si="30"/>
        <v>88233762.565691918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-177490.97712754353</v>
      </c>
      <c r="F48" s="9">
        <f t="shared" si="24"/>
        <v>0.13680023875326108</v>
      </c>
      <c r="G48" s="282">
        <f t="shared" si="26"/>
        <v>4309624345.8144131</v>
      </c>
      <c r="O48" s="99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77">
        <f t="shared" si="28"/>
        <v>-1018217.7430298659</v>
      </c>
      <c r="T48" s="9">
        <f t="shared" si="29"/>
        <v>2.3846380809812075E-2</v>
      </c>
      <c r="U48" s="282">
        <f t="shared" si="30"/>
        <v>24723149569.166191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-3560235.0827299384</v>
      </c>
      <c r="F49" s="9">
        <f t="shared" si="24"/>
        <v>8.736464325718124E-2</v>
      </c>
      <c r="G49" s="282">
        <f t="shared" si="26"/>
        <v>1107370777594.4417</v>
      </c>
      <c r="O49" s="99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77">
        <f t="shared" si="28"/>
        <v>-20424481.494329423</v>
      </c>
      <c r="T49" s="9">
        <f t="shared" si="29"/>
        <v>1.5228717948152457E-2</v>
      </c>
      <c r="U49" s="282">
        <f t="shared" si="30"/>
        <v>6352803516838.583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-71259684.408087909</v>
      </c>
      <c r="F50" s="9">
        <f t="shared" si="24"/>
        <v>5.3259496369342657E-2</v>
      </c>
      <c r="G50" s="282">
        <f t="shared" si="26"/>
        <v>270448666636959.06</v>
      </c>
      <c r="O50" s="99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77">
        <f t="shared" si="28"/>
        <v>-408805527.85740346</v>
      </c>
      <c r="T50" s="9">
        <f t="shared" si="29"/>
        <v>9.2837661048871499E-3</v>
      </c>
      <c r="U50" s="282">
        <f t="shared" si="30"/>
        <v>1551521183979653.2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-1425483787.5754013</v>
      </c>
      <c r="F51" s="9">
        <f t="shared" si="24"/>
        <v>3.1434764242849023E-2</v>
      </c>
      <c r="G51" s="282">
        <f t="shared" si="26"/>
        <v>6.3875567580827632E+16</v>
      </c>
      <c r="O51" s="99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77">
        <f t="shared" si="28"/>
        <v>-8177775377.8522997</v>
      </c>
      <c r="T51" s="9">
        <f t="shared" si="29"/>
        <v>5.4794543410660963E-3</v>
      </c>
      <c r="U51" s="282">
        <f t="shared" si="30"/>
        <v>3.6644404402333651E+17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-28511206011.396767</v>
      </c>
      <c r="F52" s="9">
        <f t="shared" si="24"/>
        <v>1.8122580418587112E-2</v>
      </c>
      <c r="G52" s="282">
        <f t="shared" si="26"/>
        <v>1.4731643885769267E+19</v>
      </c>
      <c r="O52" s="99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77">
        <f t="shared" si="28"/>
        <v>-163564287077.91913</v>
      </c>
      <c r="T52" s="9">
        <f t="shared" si="29"/>
        <v>3.1589819086014605E-3</v>
      </c>
      <c r="U52" s="282">
        <f t="shared" si="30"/>
        <v>8.4513114902907306E+19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-570232191620.94238</v>
      </c>
      <c r="F53" s="9">
        <f t="shared" si="24"/>
        <v>1.0264313559942145E-2</v>
      </c>
      <c r="G53" s="282">
        <f t="shared" si="26"/>
        <v>3.3375929768724267E+21</v>
      </c>
      <c r="O53" s="99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77">
        <f t="shared" si="28"/>
        <v>-3271332046622.4053</v>
      </c>
      <c r="T53" s="9">
        <f t="shared" si="29"/>
        <v>1.7891922719411907E-3</v>
      </c>
      <c r="U53" s="282">
        <f t="shared" si="30"/>
        <v>1.9147243919688335E+22</v>
      </c>
    </row>
    <row r="54" spans="1:21" ht="17" thickBot="1" x14ac:dyDescent="0.25">
      <c r="A54" s="145">
        <v>10</v>
      </c>
      <c r="B54" s="94">
        <f t="shared" si="25"/>
        <v>512000000000</v>
      </c>
      <c r="C54" s="111">
        <f t="shared" si="22"/>
        <v>5120000000000</v>
      </c>
      <c r="D54" s="10">
        <f>SUM($C$45:C54)</f>
        <v>5389473684210</v>
      </c>
      <c r="E54" s="10">
        <f t="shared" si="23"/>
        <v>-11404686404120.445</v>
      </c>
      <c r="F54" s="10">
        <f t="shared" si="24"/>
        <v>5.7337335671451732E-3</v>
      </c>
      <c r="G54" s="283">
        <f t="shared" si="26"/>
        <v>7.4576878982425571E+23</v>
      </c>
      <c r="O54" s="100">
        <v>10</v>
      </c>
      <c r="P54" s="94">
        <f t="shared" si="31"/>
        <v>2937263157890</v>
      </c>
      <c r="Q54" s="111">
        <f t="shared" si="27"/>
        <v>29372631578945</v>
      </c>
      <c r="R54" s="10">
        <f>SUM($Q$45:Q54)</f>
        <v>30918559556760</v>
      </c>
      <c r="S54" s="278">
        <f t="shared" si="28"/>
        <v>-65426885160430.336</v>
      </c>
      <c r="T54" s="10">
        <f t="shared" si="29"/>
        <v>9.9945814473249308E-4</v>
      </c>
      <c r="U54" s="283">
        <f t="shared" si="30"/>
        <v>4.2783577942516635E+24</v>
      </c>
    </row>
  </sheetData>
  <mergeCells count="2">
    <mergeCell ref="A18:F18"/>
    <mergeCell ref="O18:T18"/>
  </mergeCells>
  <conditionalFormatting sqref="F45:F54">
    <cfRule type="cellIs" dxfId="298" priority="33" operator="equal">
      <formula>MAX($F$45:$F$54)</formula>
    </cfRule>
  </conditionalFormatting>
  <conditionalFormatting sqref="F21:F30">
    <cfRule type="cellIs" dxfId="297" priority="32" operator="equal">
      <formula>MAX($F$21:$F$30)</formula>
    </cfRule>
  </conditionalFormatting>
  <conditionalFormatting sqref="E33:E42">
    <cfRule type="cellIs" dxfId="296" priority="30" stopIfTrue="1" operator="lessThan">
      <formula>0</formula>
    </cfRule>
    <cfRule type="cellIs" dxfId="295" priority="31" operator="equal">
      <formula>MIN($E$33:$E$42)</formula>
    </cfRule>
  </conditionalFormatting>
  <conditionalFormatting sqref="E21:E30">
    <cfRule type="cellIs" dxfId="294" priority="28" stopIfTrue="1" operator="lessThan">
      <formula>0</formula>
    </cfRule>
    <cfRule type="cellIs" dxfId="293" priority="29" operator="equal">
      <formula>MIN($E$21:$E$30)</formula>
    </cfRule>
  </conditionalFormatting>
  <conditionalFormatting sqref="E45:E54">
    <cfRule type="cellIs" dxfId="292" priority="26" stopIfTrue="1" operator="lessThan">
      <formula>0</formula>
    </cfRule>
    <cfRule type="cellIs" dxfId="291" priority="27" operator="equal">
      <formula>MIN($E$45:$E$54)</formula>
    </cfRule>
  </conditionalFormatting>
  <conditionalFormatting sqref="F33:F42">
    <cfRule type="cellIs" dxfId="290" priority="24" operator="lessThanOrEqual">
      <formula>0</formula>
    </cfRule>
    <cfRule type="cellIs" dxfId="289" priority="25" operator="equal">
      <formula>MAX($F$33:$F$42)</formula>
    </cfRule>
  </conditionalFormatting>
  <conditionalFormatting sqref="R7:R16">
    <cfRule type="cellIs" dxfId="288" priority="22" operator="lessThanOrEqual">
      <formula>0</formula>
    </cfRule>
    <cfRule type="cellIs" dxfId="287" priority="23" operator="greaterThan">
      <formula>0</formula>
    </cfRule>
  </conditionalFormatting>
  <conditionalFormatting sqref="T21:T30">
    <cfRule type="cellIs" dxfId="286" priority="19" operator="equal">
      <formula>MAX($T$21:$T$30)</formula>
    </cfRule>
  </conditionalFormatting>
  <conditionalFormatting sqref="S33:S42">
    <cfRule type="cellIs" dxfId="285" priority="17" stopIfTrue="1" operator="lessThan">
      <formula>0</formula>
    </cfRule>
    <cfRule type="cellIs" dxfId="284" priority="18" operator="equal">
      <formula>MIN($E$21:$E$30)</formula>
    </cfRule>
  </conditionalFormatting>
  <conditionalFormatting sqref="T33:T42">
    <cfRule type="cellIs" dxfId="283" priority="16" operator="equal">
      <formula>MAX($T$21:$T$30)</formula>
    </cfRule>
  </conditionalFormatting>
  <conditionalFormatting sqref="S45:S54">
    <cfRule type="cellIs" dxfId="282" priority="14" stopIfTrue="1" operator="lessThan">
      <formula>0</formula>
    </cfRule>
    <cfRule type="cellIs" dxfId="281" priority="15" operator="equal">
      <formula>MIN($E$21:$E$30)</formula>
    </cfRule>
  </conditionalFormatting>
  <conditionalFormatting sqref="T45:T54">
    <cfRule type="cellIs" dxfId="280" priority="13" operator="equal">
      <formula>MAX($T$21:$T$30)</formula>
    </cfRule>
  </conditionalFormatting>
  <conditionalFormatting sqref="S21:S30">
    <cfRule type="cellIs" dxfId="279" priority="11" stopIfTrue="1" operator="lessThan">
      <formula>0</formula>
    </cfRule>
    <cfRule type="cellIs" dxfId="278" priority="12" operator="equal">
      <formula>MIN($E$21:$E$30)</formula>
    </cfRule>
  </conditionalFormatting>
  <conditionalFormatting sqref="U7:U16">
    <cfRule type="cellIs" dxfId="277" priority="7" operator="lessThanOrEqual">
      <formula>0</formula>
    </cfRule>
    <cfRule type="cellIs" dxfId="276" priority="8" operator="greaterThan">
      <formula>0</formula>
    </cfRule>
  </conditionalFormatting>
  <conditionalFormatting sqref="S7:T16">
    <cfRule type="cellIs" dxfId="275" priority="1" operator="lessThanOrEqual">
      <formula>0</formula>
    </cfRule>
    <cfRule type="cellIs" dxfId="27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73AD-B6BC-3E41-8E28-6ED83E52CB7D}">
  <sheetPr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0.99999999999999978</v>
      </c>
    </row>
    <row r="2" spans="1:23" x14ac:dyDescent="0.2">
      <c r="A2" t="s">
        <v>40</v>
      </c>
      <c r="B2" s="149" t="s">
        <v>125</v>
      </c>
      <c r="C2" s="155">
        <f>Analysis!B58</f>
        <v>0.22509740489820076</v>
      </c>
      <c r="D2" s="149" t="s">
        <v>126</v>
      </c>
      <c r="E2" s="155">
        <f>Analysis!K58</f>
        <v>0.77490259510179904</v>
      </c>
      <c r="F2" s="149" t="s">
        <v>47</v>
      </c>
      <c r="G2" s="155">
        <f>Analysis!S58</f>
        <v>9.9145279108670898</v>
      </c>
      <c r="H2" t="s">
        <v>155</v>
      </c>
      <c r="I2" s="169">
        <f>Analysis!T58</f>
        <v>-10.494909504283438</v>
      </c>
      <c r="J2" t="s">
        <v>48</v>
      </c>
      <c r="K2" s="169">
        <f>C2*G2+E2*I2</f>
        <v>-5.90079810670081</v>
      </c>
      <c r="L2" t="s">
        <v>47</v>
      </c>
      <c r="M2" s="176">
        <v>3</v>
      </c>
      <c r="N2" t="s">
        <v>155</v>
      </c>
      <c r="O2" s="176">
        <v>10</v>
      </c>
    </row>
    <row r="4" spans="1:23" x14ac:dyDescent="0.2">
      <c r="A4" t="s">
        <v>123</v>
      </c>
      <c r="B4">
        <f>$C$2</f>
        <v>0.22509740489820076</v>
      </c>
      <c r="C4" t="s">
        <v>124</v>
      </c>
      <c r="D4">
        <f>$E$2</f>
        <v>0.77490259510179904</v>
      </c>
      <c r="E4" t="s">
        <v>47</v>
      </c>
      <c r="F4">
        <f>G2</f>
        <v>9.9145279108670898</v>
      </c>
      <c r="G4" t="s">
        <v>155</v>
      </c>
      <c r="H4">
        <f>I2</f>
        <v>-10.494909504283438</v>
      </c>
      <c r="I4" t="s">
        <v>48</v>
      </c>
      <c r="J4">
        <f>K2</f>
        <v>-5.90079810670081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263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0.22509740489820076</v>
      </c>
      <c r="C7" s="95">
        <v>1</v>
      </c>
      <c r="D7" s="22">
        <f>C7*D4</f>
        <v>0.77490259510179904</v>
      </c>
      <c r="E7" s="2"/>
      <c r="F7" s="2"/>
      <c r="G7" s="2"/>
      <c r="H7" s="2"/>
      <c r="I7" s="2"/>
      <c r="J7" s="2"/>
      <c r="K7" s="2"/>
      <c r="L7" s="2"/>
      <c r="M7" s="256"/>
      <c r="N7" s="96">
        <f>B7+D7</f>
        <v>0.99999999999999978</v>
      </c>
      <c r="R7" s="296">
        <f>B7-D7</f>
        <v>-0.5498051902035983</v>
      </c>
      <c r="S7" s="297">
        <f>SUM(C7)*B4*F4*POWER(O2,A7-1)</f>
        <v>2.2317345035269618</v>
      </c>
      <c r="T7" s="276">
        <f>SUM(C7)*D4*H4*POWER(O2,A7-1)</f>
        <v>-8.1325326102277717</v>
      </c>
      <c r="U7" s="294">
        <f>S7+T7</f>
        <v>-5.90079810670081</v>
      </c>
      <c r="V7" s="109">
        <f>(U7+W7*D7)/B7</f>
        <v>-22.7718996312604</v>
      </c>
      <c r="W7" s="57">
        <f>COUNT(D7:M7)</f>
        <v>1</v>
      </c>
    </row>
    <row r="8" spans="1:23" x14ac:dyDescent="0.2">
      <c r="A8" s="99">
        <v>2</v>
      </c>
      <c r="B8" s="97">
        <f>C8*B4</f>
        <v>0.27265648357750627</v>
      </c>
      <c r="C8" s="97">
        <f>1/(1-B4*D4)</f>
        <v>1.2112822166955406</v>
      </c>
      <c r="D8" s="144">
        <f>C8*D4</f>
        <v>0.9386257331180341</v>
      </c>
      <c r="E8" s="1">
        <f>D8*D4</f>
        <v>0.72734351642249329</v>
      </c>
      <c r="F8" s="1"/>
      <c r="G8" s="1"/>
      <c r="H8" s="1"/>
      <c r="I8" s="1"/>
      <c r="J8" s="1"/>
      <c r="K8" s="1"/>
      <c r="L8" s="1"/>
      <c r="M8" s="257"/>
      <c r="N8" s="97">
        <f>B8+E8</f>
        <v>0.99999999999999956</v>
      </c>
      <c r="R8" s="298">
        <f>B8-E8</f>
        <v>-0.45468703284498702</v>
      </c>
      <c r="S8" s="299">
        <f>SUM(C8:D8)*B4*F4*POWER(O2,A8-1)</f>
        <v>47.980237510058672</v>
      </c>
      <c r="T8" s="277">
        <f>SUM(C8:D8)*D4*H4*POWER(O2,A8-1)</f>
        <v>-174.84196510846829</v>
      </c>
      <c r="U8" s="295">
        <f>S8+T8+U7</f>
        <v>-132.76252570511042</v>
      </c>
      <c r="V8" s="93">
        <f>(U8+W8*E8)/B8</f>
        <v>-481.58707597701198</v>
      </c>
      <c r="W8" s="9">
        <f>COUNT(D8:M8)</f>
        <v>2</v>
      </c>
    </row>
    <row r="9" spans="1:23" x14ac:dyDescent="0.2">
      <c r="A9" s="99">
        <v>3</v>
      </c>
      <c r="B9" s="97">
        <f>C9*B4</f>
        <v>0.28539663953704608</v>
      </c>
      <c r="C9" s="97">
        <f>1/(1-D4*B4/(1-D4*B4))</f>
        <v>1.2678806300148833</v>
      </c>
      <c r="D9" s="144">
        <f>C9*D4*C8</f>
        <v>1.1900653858538748</v>
      </c>
      <c r="E9" s="1">
        <f>D9*(D4)</f>
        <v>0.9221847558389914</v>
      </c>
      <c r="F9" s="1">
        <f>E9*D4</f>
        <v>0.71460336046295336</v>
      </c>
      <c r="G9" s="1"/>
      <c r="H9" s="1"/>
      <c r="I9" s="1"/>
      <c r="J9" s="1"/>
      <c r="K9" s="1"/>
      <c r="L9" s="1"/>
      <c r="M9" s="257"/>
      <c r="N9" s="97">
        <f>B9+F9</f>
        <v>0.99999999999999944</v>
      </c>
      <c r="R9" s="298">
        <f>B9-F9</f>
        <v>-0.42920672092590728</v>
      </c>
      <c r="S9" s="299">
        <f>SUM(C9:E9)*B4*F4*POWER(O2,A9-1)</f>
        <v>754.35544696534021</v>
      </c>
      <c r="T9" s="277">
        <f>SUM(C9:E9)*D4*H4*POWER(O2,A9-1)</f>
        <v>-2748.9023727747635</v>
      </c>
      <c r="U9" s="295">
        <f t="shared" ref="U9:U16" si="0">S9+T9+U8</f>
        <v>-2127.309451514534</v>
      </c>
      <c r="V9" s="93">
        <f>(U9+W9*F9)/B9</f>
        <v>-7446.3583204079268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0.28901423044754831</v>
      </c>
      <c r="C10" s="97">
        <f>1/(1-D4*B4/(1-D4*B4/(1-D4*B4)))</f>
        <v>1.2839518544349884</v>
      </c>
      <c r="D10" s="144">
        <f>C10*D4*C9</f>
        <v>1.2614621415267062</v>
      </c>
      <c r="E10" s="1">
        <f>D10*D4*C8</f>
        <v>1.1840408273911498</v>
      </c>
      <c r="F10" s="1">
        <f>E10*D4</f>
        <v>0.91751630985188326</v>
      </c>
      <c r="G10" s="1">
        <f>F10*D4</f>
        <v>0.71098576955245063</v>
      </c>
      <c r="H10" s="1"/>
      <c r="I10" s="1"/>
      <c r="J10" s="1"/>
      <c r="K10" s="1"/>
      <c r="L10" s="1"/>
      <c r="M10" s="257"/>
      <c r="N10" s="97">
        <f>B10+G10</f>
        <v>0.99999999999999889</v>
      </c>
      <c r="R10" s="298">
        <f>B10-G10</f>
        <v>-0.42197153910490232</v>
      </c>
      <c r="S10" s="299">
        <f>SUM(C10:F10)*B4*F4*POWER(O2,A10-1)</f>
        <v>10370.805814866775</v>
      </c>
      <c r="T10" s="277">
        <f>SUM(C10:F10)*D4*H4*POWER(O2,A10-1)</f>
        <v>-37791.644279574546</v>
      </c>
      <c r="U10" s="295">
        <f t="shared" si="0"/>
        <v>-29548.147916222304</v>
      </c>
      <c r="V10" s="93">
        <f>(U10+W10*G10)/B10</f>
        <v>-102227.85198982137</v>
      </c>
      <c r="W10" s="9">
        <f t="shared" si="1"/>
        <v>4</v>
      </c>
    </row>
    <row r="11" spans="1:23" x14ac:dyDescent="0.2">
      <c r="A11" s="99">
        <v>5</v>
      </c>
      <c r="B11" s="97">
        <f>C11*B4</f>
        <v>0.29005823045356388</v>
      </c>
      <c r="C11" s="97">
        <f>1/(1-D4*B4/(1-D4*B4/(1-D4*B4/(1-D4*B4))))</f>
        <v>1.2885898466254702</v>
      </c>
      <c r="D11" s="144">
        <f>C11*D4*C10</f>
        <v>1.2820665202958847</v>
      </c>
      <c r="E11" s="1">
        <f>D11*D4*C9</f>
        <v>1.2596098309183357</v>
      </c>
      <c r="F11" s="1">
        <f>E11*D4*C8</f>
        <v>1.1823022009884057</v>
      </c>
      <c r="G11" s="1">
        <f>F11*D4</f>
        <v>0.91616904374048436</v>
      </c>
      <c r="H11" s="1">
        <f>G11*D4</f>
        <v>0.70994176954643495</v>
      </c>
      <c r="I11" s="1"/>
      <c r="J11" s="1"/>
      <c r="K11" s="1"/>
      <c r="L11" s="1"/>
      <c r="M11" s="257"/>
      <c r="N11" s="97">
        <f>B11+H11</f>
        <v>0.99999999999999889</v>
      </c>
      <c r="R11" s="298">
        <f>B11-H11</f>
        <v>-0.41988353909287107</v>
      </c>
      <c r="S11" s="299">
        <f>SUM(C11:G11)*B4*F4*POWER(O2,A11-1)</f>
        <v>132313.67912932503</v>
      </c>
      <c r="T11" s="277">
        <f>SUM(C11:G11)*D4*H4*POWER(O2,A11-1)</f>
        <v>-482156.50589167391</v>
      </c>
      <c r="U11" s="295">
        <f t="shared" si="0"/>
        <v>-379390.97467857116</v>
      </c>
      <c r="V11" s="93">
        <f>(U11+W11*H11)/B11</f>
        <v>-1307969.8665212002</v>
      </c>
      <c r="W11" s="9">
        <f t="shared" si="1"/>
        <v>5</v>
      </c>
    </row>
    <row r="12" spans="1:23" x14ac:dyDescent="0.2">
      <c r="A12" s="99">
        <v>6</v>
      </c>
      <c r="B12" s="97">
        <f>C12*B4</f>
        <v>0.29036092213684006</v>
      </c>
      <c r="C12" s="97">
        <f>1/(1-D4*B4/(1-D4*B4/(1-D4*B4/(1-D4*B4/(1-D4*B4)))))</f>
        <v>1.2899345608544639</v>
      </c>
      <c r="D12" s="144">
        <f>C12*D4*C11</f>
        <v>1.2880404418060056</v>
      </c>
      <c r="E12" s="1">
        <f>D12*D4*C10</f>
        <v>1.2815198967701995</v>
      </c>
      <c r="F12" s="1">
        <f>E12*D4*C9</f>
        <v>1.2590727820555314</v>
      </c>
      <c r="G12" s="1">
        <f>F12*D4*C8</f>
        <v>1.1817981131058359</v>
      </c>
      <c r="H12" s="1">
        <f>G12*D4</f>
        <v>0.91577842473212168</v>
      </c>
      <c r="I12" s="1">
        <f>H12*D4</f>
        <v>0.70963907786315861</v>
      </c>
      <c r="J12" s="1"/>
      <c r="K12" s="1"/>
      <c r="L12" s="1"/>
      <c r="M12" s="257"/>
      <c r="N12" s="97">
        <f>B12+I12</f>
        <v>0.99999999999999867</v>
      </c>
      <c r="R12" s="298">
        <f>B12-I12</f>
        <v>-0.41927815572631855</v>
      </c>
      <c r="S12" s="299">
        <f>SUM(C12:H12)*B4*F4*POWER(O2,A12-1)</f>
        <v>1610451.8036692354</v>
      </c>
      <c r="T12" s="277">
        <f>SUM(C12:H12)*D4*H4*POWER(O2,A12-1)</f>
        <v>-5868552.8183760336</v>
      </c>
      <c r="U12" s="295">
        <f t="shared" si="0"/>
        <v>-4637491.9893853692</v>
      </c>
      <c r="V12" s="93">
        <f>(U12+W12*I12)/B12</f>
        <v>-15971459.580106191</v>
      </c>
      <c r="W12" s="9">
        <f t="shared" si="1"/>
        <v>6</v>
      </c>
    </row>
    <row r="13" spans="1:23" x14ac:dyDescent="0.2">
      <c r="A13" s="99">
        <v>7</v>
      </c>
      <c r="B13" s="97">
        <f>C13*B4</f>
        <v>0.2904488010891827</v>
      </c>
      <c r="C13" s="97">
        <f>1/(1-D4*B4/(1-D4*B4/(1-D4*B4/(1-D4*B4/(1-D4*B4/(1-D4*B4))))))</f>
        <v>1.2903249649658857</v>
      </c>
      <c r="D13" s="144">
        <f>C13*D4*C12</f>
        <v>1.2897748203591406</v>
      </c>
      <c r="E13" s="1">
        <f>D13*D4*C11</f>
        <v>1.2878809358710424</v>
      </c>
      <c r="F13" s="1">
        <f>E13*D4*C10</f>
        <v>1.2813611983142552</v>
      </c>
      <c r="G13" s="1">
        <f>F13*D4*C9</f>
        <v>1.2589168633632526</v>
      </c>
      <c r="H13" s="1">
        <f>G13*D4*C8</f>
        <v>1.181651763808989</v>
      </c>
      <c r="I13" s="1">
        <f>H13*D4</f>
        <v>0.91566501828220359</v>
      </c>
      <c r="J13" s="1">
        <f>I13*D4</f>
        <v>0.70955119891081586</v>
      </c>
      <c r="K13" s="1"/>
      <c r="L13" s="1"/>
      <c r="M13" s="257"/>
      <c r="N13" s="97">
        <f>B13+J13</f>
        <v>0.99999999999999856</v>
      </c>
      <c r="R13" s="298">
        <f>B13-J13</f>
        <v>-0.41910239782163317</v>
      </c>
      <c r="S13" s="299">
        <f>SUM(C13:I13)*B4*F4*POWER(O2,A13-1)</f>
        <v>18982186.460687708</v>
      </c>
      <c r="T13" s="277">
        <f>SUM(C13:I13)*D4*H4*POWER(O2,A13-1)</f>
        <v>-69171870.650832474</v>
      </c>
      <c r="U13" s="295">
        <f t="shared" si="0"/>
        <v>-54827176.179530129</v>
      </c>
      <c r="V13" s="93">
        <f>(U13+W13*J13)/B13</f>
        <v>-188767077.04445636</v>
      </c>
      <c r="W13" s="9">
        <f t="shared" si="1"/>
        <v>7</v>
      </c>
    </row>
    <row r="14" spans="1:23" x14ac:dyDescent="0.2">
      <c r="A14" s="99">
        <v>8</v>
      </c>
      <c r="B14" s="97">
        <f>C14*B4</f>
        <v>0.29047432450739019</v>
      </c>
      <c r="C14" s="97">
        <f>1/(1-D4*B4/(1-D4*B4/(1-D4*B4/(1-D4*B4/(1-D4*B4/(1-D4*B4/(1-D4*B4)))))))</f>
        <v>1.2904383532931258</v>
      </c>
      <c r="D14" s="144">
        <f>C14*D4*C13</f>
        <v>1.2902785504101</v>
      </c>
      <c r="E14" s="1">
        <f>D14*D4*C12</f>
        <v>1.2897284255927244</v>
      </c>
      <c r="F14" s="1">
        <f>E14*D4*C11</f>
        <v>1.2878346092299509</v>
      </c>
      <c r="G14" s="1">
        <f>F14*D4*C10</f>
        <v>1.2813151061960404</v>
      </c>
      <c r="H14" s="1">
        <f>G14*D4*C9</f>
        <v>1.2588715785950193</v>
      </c>
      <c r="I14" s="1">
        <f>H14*D4*C8</f>
        <v>1.1816092583602069</v>
      </c>
      <c r="J14" s="1">
        <f>I14*D4</f>
        <v>0.91563208069963642</v>
      </c>
      <c r="K14" s="1">
        <f>J14*D4</f>
        <v>0.70952567549260814</v>
      </c>
      <c r="L14" s="1"/>
      <c r="M14" s="257"/>
      <c r="N14" s="97">
        <f>B14+K14</f>
        <v>0.99999999999999833</v>
      </c>
      <c r="R14" s="298">
        <f>B14-K14</f>
        <v>-0.41905135098521795</v>
      </c>
      <c r="S14" s="299">
        <f>SUM(C14:J14)*B4*F4*POWER(O2,A14-1)</f>
        <v>218614194.46110106</v>
      </c>
      <c r="T14" s="277">
        <f>SUM(C14:J14)*D4*H4*POWER(O2,A14-1)</f>
        <v>-796639144.44297194</v>
      </c>
      <c r="U14" s="295">
        <f t="shared" si="0"/>
        <v>-632852126.16140103</v>
      </c>
      <c r="V14" s="93">
        <f>(U14+W14*K14)/B14</f>
        <v>-2178685229.9542732</v>
      </c>
      <c r="W14" s="9">
        <f t="shared" si="1"/>
        <v>8</v>
      </c>
    </row>
    <row r="15" spans="1:23" x14ac:dyDescent="0.2">
      <c r="A15" s="99">
        <v>9</v>
      </c>
      <c r="B15" s="97">
        <f>C15*B4</f>
        <v>0.29048173832758545</v>
      </c>
      <c r="C15" s="97">
        <f>1/(1-D4*B4/(1-D4*B4/(1-D4*B4/(1-D4*B4/(1-D4*B4/(1-D4*B4/(1-D4*B4/(1-D4*B4))))))))</f>
        <v>1.2904712893467361</v>
      </c>
      <c r="D15" s="144">
        <f>C15*D4*C14</f>
        <v>1.2904248695274847</v>
      </c>
      <c r="E15" s="1">
        <f>D15*D4*C13</f>
        <v>1.290265068314236</v>
      </c>
      <c r="F15" s="1">
        <f>E15*D4*C12</f>
        <v>1.2897149492451041</v>
      </c>
      <c r="G15" s="1">
        <f>F15*D4*C11</f>
        <v>1.2878211526707815</v>
      </c>
      <c r="H15" s="1">
        <f>G15*D4*C10</f>
        <v>1.2813017177590333</v>
      </c>
      <c r="I15" s="1">
        <f>H15*D4*C9</f>
        <v>1.2588584246700023</v>
      </c>
      <c r="J15" s="1">
        <f>I15*D4*C8</f>
        <v>1.1815969117476945</v>
      </c>
      <c r="K15" s="1">
        <f>J15*D4</f>
        <v>0.91562251327755995</v>
      </c>
      <c r="L15" s="1">
        <f>K15*D4</f>
        <v>0.70951826167241261</v>
      </c>
      <c r="M15" s="257"/>
      <c r="N15" s="97">
        <f>B15+L15</f>
        <v>0.999999999999998</v>
      </c>
      <c r="R15" s="298">
        <f>B15-L15</f>
        <v>-0.41903652334482716</v>
      </c>
      <c r="S15" s="299">
        <f>SUM(C15:K15)*B4*F4*POWER(O2,A15-1)</f>
        <v>2474118031.8803005</v>
      </c>
      <c r="T15" s="277">
        <f>SUM(C15:K15)*D4*H4*POWER(O2,A15-1)</f>
        <v>-9015788188.0755768</v>
      </c>
      <c r="U15" s="295">
        <f t="shared" si="0"/>
        <v>-7174522282.3566771</v>
      </c>
      <c r="V15" s="93">
        <f>(U15+W15*L15)/B15</f>
        <v>-24698703323.924885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0.29048389190042673</v>
      </c>
      <c r="C16" s="145">
        <f>1/(1-D4*B4/(1-D4*B4/(1-D4*B4/(1-D4*B4/(1-D4*B4/(1-D4*B4/(1-D4*B4/(1-D4*B4/(1-D4*B4)))))))))</f>
        <v>1.2904808566398032</v>
      </c>
      <c r="D16" s="153">
        <f>C16*D4*C15</f>
        <v>1.2904673724300453</v>
      </c>
      <c r="E16" s="111">
        <f>D16*D4*C14</f>
        <v>1.2904209527516901</v>
      </c>
      <c r="F16" s="111">
        <f>E16*D4*C13</f>
        <v>1.2902611520234797</v>
      </c>
      <c r="G16" s="111">
        <f>F16*D4*C12</f>
        <v>1.2897110346241025</v>
      </c>
      <c r="H16" s="111">
        <f>G16*D4*C11</f>
        <v>1.2878172437979463</v>
      </c>
      <c r="I16" s="111">
        <f>H16*D4*C10</f>
        <v>1.2812978286743821</v>
      </c>
      <c r="J16" s="111">
        <f>I16*D4*C9</f>
        <v>1.2588546037065949</v>
      </c>
      <c r="K16" s="111">
        <f>J16*D4*C8</f>
        <v>1.1815933252931148</v>
      </c>
      <c r="L16" s="111">
        <f>K16*D4</f>
        <v>0.91561973412459885</v>
      </c>
      <c r="M16" s="259">
        <f>L16*D4</f>
        <v>0.70951610809957089</v>
      </c>
      <c r="N16" s="145">
        <f>B16+M16</f>
        <v>0.99999999999999756</v>
      </c>
      <c r="R16" s="300">
        <f>B16-M16</f>
        <v>-0.41903221619914416</v>
      </c>
      <c r="S16" s="301">
        <f>SUM(C16:L16)*B4*F4*POWER(O2,A16-1)</f>
        <v>27621115876.776672</v>
      </c>
      <c r="T16" s="278">
        <f>SUM(C16:L16)*D4*H4*POWER(O2,A16-1)</f>
        <v>-100652485877.58484</v>
      </c>
      <c r="U16" s="295">
        <f t="shared" si="0"/>
        <v>-80205892283.164841</v>
      </c>
      <c r="V16" s="94">
        <f>(U16+W16*M16)/B16</f>
        <v>-276111324973.44464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10</v>
      </c>
      <c r="D21" s="57">
        <f>SUM($C$21:C21)</f>
        <v>10</v>
      </c>
      <c r="E21" s="57">
        <f t="shared" ref="E21:E30" si="3">D21/R7</f>
        <v>-18.188260456939123</v>
      </c>
      <c r="F21" s="8">
        <f t="shared" ref="F21:F30" si="4">U7/E21</f>
        <v>0.32442894254076715</v>
      </c>
      <c r="G21" s="281">
        <f>E21*U7</f>
        <v>107.32525286848758</v>
      </c>
      <c r="O21" s="101">
        <v>1</v>
      </c>
      <c r="P21" s="109">
        <v>1</v>
      </c>
      <c r="Q21" s="110">
        <f>P21*10+45</f>
        <v>55</v>
      </c>
      <c r="R21" s="57">
        <f>SUM($Q$21)</f>
        <v>55</v>
      </c>
      <c r="S21" s="276">
        <f>R21/R7</f>
        <v>-100.03543251316518</v>
      </c>
      <c r="T21" s="8">
        <f>U7/S21</f>
        <v>5.8987080461957664E-2</v>
      </c>
      <c r="U21" s="281">
        <f>S21*U7</f>
        <v>590.28889077668168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-241.92464718364084</v>
      </c>
      <c r="F22" s="9">
        <f t="shared" si="4"/>
        <v>0.54877635350784526</v>
      </c>
      <c r="G22" s="282">
        <f t="shared" ref="G22:G30" si="5">E22*U8</f>
        <v>32118.527190417888</v>
      </c>
      <c r="O22" s="99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77">
        <f t="shared" ref="S22:S30" si="7">R22/R8</f>
        <v>-1429.5547333578777</v>
      </c>
      <c r="T22" s="9">
        <f>U8/S22</f>
        <v>9.2869844439789198E-2</v>
      </c>
      <c r="U22" s="282">
        <f t="shared" ref="U22:U30" si="8">S22*U8</f>
        <v>189791.29703428751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-2586.1663992713106</v>
      </c>
      <c r="F23" s="9">
        <f t="shared" si="4"/>
        <v>0.82257253520652573</v>
      </c>
      <c r="G23" s="282">
        <f t="shared" si="5"/>
        <v>5501576.2243591687</v>
      </c>
      <c r="O23" s="99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77">
        <f t="shared" si="7"/>
        <v>-15482.050201043117</v>
      </c>
      <c r="T23" s="9">
        <f t="shared" ref="T23:T30" si="11">U9/S23</f>
        <v>0.13740489301418263</v>
      </c>
      <c r="U23" s="282">
        <f t="shared" si="8"/>
        <v>32935111.721501514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-26328.789907411385</v>
      </c>
      <c r="F24" s="9">
        <f t="shared" si="4"/>
        <v>1.1222751983715245</v>
      </c>
      <c r="G24" s="282">
        <f t="shared" si="5"/>
        <v>777966978.63933253</v>
      </c>
      <c r="O24" s="99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77">
        <f t="shared" si="7"/>
        <v>-157925.34288297882</v>
      </c>
      <c r="T24" s="9">
        <f t="shared" si="11"/>
        <v>0.18710200260965842</v>
      </c>
      <c r="U24" s="282">
        <f t="shared" si="8"/>
        <v>4666401391.2263832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-264620.995240836</v>
      </c>
      <c r="F25" s="9">
        <f t="shared" si="4"/>
        <v>1.4337145634770252</v>
      </c>
      <c r="G25" s="282">
        <f t="shared" si="5"/>
        <v>100394817304.8343</v>
      </c>
      <c r="O25" s="99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77">
        <f t="shared" si="7"/>
        <v>-1587666.4311256835</v>
      </c>
      <c r="T25" s="9">
        <f t="shared" si="11"/>
        <v>0.23896138838784686</v>
      </c>
      <c r="U25" s="282">
        <f t="shared" si="8"/>
        <v>602346314769.22168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-2650054.5874497471</v>
      </c>
      <c r="F26" s="9">
        <f t="shared" si="4"/>
        <v>1.7499609296154961</v>
      </c>
      <c r="G26" s="282">
        <f t="shared" si="5"/>
        <v>12289606920732.152</v>
      </c>
      <c r="O26" s="99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77">
        <f t="shared" si="7"/>
        <v>-15900255.973153071</v>
      </c>
      <c r="T26" s="9">
        <f t="shared" si="11"/>
        <v>0.29166146741383181</v>
      </c>
      <c r="U26" s="282">
        <f t="shared" si="8"/>
        <v>73737309704674.234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-26511683.201413713</v>
      </c>
      <c r="F27" s="9">
        <f t="shared" si="4"/>
        <v>2.0680382970405482</v>
      </c>
      <c r="G27" s="282">
        <f t="shared" si="5"/>
        <v>1453560725699799</v>
      </c>
      <c r="O27" s="99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77">
        <f t="shared" si="7"/>
        <v>-159070015.69667184</v>
      </c>
      <c r="T27" s="9">
        <f t="shared" si="11"/>
        <v>0.34467323046022214</v>
      </c>
      <c r="U27" s="282">
        <f t="shared" si="8"/>
        <v>8721359775482050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-265149151.14524817</v>
      </c>
      <c r="F28" s="9">
        <f t="shared" si="4"/>
        <v>2.386777869844003</v>
      </c>
      <c r="G28" s="282">
        <f t="shared" si="5"/>
        <v>1.6780020405216099E+17</v>
      </c>
      <c r="O28" s="99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77">
        <f t="shared" si="7"/>
        <v>-1590894811.4177938</v>
      </c>
      <c r="T28" s="9">
        <f t="shared" si="11"/>
        <v>0.39779633550844751</v>
      </c>
      <c r="U28" s="282">
        <f t="shared" si="8"/>
        <v>1.0068011639048919E+18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-2651585358.5527706</v>
      </c>
      <c r="F29" s="9">
        <f t="shared" si="4"/>
        <v>2.7057481891786108</v>
      </c>
      <c r="G29" s="282">
        <f t="shared" si="5"/>
        <v>1.9023858238507573E+19</v>
      </c>
      <c r="O29" s="99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77">
        <f t="shared" si="7"/>
        <v>-15909512043.927418</v>
      </c>
      <c r="T29" s="9">
        <f t="shared" si="11"/>
        <v>0.45095803457373518</v>
      </c>
      <c r="U29" s="282">
        <f t="shared" si="8"/>
        <v>1.1414314866057917E+20</v>
      </c>
    </row>
    <row r="30" spans="1:21" ht="17" thickBot="1" x14ac:dyDescent="0.25">
      <c r="A30" s="145">
        <v>10</v>
      </c>
      <c r="B30" s="94">
        <f t="shared" si="9"/>
        <v>1000000000</v>
      </c>
      <c r="C30" s="111">
        <f t="shared" si="2"/>
        <v>10000000000</v>
      </c>
      <c r="D30" s="10">
        <f>SUM($C$21:C30)</f>
        <v>11111111110</v>
      </c>
      <c r="E30" s="10">
        <f t="shared" si="3"/>
        <v>-26516126160.379681</v>
      </c>
      <c r="F30" s="10">
        <f t="shared" si="4"/>
        <v>3.0247967519104755</v>
      </c>
      <c r="G30" s="283">
        <f t="shared" si="5"/>
        <v>2.1267495585862221E+21</v>
      </c>
      <c r="O30" s="100">
        <v>10</v>
      </c>
      <c r="P30" s="94">
        <f t="shared" si="10"/>
        <v>5999999995</v>
      </c>
      <c r="Q30" s="111">
        <f t="shared" si="6"/>
        <v>59999999995</v>
      </c>
      <c r="R30" s="10">
        <f>SUM($Q$21:Q30)</f>
        <v>66666666610</v>
      </c>
      <c r="S30" s="278">
        <f t="shared" si="7"/>
        <v>-159096756842.95551</v>
      </c>
      <c r="T30" s="10">
        <f t="shared" si="11"/>
        <v>0.50413279236317887</v>
      </c>
      <c r="U30" s="283">
        <f t="shared" si="8"/>
        <v>1.2760497341946959E+22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10</v>
      </c>
      <c r="D33" s="57">
        <f>SUM($C$33:C33)</f>
        <v>10</v>
      </c>
      <c r="E33" s="9">
        <f t="shared" ref="E33:E42" si="13">D33/R7</f>
        <v>-18.188260456939123</v>
      </c>
      <c r="F33" s="8">
        <f t="shared" ref="F33:F42" si="14">U7/E33</f>
        <v>0.32442894254076715</v>
      </c>
      <c r="G33" s="284">
        <f>E33*U7</f>
        <v>107.32525286848758</v>
      </c>
      <c r="O33" s="101">
        <v>1</v>
      </c>
      <c r="P33" s="109">
        <v>1</v>
      </c>
      <c r="Q33" s="110">
        <f>P33*10+45</f>
        <v>55</v>
      </c>
      <c r="R33" s="57">
        <f>SUM($Q$21)</f>
        <v>55</v>
      </c>
      <c r="S33" s="276">
        <f>R33/R7</f>
        <v>-100.03543251316518</v>
      </c>
      <c r="T33" s="8">
        <f>U7/S33</f>
        <v>5.8987080461957664E-2</v>
      </c>
      <c r="U33" s="284">
        <f>S33*U7</f>
        <v>590.28889077668168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-263.91779692760821</v>
      </c>
      <c r="F34" s="9">
        <f t="shared" si="14"/>
        <v>0.50304499071552478</v>
      </c>
      <c r="G34" s="282">
        <f t="shared" ref="G34:G42" si="16">E34*U8</f>
        <v>35038.393298637697</v>
      </c>
      <c r="O34" s="99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77">
        <f>R34/R8</f>
        <v>-1451.5478831018452</v>
      </c>
      <c r="T34" s="9">
        <f t="shared" ref="T34:T42" si="18">U8/S34</f>
        <v>9.1462725584640858E-2</v>
      </c>
      <c r="U34" s="282">
        <f t="shared" ref="U34:U42" si="19">S34*U8</f>
        <v>192711.16314250734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-3098.7399198476064</v>
      </c>
      <c r="F35" s="9">
        <f t="shared" si="14"/>
        <v>0.68650790532273953</v>
      </c>
      <c r="G35" s="282">
        <f t="shared" si="16"/>
        <v>6591978.7192772022</v>
      </c>
      <c r="O35" s="99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77">
        <f t="shared" ref="S35:S42" si="21">R35/R9</f>
        <v>-15761.635757721097</v>
      </c>
      <c r="T35" s="9">
        <f t="shared" si="18"/>
        <v>0.13496755566581575</v>
      </c>
      <c r="U35" s="282">
        <f t="shared" si="19"/>
        <v>33529876.718729533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-34694.283010306266</v>
      </c>
      <c r="F36" s="9">
        <f t="shared" si="14"/>
        <v>0.85167195723412836</v>
      </c>
      <c r="G36" s="282">
        <f t="shared" si="16"/>
        <v>1025151806.235808</v>
      </c>
      <c r="O36" s="99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77">
        <f t="shared" si="21"/>
        <v>-160840.23141458241</v>
      </c>
      <c r="T36" s="9">
        <f t="shared" si="18"/>
        <v>0.18371117509809398</v>
      </c>
      <c r="U36" s="282">
        <f t="shared" si="19"/>
        <v>4752530948.7175064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-383558.73713920108</v>
      </c>
      <c r="F37" s="9">
        <f t="shared" si="14"/>
        <v>0.98913396552581367</v>
      </c>
      <c r="G37" s="282">
        <f t="shared" si="16"/>
        <v>145518723129.72336</v>
      </c>
      <c r="O37" s="99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77">
        <f t="shared" si="21"/>
        <v>-1617055.5327481469</v>
      </c>
      <c r="T37" s="9">
        <f t="shared" si="18"/>
        <v>0.23461839559325792</v>
      </c>
      <c r="U37" s="282">
        <f t="shared" si="19"/>
        <v>613496274678.69556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-4225261.8597100871</v>
      </c>
      <c r="F38" s="9">
        <f t="shared" si="14"/>
        <v>1.0975632146272627</v>
      </c>
      <c r="G38" s="282">
        <f t="shared" si="16"/>
        <v>19594618027461.055</v>
      </c>
      <c r="O38" s="99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77">
        <f t="shared" si="21"/>
        <v>-16194690.582526285</v>
      </c>
      <c r="T38" s="9">
        <f t="shared" si="18"/>
        <v>0.28635878936699916</v>
      </c>
      <c r="U38" s="282">
        <f t="shared" si="19"/>
        <v>75102747847040.328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-46497395.627627961</v>
      </c>
      <c r="F39" s="9">
        <f t="shared" si="14"/>
        <v>1.1791450991924535</v>
      </c>
      <c r="G39" s="282">
        <f t="shared" si="16"/>
        <v>2549320901965272</v>
      </c>
      <c r="O39" s="99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77">
        <f t="shared" si="21"/>
        <v>-162015739.71642661</v>
      </c>
      <c r="T39" s="9">
        <f t="shared" si="18"/>
        <v>0.33840647998455708</v>
      </c>
      <c r="U39" s="282">
        <f t="shared" si="19"/>
        <v>8882865505289419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-511533680.76735187</v>
      </c>
      <c r="F40" s="9">
        <f t="shared" si="14"/>
        <v>1.2371660947370255</v>
      </c>
      <c r="G40" s="282">
        <f t="shared" si="16"/>
        <v>3.2372517747678598E+17</v>
      </c>
      <c r="O40" s="99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77">
        <f t="shared" si="21"/>
        <v>-1620355806.9997778</v>
      </c>
      <c r="T40" s="9">
        <f t="shared" si="18"/>
        <v>0.39056367954960391</v>
      </c>
      <c r="U40" s="282">
        <f t="shared" si="19"/>
        <v>1.0254456175977821E+18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-5627069619.5606642</v>
      </c>
      <c r="F41" s="9">
        <f t="shared" si="14"/>
        <v>1.2750015136505155</v>
      </c>
      <c r="G41" s="282">
        <f t="shared" si="16"/>
        <v>4.0371536369910292E+19</v>
      </c>
      <c r="O41" s="99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77">
        <f t="shared" si="21"/>
        <v>-16204132615.457901</v>
      </c>
      <c r="T41" s="9">
        <f t="shared" si="18"/>
        <v>0.44275879817920988</v>
      </c>
      <c r="U41" s="282">
        <f t="shared" si="19"/>
        <v>1.1625691051586529E+20</v>
      </c>
    </row>
    <row r="42" spans="1:21" ht="17" thickBot="1" x14ac:dyDescent="0.25">
      <c r="A42" s="145">
        <v>10</v>
      </c>
      <c r="B42" s="94">
        <f t="shared" si="15"/>
        <v>2357947691</v>
      </c>
      <c r="C42" s="111">
        <f t="shared" si="12"/>
        <v>23579476910</v>
      </c>
      <c r="D42" s="10">
        <f>SUM($C$33:C42)</f>
        <v>25937424600</v>
      </c>
      <c r="E42" s="9">
        <f t="shared" si="13"/>
        <v>-61898402073.394028</v>
      </c>
      <c r="F42" s="10">
        <f t="shared" si="14"/>
        <v>1.295766766128523</v>
      </c>
      <c r="G42" s="283">
        <f t="shared" si="16"/>
        <v>4.9646165691986682E+21</v>
      </c>
      <c r="O42" s="100">
        <v>10</v>
      </c>
      <c r="P42" s="94">
        <f t="shared" si="20"/>
        <v>6111111106</v>
      </c>
      <c r="Q42" s="111">
        <f t="shared" si="17"/>
        <v>61111111105</v>
      </c>
      <c r="R42" s="10">
        <f>SUM($Q$33:Q42)</f>
        <v>67901234500</v>
      </c>
      <c r="S42" s="278">
        <f t="shared" si="21"/>
        <v>-162042993056.48157</v>
      </c>
      <c r="T42" s="10">
        <f t="shared" si="18"/>
        <v>0.49496674166718424</v>
      </c>
      <c r="U42" s="283">
        <f t="shared" si="19"/>
        <v>1.2996802846329789E+22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10</v>
      </c>
      <c r="D45" s="57">
        <f>SUM(C45:C45)</f>
        <v>10</v>
      </c>
      <c r="E45" s="57">
        <f t="shared" ref="E45:E54" si="23">D45/R7</f>
        <v>-18.188260456939123</v>
      </c>
      <c r="F45" s="8">
        <f t="shared" ref="F45:F54" si="24">U7/E45</f>
        <v>0.32442894254076715</v>
      </c>
      <c r="G45" s="281">
        <f>E45*U7</f>
        <v>107.32525286848758</v>
      </c>
      <c r="O45" s="101">
        <v>1</v>
      </c>
      <c r="P45" s="109">
        <v>1</v>
      </c>
      <c r="Q45" s="110">
        <f>P45*10+45</f>
        <v>55</v>
      </c>
      <c r="R45" s="57">
        <f>SUM($Q$21)</f>
        <v>55</v>
      </c>
      <c r="S45" s="276">
        <f>R45/R7</f>
        <v>-100.03543251316518</v>
      </c>
      <c r="T45" s="8">
        <f>U7/S45</f>
        <v>5.8987080461957664E-2</v>
      </c>
      <c r="U45" s="284">
        <f>S45*U7</f>
        <v>590.28889077668168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-461.85614462331432</v>
      </c>
      <c r="F46" s="9">
        <f t="shared" si="24"/>
        <v>0.28745428040887133</v>
      </c>
      <c r="G46" s="282">
        <f t="shared" ref="G46:G54" si="26">E46*U8</f>
        <v>61317.18827261596</v>
      </c>
      <c r="O46" s="99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77">
        <f t="shared" ref="S46:S54" si="28">R46/R8</f>
        <v>-2639.177969276082</v>
      </c>
      <c r="T46" s="9">
        <f t="shared" ref="T46:T54" si="29">U8/S46</f>
        <v>5.0304499071552475E-2</v>
      </c>
      <c r="U46" s="282">
        <f t="shared" ref="U46:U54" si="30">S46*U8</f>
        <v>350383.93298637692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-9808.7932801191164</v>
      </c>
      <c r="F47" s="9">
        <f t="shared" si="24"/>
        <v>0.21687779431811008</v>
      </c>
      <c r="G47" s="282">
        <f t="shared" si="26"/>
        <v>20866338.652749643</v>
      </c>
      <c r="O47" s="99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77">
        <f t="shared" si="28"/>
        <v>-56254.943883248467</v>
      </c>
      <c r="T47" s="9">
        <f t="shared" si="29"/>
        <v>3.7815511040763861E-2</v>
      </c>
      <c r="U47" s="282">
        <f t="shared" si="30"/>
        <v>119671673.81725419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-199563.22215149528</v>
      </c>
      <c r="F48" s="9">
        <f t="shared" si="24"/>
        <v>0.14806409516574798</v>
      </c>
      <c r="G48" s="282">
        <f t="shared" si="26"/>
        <v>5896723606.7703142</v>
      </c>
      <c r="O48" s="99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77">
        <f t="shared" si="28"/>
        <v>-1144840.2444978727</v>
      </c>
      <c r="T48" s="9">
        <f t="shared" si="29"/>
        <v>2.5809843826010967E-2</v>
      </c>
      <c r="U48" s="282">
        <f t="shared" si="30"/>
        <v>33827908884.867249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-4011136.0489116041</v>
      </c>
      <c r="F49" s="9">
        <f t="shared" si="24"/>
        <v>9.4584419489215893E-2</v>
      </c>
      <c r="G49" s="282">
        <f t="shared" si="26"/>
        <v>1521788815164.9263</v>
      </c>
      <c r="O49" s="99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77">
        <f t="shared" si="28"/>
        <v>-23011225.972025834</v>
      </c>
      <c r="T49" s="9">
        <f t="shared" si="29"/>
        <v>1.6487212595269248E-2</v>
      </c>
      <c r="U49" s="282">
        <f t="shared" si="30"/>
        <v>8730251450075.7324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-80338576.050184637</v>
      </c>
      <c r="F50" s="9">
        <f t="shared" si="24"/>
        <v>5.7724348841937327E-2</v>
      </c>
      <c r="G50" s="282">
        <f t="shared" si="26"/>
        <v>372569502871358.56</v>
      </c>
      <c r="O50" s="99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77">
        <f t="shared" si="28"/>
        <v>-460889691.86874825</v>
      </c>
      <c r="T50" s="9">
        <f t="shared" si="29"/>
        <v>1.0062043198627298E-2</v>
      </c>
      <c r="U50" s="282">
        <f t="shared" si="30"/>
        <v>2137372254031611.2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-1607445372.5428574</v>
      </c>
      <c r="F51" s="9">
        <f t="shared" si="24"/>
        <v>3.4108267139926297E-2</v>
      </c>
      <c r="G51" s="282">
        <f t="shared" si="26"/>
        <v>8.813169063937768E+16</v>
      </c>
      <c r="O51" s="99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77">
        <f t="shared" si="28"/>
        <v>-9221660255.5560627</v>
      </c>
      <c r="T51" s="9">
        <f t="shared" si="29"/>
        <v>5.9454777838401371E-3</v>
      </c>
      <c r="U51" s="282">
        <f t="shared" si="30"/>
        <v>5.055975914991431E+17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-32152823701.253941</v>
      </c>
      <c r="F52" s="9">
        <f t="shared" si="24"/>
        <v>1.9682629806996397E-2</v>
      </c>
      <c r="G52" s="282">
        <f t="shared" si="26"/>
        <v>2.0347982841431245E+19</v>
      </c>
      <c r="O52" s="99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77">
        <f t="shared" si="28"/>
        <v>-184455672767.24191</v>
      </c>
      <c r="T52" s="9">
        <f t="shared" si="29"/>
        <v>3.4309171231614805E-3</v>
      </c>
      <c r="U52" s="282">
        <f t="shared" si="30"/>
        <v>1.1673316469328069E+20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-643079228652.93726</v>
      </c>
      <c r="F53" s="9">
        <f t="shared" si="24"/>
        <v>1.1156513789731945E-2</v>
      </c>
      <c r="G53" s="282">
        <f t="shared" si="26"/>
        <v>4.6137862552912428E+21</v>
      </c>
      <c r="O53" s="99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77">
        <f t="shared" si="28"/>
        <v>-3689243995905.4561</v>
      </c>
      <c r="T53" s="9">
        <f t="shared" si="29"/>
        <v>1.9447134129158689E-3</v>
      </c>
      <c r="U53" s="282">
        <f t="shared" si="30"/>
        <v>2.6468563253674281E+22</v>
      </c>
    </row>
    <row r="54" spans="1:21" ht="17" thickBot="1" x14ac:dyDescent="0.25">
      <c r="A54" s="145">
        <v>10</v>
      </c>
      <c r="B54" s="94">
        <f t="shared" si="25"/>
        <v>512000000000</v>
      </c>
      <c r="C54" s="111">
        <f t="shared" si="22"/>
        <v>5120000000000</v>
      </c>
      <c r="D54" s="10">
        <f>SUM($C$45:C54)</f>
        <v>5389473684210</v>
      </c>
      <c r="E54" s="10">
        <f t="shared" si="23"/>
        <v>-12861716774656.449</v>
      </c>
      <c r="F54" s="10">
        <f t="shared" si="24"/>
        <v>6.2360176085674403E-3</v>
      </c>
      <c r="G54" s="283">
        <f t="shared" si="26"/>
        <v>1.0315854702046694E+24</v>
      </c>
      <c r="O54" s="100">
        <v>10</v>
      </c>
      <c r="P54" s="94">
        <f t="shared" si="31"/>
        <v>2937263157890</v>
      </c>
      <c r="Q54" s="111">
        <f t="shared" si="27"/>
        <v>29372631578945</v>
      </c>
      <c r="R54" s="10">
        <f>SUM($Q$45:Q54)</f>
        <v>30918559556760</v>
      </c>
      <c r="S54" s="278">
        <f t="shared" si="28"/>
        <v>-73785638338762.047</v>
      </c>
      <c r="T54" s="10">
        <f t="shared" si="29"/>
        <v>1.0870122436960747E-3</v>
      </c>
      <c r="U54" s="283">
        <f t="shared" si="30"/>
        <v>5.9180429606433063E+24</v>
      </c>
    </row>
  </sheetData>
  <mergeCells count="2">
    <mergeCell ref="A18:F18"/>
    <mergeCell ref="O18:T18"/>
  </mergeCells>
  <conditionalFormatting sqref="F45:F54">
    <cfRule type="cellIs" dxfId="273" priority="31" operator="equal">
      <formula>MAX($F$45:$F$54)</formula>
    </cfRule>
  </conditionalFormatting>
  <conditionalFormatting sqref="F21:F30">
    <cfRule type="cellIs" dxfId="272" priority="30" operator="equal">
      <formula>MAX($F$21:$F$30)</formula>
    </cfRule>
  </conditionalFormatting>
  <conditionalFormatting sqref="E33:E42">
    <cfRule type="cellIs" dxfId="271" priority="28" stopIfTrue="1" operator="lessThan">
      <formula>0</formula>
    </cfRule>
    <cfRule type="cellIs" dxfId="270" priority="29" operator="equal">
      <formula>MIN($E$33:$E$42)</formula>
    </cfRule>
  </conditionalFormatting>
  <conditionalFormatting sqref="E21:E30">
    <cfRule type="cellIs" dxfId="269" priority="26" stopIfTrue="1" operator="lessThan">
      <formula>0</formula>
    </cfRule>
    <cfRule type="cellIs" dxfId="268" priority="27" operator="equal">
      <formula>MIN($E$21:$E$30)</formula>
    </cfRule>
  </conditionalFormatting>
  <conditionalFormatting sqref="E45:E54">
    <cfRule type="cellIs" dxfId="267" priority="24" stopIfTrue="1" operator="lessThan">
      <formula>0</formula>
    </cfRule>
    <cfRule type="cellIs" dxfId="266" priority="25" operator="equal">
      <formula>MIN($E$45:$E$54)</formula>
    </cfRule>
  </conditionalFormatting>
  <conditionalFormatting sqref="F33:F42">
    <cfRule type="cellIs" dxfId="265" priority="22" operator="lessThanOrEqual">
      <formula>0</formula>
    </cfRule>
    <cfRule type="cellIs" dxfId="264" priority="23" operator="equal">
      <formula>MAX($F$33:$F$42)</formula>
    </cfRule>
  </conditionalFormatting>
  <conditionalFormatting sqref="R7:R16">
    <cfRule type="cellIs" dxfId="263" priority="20" operator="lessThanOrEqual">
      <formula>0</formula>
    </cfRule>
    <cfRule type="cellIs" dxfId="262" priority="21" operator="greaterThan">
      <formula>0</formula>
    </cfRule>
  </conditionalFormatting>
  <conditionalFormatting sqref="T21:T30">
    <cfRule type="cellIs" dxfId="261" priority="17" operator="equal">
      <formula>MAX($T$21:$T$30)</formula>
    </cfRule>
  </conditionalFormatting>
  <conditionalFormatting sqref="S33:S42">
    <cfRule type="cellIs" dxfId="260" priority="15" stopIfTrue="1" operator="lessThan">
      <formula>0</formula>
    </cfRule>
    <cfRule type="cellIs" dxfId="259" priority="16" operator="equal">
      <formula>MIN($E$21:$E$30)</formula>
    </cfRule>
  </conditionalFormatting>
  <conditionalFormatting sqref="T33:T42">
    <cfRule type="cellIs" dxfId="258" priority="14" operator="equal">
      <formula>MAX($T$21:$T$30)</formula>
    </cfRule>
  </conditionalFormatting>
  <conditionalFormatting sqref="S45:S54">
    <cfRule type="cellIs" dxfId="257" priority="12" stopIfTrue="1" operator="lessThan">
      <formula>0</formula>
    </cfRule>
    <cfRule type="cellIs" dxfId="256" priority="13" operator="equal">
      <formula>MIN($E$21:$E$30)</formula>
    </cfRule>
  </conditionalFormatting>
  <conditionalFormatting sqref="T45:T54">
    <cfRule type="cellIs" dxfId="255" priority="11" operator="equal">
      <formula>MAX($T$21:$T$30)</formula>
    </cfRule>
  </conditionalFormatting>
  <conditionalFormatting sqref="S21:S30">
    <cfRule type="cellIs" dxfId="254" priority="9" stopIfTrue="1" operator="lessThan">
      <formula>0</formula>
    </cfRule>
    <cfRule type="cellIs" dxfId="253" priority="10" operator="equal">
      <formula>MIN($E$21:$E$30)</formula>
    </cfRule>
  </conditionalFormatting>
  <conditionalFormatting sqref="U7:U16">
    <cfRule type="cellIs" dxfId="252" priority="5" operator="lessThanOrEqual">
      <formula>0</formula>
    </cfRule>
    <cfRule type="cellIs" dxfId="251" priority="6" operator="greaterThan">
      <formula>0</formula>
    </cfRule>
  </conditionalFormatting>
  <conditionalFormatting sqref="S7:T16">
    <cfRule type="cellIs" dxfId="250" priority="1" operator="lessThanOrEqual">
      <formula>0</formula>
    </cfRule>
    <cfRule type="cellIs" dxfId="249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BDA1D-27D7-3943-9C9D-0867B9CE4F42}">
  <sheetPr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49" t="s">
        <v>125</v>
      </c>
      <c r="C2" s="155">
        <f>Analysis!B59</f>
        <v>0.23644706002209237</v>
      </c>
      <c r="D2" s="149" t="s">
        <v>126</v>
      </c>
      <c r="E2" s="155">
        <f>Analysis!L59</f>
        <v>0.76355293997790774</v>
      </c>
      <c r="F2" s="149" t="s">
        <v>47</v>
      </c>
      <c r="G2" s="155">
        <f>Analysis!S59</f>
        <v>12.119388939664146</v>
      </c>
      <c r="H2" t="s">
        <v>155</v>
      </c>
      <c r="I2" s="169">
        <f>Analysis!T59</f>
        <v>-12.828839790705182</v>
      </c>
      <c r="J2" t="s">
        <v>48</v>
      </c>
      <c r="K2" s="169">
        <f>C2*G2+E2*I2</f>
        <v>-6.9299044546506572</v>
      </c>
      <c r="L2" t="s">
        <v>47</v>
      </c>
      <c r="M2" s="176">
        <v>3</v>
      </c>
      <c r="N2" t="s">
        <v>155</v>
      </c>
      <c r="O2" s="176">
        <v>10</v>
      </c>
    </row>
    <row r="4" spans="1:23" x14ac:dyDescent="0.2">
      <c r="A4" t="s">
        <v>123</v>
      </c>
      <c r="B4">
        <f>$C$2</f>
        <v>0.23644706002209237</v>
      </c>
      <c r="C4" t="s">
        <v>124</v>
      </c>
      <c r="D4">
        <f>$E$2</f>
        <v>0.76355293997790774</v>
      </c>
      <c r="E4" t="s">
        <v>47</v>
      </c>
      <c r="F4">
        <f>G2</f>
        <v>12.119388939664146</v>
      </c>
      <c r="G4" t="s">
        <v>155</v>
      </c>
      <c r="H4">
        <f>I2</f>
        <v>-12.828839790705182</v>
      </c>
      <c r="I4" t="s">
        <v>48</v>
      </c>
      <c r="J4">
        <f>K2</f>
        <v>-6.9299044546506572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263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0.23644706002209237</v>
      </c>
      <c r="C7" s="95">
        <v>1</v>
      </c>
      <c r="D7" s="22">
        <f>C7*D4</f>
        <v>0.76355293997790774</v>
      </c>
      <c r="E7" s="2"/>
      <c r="F7" s="2"/>
      <c r="G7" s="2"/>
      <c r="H7" s="2"/>
      <c r="I7" s="2"/>
      <c r="J7" s="2"/>
      <c r="K7" s="2"/>
      <c r="L7" s="2"/>
      <c r="M7" s="256"/>
      <c r="N7" s="96">
        <f>B7+D7</f>
        <v>1</v>
      </c>
      <c r="R7" s="296">
        <f>B7-D7</f>
        <v>-0.52710587995581537</v>
      </c>
      <c r="S7" s="297">
        <f>SUM(C7)*B4*F4*POWER(O2,A7-1)</f>
        <v>2.865593884047851</v>
      </c>
      <c r="T7" s="276">
        <f>SUM(C7)*D4*H4*POWER(O2,A7-1)</f>
        <v>-9.7954983386985077</v>
      </c>
      <c r="U7" s="294">
        <f>S7+T7</f>
        <v>-6.9299044546506572</v>
      </c>
      <c r="V7" s="109">
        <f>(U7+W7*D7)/B7</f>
        <v>-26.079205696601168</v>
      </c>
      <c r="W7" s="57">
        <f>COUNT(D7:M7)</f>
        <v>1</v>
      </c>
    </row>
    <row r="8" spans="1:23" x14ac:dyDescent="0.2">
      <c r="A8" s="99">
        <v>2</v>
      </c>
      <c r="B8" s="97">
        <f>C8*B4</f>
        <v>0.28854003382064686</v>
      </c>
      <c r="C8" s="97">
        <f>1/(1-B4*D4)</f>
        <v>1.2203155911250798</v>
      </c>
      <c r="D8" s="144">
        <f>C8*D4</f>
        <v>0.93177555730443307</v>
      </c>
      <c r="E8" s="1">
        <f>D8*D4</f>
        <v>0.71145996617935336</v>
      </c>
      <c r="F8" s="1"/>
      <c r="G8" s="1"/>
      <c r="H8" s="1"/>
      <c r="I8" s="1"/>
      <c r="J8" s="1"/>
      <c r="K8" s="1"/>
      <c r="L8" s="1"/>
      <c r="M8" s="257"/>
      <c r="N8" s="97">
        <f>B8+E8</f>
        <v>1.0000000000000002</v>
      </c>
      <c r="R8" s="298">
        <f>B8-E8</f>
        <v>-0.42291993235870651</v>
      </c>
      <c r="S8" s="299">
        <f>SUM(C8:D8)*B4*F4*POWER(O2,A8-1)</f>
        <v>61.670192328531272</v>
      </c>
      <c r="T8" s="277">
        <f>SUM(C8:D8)*D4*H4*POWER(O2,A8-1)</f>
        <v>-210.80805269169059</v>
      </c>
      <c r="U8" s="295">
        <f>S8+T8+U7</f>
        <v>-156.06776481780997</v>
      </c>
      <c r="V8" s="93">
        <f>(U8+W8*E8)/B8</f>
        <v>-535.95628598829626</v>
      </c>
      <c r="W8" s="9">
        <f>COUNT(D8:M8)</f>
        <v>2</v>
      </c>
    </row>
    <row r="9" spans="1:23" x14ac:dyDescent="0.2">
      <c r="A9" s="99">
        <v>3</v>
      </c>
      <c r="B9" s="97">
        <f>C9*B4</f>
        <v>0.30325995663204813</v>
      </c>
      <c r="C9" s="97">
        <f>1/(1-D4*B4/(1-D4*B4))</f>
        <v>1.2825702150989449</v>
      </c>
      <c r="D9" s="144">
        <f>C9*D4*C8</f>
        <v>1.1950675769558861</v>
      </c>
      <c r="E9" s="1">
        <f>D9*(D4)</f>
        <v>0.9124973618569413</v>
      </c>
      <c r="F9" s="1">
        <f>E9*D4</f>
        <v>0.69674004336795226</v>
      </c>
      <c r="G9" s="1"/>
      <c r="H9" s="1"/>
      <c r="I9" s="1"/>
      <c r="J9" s="1"/>
      <c r="K9" s="1"/>
      <c r="L9" s="1"/>
      <c r="M9" s="257"/>
      <c r="N9" s="97">
        <f>B9+F9</f>
        <v>1.0000000000000004</v>
      </c>
      <c r="R9" s="298">
        <f>B9-F9</f>
        <v>-0.39348008673590412</v>
      </c>
      <c r="S9" s="299">
        <f>SUM(C9:E9)*B4*F4*POWER(O2,A9-1)</f>
        <v>971.47505631451952</v>
      </c>
      <c r="T9" s="277">
        <f>SUM(C9:E9)*D4*H4*POWER(O2,A9-1)</f>
        <v>-3320.806326810618</v>
      </c>
      <c r="U9" s="295">
        <f t="shared" ref="U9:U16" si="0">S9+T9+U8</f>
        <v>-2505.3990353139084</v>
      </c>
      <c r="V9" s="93">
        <f>(U9+W9*F9)/B9</f>
        <v>-8254.6632367329767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0.30769550156929298</v>
      </c>
      <c r="C10" s="97">
        <f>1/(1-D4*B4/(1-D4*B4/(1-D4*B4)))</f>
        <v>1.3013293611709258</v>
      </c>
      <c r="D10" s="144">
        <f>C10*D4*C9</f>
        <v>1.2744051930388611</v>
      </c>
      <c r="E10" s="1">
        <f>D10*D4*C8</f>
        <v>1.1874596089754483</v>
      </c>
      <c r="F10" s="1">
        <f>E10*D4</f>
        <v>0.90668827553822029</v>
      </c>
      <c r="G10" s="1">
        <f>F10*D4</f>
        <v>0.6923044984307074</v>
      </c>
      <c r="H10" s="1"/>
      <c r="I10" s="1"/>
      <c r="J10" s="1"/>
      <c r="K10" s="1"/>
      <c r="L10" s="1"/>
      <c r="M10" s="257"/>
      <c r="N10" s="97">
        <f>B10+G10</f>
        <v>1.0000000000000004</v>
      </c>
      <c r="R10" s="298">
        <f>B10-G10</f>
        <v>-0.38460899686141442</v>
      </c>
      <c r="S10" s="299">
        <f>SUM(C10:F10)*B4*F4*POWER(O2,A10-1)</f>
        <v>13381.9865556284</v>
      </c>
      <c r="T10" s="277">
        <f>SUM(C10:F10)*D4*H4*POWER(O2,A10-1)</f>
        <v>-45743.825670432954</v>
      </c>
      <c r="U10" s="295">
        <f t="shared" si="0"/>
        <v>-34867.238150118465</v>
      </c>
      <c r="V10" s="93">
        <f>(U10+W10*G10)/B10</f>
        <v>-113308.34787740069</v>
      </c>
      <c r="W10" s="9">
        <f t="shared" si="1"/>
        <v>4</v>
      </c>
    </row>
    <row r="11" spans="1:23" x14ac:dyDescent="0.2">
      <c r="A11" s="99">
        <v>5</v>
      </c>
      <c r="B11" s="97">
        <f>C11*B4</f>
        <v>0.30905761354927686</v>
      </c>
      <c r="C11" s="97">
        <f>1/(1-D4*B4/(1-D4*B4/(1-D4*B4/(1-D4*B4))))</f>
        <v>1.3070901093902378</v>
      </c>
      <c r="D11" s="144">
        <f>C11*D4*C10</f>
        <v>1.2987689902405426</v>
      </c>
      <c r="E11" s="1">
        <f>D11*D4*C9</f>
        <v>1.2718977955212565</v>
      </c>
      <c r="F11" s="1">
        <f>E11*D4*C8</f>
        <v>1.1851232772560987</v>
      </c>
      <c r="G11" s="1">
        <f>F11*D4</f>
        <v>0.90490436258514717</v>
      </c>
      <c r="H11" s="1">
        <f>G11*D4</f>
        <v>0.6909423864507237</v>
      </c>
      <c r="I11" s="1"/>
      <c r="J11" s="1"/>
      <c r="K11" s="1"/>
      <c r="L11" s="1"/>
      <c r="M11" s="257"/>
      <c r="N11" s="97">
        <f>B11+H11</f>
        <v>1.0000000000000004</v>
      </c>
      <c r="R11" s="298">
        <f>B11-H11</f>
        <v>-0.38188477290144685</v>
      </c>
      <c r="S11" s="299">
        <f>SUM(C11:G11)*B4*F4*POWER(O2,A11-1)</f>
        <v>171012.46864792099</v>
      </c>
      <c r="T11" s="277">
        <f>SUM(C11:G11)*D4*H4*POWER(O2,A11-1)</f>
        <v>-584574.23498237343</v>
      </c>
      <c r="U11" s="295">
        <f t="shared" si="0"/>
        <v>-448429.00448457088</v>
      </c>
      <c r="V11" s="93">
        <f>(U11+W11*H11)/B11</f>
        <v>-1450944.8404225791</v>
      </c>
      <c r="W11" s="9">
        <f t="shared" si="1"/>
        <v>5</v>
      </c>
    </row>
    <row r="12" spans="1:23" x14ac:dyDescent="0.2">
      <c r="A12" s="99">
        <v>6</v>
      </c>
      <c r="B12" s="97">
        <f>C12*B4</f>
        <v>0.30947832829795113</v>
      </c>
      <c r="C12" s="97">
        <f>1/(1-D4*B4/(1-D4*B4/(1-D4*B4/(1-D4*B4/(1-D4*B4)))))</f>
        <v>1.3088694283998925</v>
      </c>
      <c r="D12" s="144">
        <f>C12*D4*C11</f>
        <v>1.3062942223558769</v>
      </c>
      <c r="E12" s="1">
        <f>D12*D4*C10</f>
        <v>1.2979781699347837</v>
      </c>
      <c r="F12" s="1">
        <f>E12*D4*C9</f>
        <v>1.2711233370832229</v>
      </c>
      <c r="G12" s="1">
        <f>F12*D4*C8</f>
        <v>1.1844016558133907</v>
      </c>
      <c r="H12" s="1">
        <f>G12*D4</f>
        <v>0.90435336641101649</v>
      </c>
      <c r="I12" s="1">
        <f>H12*D4</f>
        <v>0.6905216717020497</v>
      </c>
      <c r="J12" s="1"/>
      <c r="K12" s="1"/>
      <c r="L12" s="1"/>
      <c r="M12" s="257"/>
      <c r="N12" s="97">
        <f>B12+I12</f>
        <v>1.0000000000000009</v>
      </c>
      <c r="R12" s="298">
        <f>B12-I12</f>
        <v>-0.38104334340409857</v>
      </c>
      <c r="S12" s="299">
        <f>SUM(C12:H12)*B4*F4*POWER(O2,A12-1)</f>
        <v>2084152.2146359396</v>
      </c>
      <c r="T12" s="277">
        <f>SUM(C12:H12)*D4*H4*POWER(O2,A12-1)</f>
        <v>-7124285.7090492928</v>
      </c>
      <c r="U12" s="295">
        <f t="shared" si="0"/>
        <v>-5488562.4988979241</v>
      </c>
      <c r="V12" s="93">
        <f>(U12+W12*I12)/B12</f>
        <v>-17734871.407485984</v>
      </c>
      <c r="W12" s="9">
        <f t="shared" si="1"/>
        <v>6</v>
      </c>
    </row>
    <row r="13" spans="1:23" x14ac:dyDescent="0.2">
      <c r="A13" s="99">
        <v>7</v>
      </c>
      <c r="B13" s="97">
        <f>C13*B4</f>
        <v>0.30960850584928529</v>
      </c>
      <c r="C13" s="97">
        <f>1/(1-D4*B4/(1-D4*B4/(1-D4*B4/(1-D4*B4/(1-D4*B4/(1-D4*B4))))))</f>
        <v>1.3094199852616357</v>
      </c>
      <c r="D13" s="144">
        <f>C13*D4*C12</f>
        <v>1.3086226795660942</v>
      </c>
      <c r="E13" s="1">
        <f>D13*D4*C11</f>
        <v>1.3060479590014353</v>
      </c>
      <c r="F13" s="1">
        <f>E13*D4*C10</f>
        <v>1.2977334743274316</v>
      </c>
      <c r="G13" s="1">
        <f>F13*D4*C9</f>
        <v>1.2708837041647409</v>
      </c>
      <c r="H13" s="1">
        <f>G13*D4*C8</f>
        <v>1.1841783717172238</v>
      </c>
      <c r="I13" s="1">
        <f>H13*D4</f>
        <v>0.90418287718293799</v>
      </c>
      <c r="J13" s="1">
        <f>I13*D4</f>
        <v>0.69039149415071577</v>
      </c>
      <c r="K13" s="1"/>
      <c r="L13" s="1"/>
      <c r="M13" s="257"/>
      <c r="N13" s="97">
        <f>B13+J13</f>
        <v>1.0000000000000011</v>
      </c>
      <c r="R13" s="298">
        <f>B13-J13</f>
        <v>-0.38078298830143048</v>
      </c>
      <c r="S13" s="299">
        <f>SUM(C13:I13)*B4*F4*POWER(O2,A13-1)</f>
        <v>24589858.991772622</v>
      </c>
      <c r="T13" s="277">
        <f>SUM(C13:I13)*D4*H4*POWER(O2,A13-1)</f>
        <v>-84055847.635497391</v>
      </c>
      <c r="U13" s="295">
        <f t="shared" si="0"/>
        <v>-64954551.142622694</v>
      </c>
      <c r="V13" s="93">
        <f>(U13+W13*J13)/B13</f>
        <v>-209795742.30916494</v>
      </c>
      <c r="W13" s="9">
        <f t="shared" si="1"/>
        <v>7</v>
      </c>
    </row>
    <row r="14" spans="1:23" x14ac:dyDescent="0.2">
      <c r="A14" s="99">
        <v>8</v>
      </c>
      <c r="B14" s="97">
        <f>C14*B4</f>
        <v>0.30964880757369134</v>
      </c>
      <c r="C14" s="97">
        <f>1/(1-D4*B4/(1-D4*B4/(1-D4*B4/(1-D4*B4/(1-D4*B4/(1-D4*B4/(1-D4*B4)))))))</f>
        <v>1.3095904323985226</v>
      </c>
      <c r="D14" s="144">
        <f>C14*D4*C13</f>
        <v>1.3093435476406268</v>
      </c>
      <c r="E14" s="1">
        <f>D14*D4*C12</f>
        <v>1.3085462884879449</v>
      </c>
      <c r="F14" s="1">
        <f>E14*D4*C11</f>
        <v>1.3059717182230499</v>
      </c>
      <c r="G14" s="1">
        <f>F14*D4*C10</f>
        <v>1.2976577189085452</v>
      </c>
      <c r="H14" s="1">
        <f>G14*D4*C9</f>
        <v>1.2708095161058912</v>
      </c>
      <c r="I14" s="1">
        <f>H14*D4*C8</f>
        <v>1.1841092450973436</v>
      </c>
      <c r="J14" s="1">
        <f>I14*D4</f>
        <v>0.90413009534909761</v>
      </c>
      <c r="K14" s="1">
        <f>J14*D4</f>
        <v>0.69035119242630949</v>
      </c>
      <c r="L14" s="1"/>
      <c r="M14" s="257"/>
      <c r="N14" s="97">
        <f>B14+K14</f>
        <v>1.0000000000000009</v>
      </c>
      <c r="R14" s="298">
        <f>B14-K14</f>
        <v>-0.38070238485261815</v>
      </c>
      <c r="S14" s="299">
        <f>SUM(C14:J14)*B4*F4*POWER(O2,A14-1)</f>
        <v>283411778.88135391</v>
      </c>
      <c r="T14" s="277">
        <f>SUM(C14:J14)*D4*H4*POWER(O2,A14-1)</f>
        <v>-968790317.65602887</v>
      </c>
      <c r="U14" s="295">
        <f t="shared" si="0"/>
        <v>-750333089.9172976</v>
      </c>
      <c r="V14" s="93">
        <f>(U14+W14*K14)/B14</f>
        <v>-2423174467.4680238</v>
      </c>
      <c r="W14" s="9">
        <f t="shared" si="1"/>
        <v>8</v>
      </c>
    </row>
    <row r="15" spans="1:23" x14ac:dyDescent="0.2">
      <c r="A15" s="99">
        <v>9</v>
      </c>
      <c r="B15" s="97">
        <f>C15*B4</f>
        <v>0.30966128672901294</v>
      </c>
      <c r="C15" s="97">
        <f>1/(1-D4*B4/(1-D4*B4/(1-D4*B4/(1-D4*B4/(1-D4*B4/(1-D4*B4/(1-D4*B4/(1-D4*B4))))))))</f>
        <v>1.3096432101971571</v>
      </c>
      <c r="D15" s="144">
        <f>C15*D4*C14</f>
        <v>1.3095667595453533</v>
      </c>
      <c r="E15" s="1">
        <f>D15*D4*C13</f>
        <v>1.3093198792502776</v>
      </c>
      <c r="F15" s="1">
        <f>E15*D4*C12</f>
        <v>1.3085226345092762</v>
      </c>
      <c r="G15" s="1">
        <f>F15*D4*C11</f>
        <v>1.3059481107836828</v>
      </c>
      <c r="H15" s="1">
        <f>G15*D4*C10</f>
        <v>1.2976342617574517</v>
      </c>
      <c r="I15" s="1">
        <f>H15*D4*C9</f>
        <v>1.2707865442771908</v>
      </c>
      <c r="J15" s="1">
        <f>I15*D4*C8</f>
        <v>1.1840878405088542</v>
      </c>
      <c r="K15" s="1">
        <f>J15*D4</f>
        <v>0.90411375181262754</v>
      </c>
      <c r="L15" s="1">
        <f>K15*D4</f>
        <v>0.69033871327098817</v>
      </c>
      <c r="M15" s="257"/>
      <c r="N15" s="97">
        <f>B15+L15</f>
        <v>1.0000000000000011</v>
      </c>
      <c r="R15" s="298">
        <f>B15-L15</f>
        <v>-0.38067742654197523</v>
      </c>
      <c r="S15" s="299">
        <f>SUM(C15:K15)*B4*F4*POWER(O2,A15-1)</f>
        <v>3209357115.135623</v>
      </c>
      <c r="T15" s="277">
        <f>SUM(C15:K15)*D4*H4*POWER(O2,A15-1)</f>
        <v>-10970588841.847307</v>
      </c>
      <c r="U15" s="295">
        <f t="shared" si="0"/>
        <v>-8511564816.6289816</v>
      </c>
      <c r="V15" s="93">
        <f>(U15+W15*L15)/B15</f>
        <v>-27486693284.538574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0.30966515101867598</v>
      </c>
      <c r="C16" s="145">
        <f>1/(1-D4*B4/(1-D4*B4/(1-D4*B4/(1-D4*B4/(1-D4*B4/(1-D4*B4/(1-D4*B4/(1-D4*B4/(1-D4*B4)))))))))</f>
        <v>1.309659553346709</v>
      </c>
      <c r="D16" s="153">
        <f>C16*D4*C15</f>
        <v>1.3096358792440728</v>
      </c>
      <c r="E16" s="111">
        <f>D16*D4*C14</f>
        <v>1.3095594290202148</v>
      </c>
      <c r="F16" s="111">
        <f>E16*D4*C13</f>
        <v>1.3093125501070941</v>
      </c>
      <c r="G16" s="111">
        <f>F16*D4*C12</f>
        <v>1.3085153098288074</v>
      </c>
      <c r="H16" s="111">
        <f>G16*D4*C11</f>
        <v>1.3059408005145532</v>
      </c>
      <c r="I16" s="111">
        <f>H16*D4*C10</f>
        <v>1.2976269980265216</v>
      </c>
      <c r="J16" s="111">
        <f>I16*D4*C9</f>
        <v>1.2707794308309763</v>
      </c>
      <c r="K16" s="111">
        <f>J16*D4*C8</f>
        <v>1.1840812123735434</v>
      </c>
      <c r="L16" s="111">
        <f>K16*D4</f>
        <v>0.90410869088042434</v>
      </c>
      <c r="M16" s="259">
        <f>L16*D4</f>
        <v>0.69033484898132536</v>
      </c>
      <c r="N16" s="145">
        <f>B16+M16</f>
        <v>1.0000000000000013</v>
      </c>
      <c r="R16" s="300">
        <f>B16-M16</f>
        <v>-0.38066969796264938</v>
      </c>
      <c r="S16" s="301">
        <f>SUM(C16:L16)*B4*F4*POWER(O2,A16-1)</f>
        <v>35846343908.327858</v>
      </c>
      <c r="T16" s="278">
        <f>SUM(C16:L16)*D4*H4*POWER(O2,A16-1)</f>
        <v>-122534042299.96521</v>
      </c>
      <c r="U16" s="295">
        <f t="shared" si="0"/>
        <v>-95199263208.266342</v>
      </c>
      <c r="V16" s="94">
        <f>(U16+W16*M16)/B16</f>
        <v>-307426466582.35529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10</v>
      </c>
      <c r="D21" s="57">
        <f>SUM($C$21:C21)</f>
        <v>10</v>
      </c>
      <c r="E21" s="57">
        <f t="shared" ref="E21:E30" si="3">D21/R7</f>
        <v>-18.971520486241303</v>
      </c>
      <c r="F21" s="8">
        <f t="shared" ref="F21:F30" si="4">U7/E21</f>
        <v>0.36527933855783595</v>
      </c>
      <c r="G21" s="281">
        <f>E21*U7</f>
        <v>131.4708243290998</v>
      </c>
      <c r="O21" s="101">
        <v>1</v>
      </c>
      <c r="P21" s="109">
        <v>1</v>
      </c>
      <c r="Q21" s="110">
        <f>P21*10+45</f>
        <v>55</v>
      </c>
      <c r="R21" s="57">
        <f>SUM($Q$21)</f>
        <v>55</v>
      </c>
      <c r="S21" s="276">
        <f>R21/R7</f>
        <v>-104.34336267432717</v>
      </c>
      <c r="T21" s="8">
        <f>U7/S21</f>
        <v>6.6414425192333801E-2</v>
      </c>
      <c r="U21" s="281">
        <f>S21*U7</f>
        <v>723.08953381004892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-260.09651374554198</v>
      </c>
      <c r="F22" s="9">
        <f t="shared" si="4"/>
        <v>0.60003789581929734</v>
      </c>
      <c r="G22" s="282">
        <f t="shared" ref="G22:G30" si="5">E22*U8</f>
        <v>40592.681537171527</v>
      </c>
      <c r="O22" s="99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77">
        <f t="shared" ref="S22:S30" si="7">R22/R8</f>
        <v>-1536.9339448600208</v>
      </c>
      <c r="T22" s="9">
        <f>U8/S22</f>
        <v>0.10154487467711187</v>
      </c>
      <c r="U22" s="282">
        <f t="shared" ref="U22:U30" si="8">S22*U8</f>
        <v>239865.84544692264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-2820.9813848724943</v>
      </c>
      <c r="F23" s="9">
        <f t="shared" si="4"/>
        <v>0.88813029704807855</v>
      </c>
      <c r="G23" s="282">
        <f t="shared" si="5"/>
        <v>7067684.040298041</v>
      </c>
      <c r="O23" s="99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77">
        <f t="shared" si="7"/>
        <v>-16887.76693916912</v>
      </c>
      <c r="T23" s="9">
        <f t="shared" ref="T23:T30" si="11">U9/S23</f>
        <v>0.14835585097417114</v>
      </c>
      <c r="U23" s="282">
        <f t="shared" si="8"/>
        <v>42310594.998000428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-28886.479751286861</v>
      </c>
      <c r="F24" s="9">
        <f t="shared" si="4"/>
        <v>1.2070435182938886</v>
      </c>
      <c r="G24" s="282">
        <f t="shared" si="5"/>
        <v>1007191768.8066938</v>
      </c>
      <c r="O24" s="99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77">
        <f t="shared" si="7"/>
        <v>-173266.8776440825</v>
      </c>
      <c r="T24" s="9">
        <f t="shared" si="11"/>
        <v>0.20123429604209336</v>
      </c>
      <c r="U24" s="282">
        <f t="shared" si="8"/>
        <v>6041337486.3436613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-290951.63746859896</v>
      </c>
      <c r="F25" s="9">
        <f t="shared" si="4"/>
        <v>1.5412492893530036</v>
      </c>
      <c r="G25" s="282">
        <f t="shared" si="5"/>
        <v>130471153143.1996</v>
      </c>
      <c r="O25" s="99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77">
        <f t="shared" si="7"/>
        <v>-1745644.3600385154</v>
      </c>
      <c r="T25" s="9">
        <f t="shared" si="11"/>
        <v>0.25688451482447255</v>
      </c>
      <c r="U25" s="282">
        <f t="shared" si="8"/>
        <v>782797562556.17725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-2915967.4856769815</v>
      </c>
      <c r="F26" s="9">
        <f t="shared" si="4"/>
        <v>1.882244066800244</v>
      </c>
      <c r="G26" s="282">
        <f t="shared" si="5"/>
        <v>16004469789892.35</v>
      </c>
      <c r="O26" s="99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77">
        <f t="shared" si="7"/>
        <v>-17495726.182861045</v>
      </c>
      <c r="T26" s="9">
        <f t="shared" si="11"/>
        <v>0.31370875615752175</v>
      </c>
      <c r="U26" s="282">
        <f t="shared" si="8"/>
        <v>96026386618237.656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-29179638.642901681</v>
      </c>
      <c r="F27" s="9">
        <f t="shared" si="4"/>
        <v>2.2260231505102519</v>
      </c>
      <c r="G27" s="282">
        <f t="shared" si="5"/>
        <v>1895350330553606.8</v>
      </c>
      <c r="O27" s="99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77">
        <f t="shared" si="7"/>
        <v>-175077739.94153917</v>
      </c>
      <c r="T27" s="9">
        <f t="shared" si="11"/>
        <v>0.37100405319552276</v>
      </c>
      <c r="U27" s="282">
        <f t="shared" si="8"/>
        <v>1.1372096012967502E+16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-291858192.70087999</v>
      </c>
      <c r="F28" s="9">
        <f t="shared" si="4"/>
        <v>2.5708823965969665</v>
      </c>
      <c r="G28" s="282">
        <f t="shared" si="5"/>
        <v>2.1899085954692934E+17</v>
      </c>
      <c r="O28" s="99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77">
        <f t="shared" si="7"/>
        <v>-1751149051.1363294</v>
      </c>
      <c r="T28" s="9">
        <f t="shared" si="11"/>
        <v>0.42848042514165352</v>
      </c>
      <c r="U28" s="282">
        <f t="shared" si="8"/>
        <v>1.3139450784448658E+18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-2918773303.9313374</v>
      </c>
      <c r="F29" s="9">
        <f t="shared" si="4"/>
        <v>2.9161445341317305</v>
      </c>
      <c r="G29" s="282">
        <f t="shared" si="5"/>
        <v>2.4843328161457902E+19</v>
      </c>
      <c r="O29" s="99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77">
        <f t="shared" si="7"/>
        <v>-17512639705.377705</v>
      </c>
      <c r="T29" s="9">
        <f t="shared" si="11"/>
        <v>0.48602409230261773</v>
      </c>
      <c r="U29" s="282">
        <f t="shared" si="8"/>
        <v>1.4905996796259261E+20</v>
      </c>
    </row>
    <row r="30" spans="1:21" ht="17" thickBot="1" x14ac:dyDescent="0.25">
      <c r="A30" s="145">
        <v>10</v>
      </c>
      <c r="B30" s="94">
        <f t="shared" si="9"/>
        <v>1000000000</v>
      </c>
      <c r="C30" s="111">
        <f t="shared" si="2"/>
        <v>10000000000</v>
      </c>
      <c r="D30" s="10">
        <f>SUM($C$21:C30)</f>
        <v>11111111110</v>
      </c>
      <c r="E30" s="10">
        <f t="shared" si="3"/>
        <v>-29188325652.04652</v>
      </c>
      <c r="F30" s="10">
        <f t="shared" si="4"/>
        <v>3.2615527297843312</v>
      </c>
      <c r="G30" s="283">
        <f t="shared" si="5"/>
        <v>2.7787070963577688E+21</v>
      </c>
      <c r="O30" s="100">
        <v>10</v>
      </c>
      <c r="P30" s="94">
        <f t="shared" si="10"/>
        <v>5999999995</v>
      </c>
      <c r="Q30" s="111">
        <f t="shared" si="6"/>
        <v>59999999995</v>
      </c>
      <c r="R30" s="10">
        <f>SUM($Q$21:Q30)</f>
        <v>66666666610</v>
      </c>
      <c r="S30" s="278">
        <f t="shared" si="7"/>
        <v>-175129953780.93167</v>
      </c>
      <c r="T30" s="10">
        <f t="shared" si="11"/>
        <v>0.54359212203841589</v>
      </c>
      <c r="U30" s="283">
        <f t="shared" si="8"/>
        <v>1.6672242565642434E+22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10</v>
      </c>
      <c r="D33" s="57">
        <f>SUM($C$33:C33)</f>
        <v>10</v>
      </c>
      <c r="E33" s="9">
        <f t="shared" ref="E33:E42" si="13">D33/R7</f>
        <v>-18.971520486241303</v>
      </c>
      <c r="F33" s="8">
        <f t="shared" ref="F33:F42" si="14">U7/E33</f>
        <v>0.36527933855783595</v>
      </c>
      <c r="G33" s="284">
        <f>E33*U7</f>
        <v>131.4708243290998</v>
      </c>
      <c r="O33" s="101">
        <v>1</v>
      </c>
      <c r="P33" s="109">
        <v>1</v>
      </c>
      <c r="Q33" s="110">
        <f>P33*10+45</f>
        <v>55</v>
      </c>
      <c r="R33" s="57">
        <f>SUM($Q$21)</f>
        <v>55</v>
      </c>
      <c r="S33" s="276">
        <f>R33/R7</f>
        <v>-104.34336267432717</v>
      </c>
      <c r="T33" s="8">
        <f>U7/S33</f>
        <v>6.6414425192333801E-2</v>
      </c>
      <c r="U33" s="284">
        <f>S33*U7</f>
        <v>723.08953381004892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-283.74165135877308</v>
      </c>
      <c r="F34" s="9">
        <f t="shared" si="14"/>
        <v>0.55003473783435597</v>
      </c>
      <c r="G34" s="282">
        <f t="shared" ref="G34:G42" si="16">E34*U8</f>
        <v>44282.925313278029</v>
      </c>
      <c r="O34" s="99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77">
        <f>R34/R8</f>
        <v>-1560.5790824732519</v>
      </c>
      <c r="T34" s="9">
        <f t="shared" ref="T34:T42" si="18">U8/S34</f>
        <v>0.10000631596988289</v>
      </c>
      <c r="U34" s="282">
        <f t="shared" ref="U34:U42" si="19">S34*U8</f>
        <v>243556.08922302915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-3380.0948125048808</v>
      </c>
      <c r="F35" s="9">
        <f t="shared" si="14"/>
        <v>0.74122152610779479</v>
      </c>
      <c r="G35" s="282">
        <f t="shared" si="16"/>
        <v>8468486.2825192735</v>
      </c>
      <c r="O35" s="99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77">
        <f t="shared" ref="S35:S42" si="21">R35/R9</f>
        <v>-17192.737899695876</v>
      </c>
      <c r="T35" s="9">
        <f t="shared" si="18"/>
        <v>0.14572426159990648</v>
      </c>
      <c r="U35" s="282">
        <f t="shared" si="19"/>
        <v>43074668.948302917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-38064.632183513924</v>
      </c>
      <c r="F36" s="9">
        <f t="shared" si="14"/>
        <v>0.9160009213282172</v>
      </c>
      <c r="G36" s="282">
        <f t="shared" si="16"/>
        <v>1327208595.4392438</v>
      </c>
      <c r="O36" s="99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77">
        <f t="shared" si="21"/>
        <v>-176464.93075786132</v>
      </c>
      <c r="T36" s="9">
        <f t="shared" si="18"/>
        <v>0.19758735064454253</v>
      </c>
      <c r="U36" s="282">
        <f t="shared" si="19"/>
        <v>6152844765.8785152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-421724.06816954241</v>
      </c>
      <c r="F37" s="9">
        <f t="shared" si="14"/>
        <v>1.0633232445825038</v>
      </c>
      <c r="G37" s="282">
        <f t="shared" si="16"/>
        <v>189113304056.4512</v>
      </c>
      <c r="O37" s="99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77">
        <f t="shared" si="21"/>
        <v>-1777957.7720298979</v>
      </c>
      <c r="T37" s="9">
        <f t="shared" si="18"/>
        <v>0.25221577899040798</v>
      </c>
      <c r="U37" s="282">
        <f t="shared" si="19"/>
        <v>797287833726.97278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-4649234.8722681943</v>
      </c>
      <c r="F38" s="9">
        <f t="shared" si="14"/>
        <v>1.1805302699668196</v>
      </c>
      <c r="G38" s="282">
        <f t="shared" si="16"/>
        <v>25517616168499.691</v>
      </c>
      <c r="O38" s="99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77">
        <f t="shared" si="21"/>
        <v>-17819705.074336078</v>
      </c>
      <c r="T38" s="9">
        <f t="shared" si="18"/>
        <v>0.30800523779725997</v>
      </c>
      <c r="U38" s="282">
        <f t="shared" si="19"/>
        <v>97804565012422.047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-51176577.207209215</v>
      </c>
      <c r="F39" s="9">
        <f t="shared" si="14"/>
        <v>1.2692242171575434</v>
      </c>
      <c r="G39" s="282">
        <f t="shared" si="16"/>
        <v>3324151601510050</v>
      </c>
      <c r="O39" s="99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77">
        <f t="shared" si="21"/>
        <v>-178319901.58722359</v>
      </c>
      <c r="T39" s="9">
        <f t="shared" si="18"/>
        <v>0.36425856320277722</v>
      </c>
      <c r="U39" s="282">
        <f t="shared" si="19"/>
        <v>1.158268916739476E+16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-563061563.38627887</v>
      </c>
      <c r="F40" s="9">
        <f t="shared" si="14"/>
        <v>1.3325951169615609</v>
      </c>
      <c r="G40" s="282">
        <f t="shared" si="16"/>
        <v>4.2248372266929094E+17</v>
      </c>
      <c r="O40" s="99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77">
        <f t="shared" si="21"/>
        <v>-1783577715.8655493</v>
      </c>
      <c r="T40" s="9">
        <f t="shared" si="18"/>
        <v>0.42068987700553873</v>
      </c>
      <c r="U40" s="282">
        <f t="shared" si="19"/>
        <v>1.3382773786530335E+18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-6194083298.8687916</v>
      </c>
      <c r="F41" s="9">
        <f t="shared" si="14"/>
        <v>1.3741443900477452</v>
      </c>
      <c r="G41" s="282">
        <f t="shared" si="16"/>
        <v>5.2721341477920784E+19</v>
      </c>
      <c r="O41" s="99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77">
        <f t="shared" si="21"/>
        <v>-17836947823.990005</v>
      </c>
      <c r="T41" s="9">
        <f t="shared" si="18"/>
        <v>0.47718729126859111</v>
      </c>
      <c r="U41" s="282">
        <f t="shared" si="19"/>
        <v>1.5182033753472021E+20</v>
      </c>
    </row>
    <row r="42" spans="1:21" ht="17" thickBot="1" x14ac:dyDescent="0.25">
      <c r="A42" s="145">
        <v>10</v>
      </c>
      <c r="B42" s="94">
        <f t="shared" si="15"/>
        <v>2357947691</v>
      </c>
      <c r="C42" s="111">
        <f t="shared" si="12"/>
        <v>23579476910</v>
      </c>
      <c r="D42" s="10">
        <f>SUM($C$33:C42)</f>
        <v>25937424600</v>
      </c>
      <c r="E42" s="9">
        <f t="shared" si="13"/>
        <v>-68136299628.831848</v>
      </c>
      <c r="F42" s="10">
        <f t="shared" si="14"/>
        <v>1.3971886311240596</v>
      </c>
      <c r="G42" s="283">
        <f t="shared" si="16"/>
        <v>6.4865255224024634E+21</v>
      </c>
      <c r="O42" s="100">
        <v>10</v>
      </c>
      <c r="P42" s="94">
        <f t="shared" si="20"/>
        <v>6111111106</v>
      </c>
      <c r="Q42" s="111">
        <f t="shared" si="17"/>
        <v>61111111105</v>
      </c>
      <c r="R42" s="10">
        <f>SUM($Q$33:Q42)</f>
        <v>67901234500</v>
      </c>
      <c r="S42" s="278">
        <f t="shared" si="21"/>
        <v>-178373101046.41516</v>
      </c>
      <c r="T42" s="10">
        <f t="shared" si="18"/>
        <v>0.53370862899050109</v>
      </c>
      <c r="U42" s="283">
        <f t="shared" si="19"/>
        <v>1.6980987795792365E+22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10</v>
      </c>
      <c r="D45" s="57">
        <f>SUM(C45:C45)</f>
        <v>10</v>
      </c>
      <c r="E45" s="57">
        <f t="shared" ref="E45:E54" si="23">D45/R7</f>
        <v>-18.971520486241303</v>
      </c>
      <c r="F45" s="8">
        <f t="shared" ref="F45:F54" si="24">U7/E45</f>
        <v>0.36527933855783595</v>
      </c>
      <c r="G45" s="281">
        <f>E45*U7</f>
        <v>131.4708243290998</v>
      </c>
      <c r="O45" s="101">
        <v>1</v>
      </c>
      <c r="P45" s="109">
        <v>1</v>
      </c>
      <c r="Q45" s="110">
        <f>P45*10+45</f>
        <v>55</v>
      </c>
      <c r="R45" s="57">
        <f>SUM($Q$21)</f>
        <v>55</v>
      </c>
      <c r="S45" s="276">
        <f>R45/R7</f>
        <v>-104.34336267432717</v>
      </c>
      <c r="T45" s="8">
        <f>U7/S45</f>
        <v>6.6414425192333801E-2</v>
      </c>
      <c r="U45" s="284">
        <f>S45*U7</f>
        <v>723.08953381004892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-496.54788987785292</v>
      </c>
      <c r="F46" s="9">
        <f t="shared" si="24"/>
        <v>0.31430556447677477</v>
      </c>
      <c r="G46" s="282">
        <f t="shared" ref="G46:G54" si="26">E46*U8</f>
        <v>77495.119298236561</v>
      </c>
      <c r="O46" s="99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77">
        <f t="shared" ref="S46:S54" si="28">R46/R8</f>
        <v>-2837.4165135877311</v>
      </c>
      <c r="T46" s="9">
        <f t="shared" ref="T46:T54" si="29">U8/S46</f>
        <v>5.5003473783435591E-2</v>
      </c>
      <c r="U46" s="282">
        <f t="shared" ref="U46:U54" si="30">S46*U8</f>
        <v>442829.25313278032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-10699.397865147028</v>
      </c>
      <c r="F47" s="9">
        <f t="shared" si="24"/>
        <v>0.23416261988678555</v>
      </c>
      <c r="G47" s="282">
        <f t="shared" si="26"/>
        <v>26806261.089779053</v>
      </c>
      <c r="O47" s="99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77">
        <f t="shared" si="28"/>
        <v>-61362.698682654394</v>
      </c>
      <c r="T47" s="9">
        <f t="shared" si="29"/>
        <v>4.0829348922069464E-2</v>
      </c>
      <c r="U47" s="282">
        <f t="shared" si="30"/>
        <v>153738046.08378035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-218949.63635066306</v>
      </c>
      <c r="F48" s="9">
        <f t="shared" si="24"/>
        <v>0.15924775547138229</v>
      </c>
      <c r="G48" s="282">
        <f t="shared" si="26"/>
        <v>7634169113.5204039</v>
      </c>
      <c r="O48" s="99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77">
        <f t="shared" si="28"/>
        <v>-1256054.8607605014</v>
      </c>
      <c r="T48" s="9">
        <f t="shared" si="29"/>
        <v>2.7759327430178851E-2</v>
      </c>
      <c r="U48" s="282">
        <f t="shared" si="30"/>
        <v>43795163959.75029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-4410257.0186390877</v>
      </c>
      <c r="F49" s="9">
        <f t="shared" si="24"/>
        <v>0.10167865559521214</v>
      </c>
      <c r="G49" s="282">
        <f t="shared" si="26"/>
        <v>1977687164389.4177</v>
      </c>
      <c r="O49" s="99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77">
        <f t="shared" si="28"/>
        <v>-25300917.149931729</v>
      </c>
      <c r="T49" s="9">
        <f t="shared" si="29"/>
        <v>1.7723824074329295E-2</v>
      </c>
      <c r="U49" s="282">
        <f t="shared" si="30"/>
        <v>11345665090090.492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-88399943.426587328</v>
      </c>
      <c r="F50" s="9">
        <f t="shared" si="24"/>
        <v>6.2087850807913229E-2</v>
      </c>
      <c r="G50" s="282">
        <f t="shared" si="26"/>
        <v>485188614395865.25</v>
      </c>
      <c r="O50" s="99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77">
        <f t="shared" si="28"/>
        <v>-507136480.25880057</v>
      </c>
      <c r="T50" s="9">
        <f t="shared" si="29"/>
        <v>1.0822653688997121E-2</v>
      </c>
      <c r="U50" s="282">
        <f t="shared" si="30"/>
        <v>2783450267371540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-1769207739.5713563</v>
      </c>
      <c r="F51" s="9">
        <f t="shared" si="24"/>
        <v>3.6713919846608788E-2</v>
      </c>
      <c r="G51" s="282">
        <f t="shared" si="26"/>
        <v>1.1491809460191155E+17</v>
      </c>
      <c r="O51" s="99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77">
        <f t="shared" si="28"/>
        <v>-10149665409.791315</v>
      </c>
      <c r="T51" s="9">
        <f t="shared" si="29"/>
        <v>6.3996741291551806E-3</v>
      </c>
      <c r="U51" s="282">
        <f t="shared" si="30"/>
        <v>6.5926696094079846E+17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-35391646456.893318</v>
      </c>
      <c r="F52" s="9">
        <f t="shared" si="24"/>
        <v>2.1200852885756419E-2</v>
      </c>
      <c r="G52" s="282">
        <f t="shared" si="26"/>
        <v>2.6555523443261342E+19</v>
      </c>
      <c r="O52" s="99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77">
        <f t="shared" si="28"/>
        <v>-203036287518.72375</v>
      </c>
      <c r="T52" s="9">
        <f t="shared" si="29"/>
        <v>3.6955615131019515E-3</v>
      </c>
      <c r="U52" s="282">
        <f t="shared" si="30"/>
        <v>1.5234484497926085E+20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-707879336733.63367</v>
      </c>
      <c r="F53" s="9">
        <f t="shared" si="24"/>
        <v>1.2024033440365529E-2</v>
      </c>
      <c r="G53" s="282">
        <f t="shared" si="26"/>
        <v>6.0251608569606559E+21</v>
      </c>
      <c r="O53" s="99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77">
        <f t="shared" si="28"/>
        <v>-4060991984363.2729</v>
      </c>
      <c r="T53" s="9">
        <f t="shared" si="29"/>
        <v>2.0959324345880279E-3</v>
      </c>
      <c r="U53" s="282">
        <f t="shared" si="30"/>
        <v>3.4565396494718744E+22</v>
      </c>
    </row>
    <row r="54" spans="1:21" ht="17" thickBot="1" x14ac:dyDescent="0.25">
      <c r="A54" s="145">
        <v>10</v>
      </c>
      <c r="B54" s="94">
        <f t="shared" si="25"/>
        <v>512000000000</v>
      </c>
      <c r="C54" s="111">
        <f t="shared" si="22"/>
        <v>5120000000000</v>
      </c>
      <c r="D54" s="10">
        <f>SUM($C$45:C54)</f>
        <v>5389473684210</v>
      </c>
      <c r="E54" s="10">
        <f t="shared" si="23"/>
        <v>-14157874170322.865</v>
      </c>
      <c r="F54" s="10">
        <f t="shared" si="24"/>
        <v>6.7241212955416003E-3</v>
      </c>
      <c r="G54" s="283">
        <f t="shared" si="26"/>
        <v>1.3478191896100819E+24</v>
      </c>
      <c r="O54" s="100">
        <v>10</v>
      </c>
      <c r="P54" s="94">
        <f t="shared" si="31"/>
        <v>2937263157890</v>
      </c>
      <c r="Q54" s="111">
        <f t="shared" si="27"/>
        <v>29372631578945</v>
      </c>
      <c r="R54" s="10">
        <f>SUM($Q$45:Q54)</f>
        <v>30918559556760</v>
      </c>
      <c r="S54" s="278">
        <f t="shared" si="28"/>
        <v>-81221488661263.688</v>
      </c>
      <c r="T54" s="10">
        <f t="shared" si="29"/>
        <v>1.1720945377558557E-3</v>
      </c>
      <c r="U54" s="283">
        <f t="shared" si="30"/>
        <v>7.7322258772308617E+24</v>
      </c>
    </row>
  </sheetData>
  <mergeCells count="2">
    <mergeCell ref="A18:F18"/>
    <mergeCell ref="O18:T18"/>
  </mergeCells>
  <conditionalFormatting sqref="F45:F54">
    <cfRule type="cellIs" dxfId="248" priority="31" operator="equal">
      <formula>MAX($F$45:$F$54)</formula>
    </cfRule>
  </conditionalFormatting>
  <conditionalFormatting sqref="F21:F30">
    <cfRule type="cellIs" dxfId="247" priority="30" operator="equal">
      <formula>MAX($F$21:$F$30)</formula>
    </cfRule>
  </conditionalFormatting>
  <conditionalFormatting sqref="E33:E42">
    <cfRule type="cellIs" dxfId="246" priority="28" stopIfTrue="1" operator="lessThan">
      <formula>0</formula>
    </cfRule>
    <cfRule type="cellIs" dxfId="245" priority="29" operator="equal">
      <formula>MIN($E$33:$E$42)</formula>
    </cfRule>
  </conditionalFormatting>
  <conditionalFormatting sqref="E21:E30">
    <cfRule type="cellIs" dxfId="244" priority="26" stopIfTrue="1" operator="lessThan">
      <formula>0</formula>
    </cfRule>
    <cfRule type="cellIs" dxfId="243" priority="27" operator="equal">
      <formula>MIN($E$21:$E$30)</formula>
    </cfRule>
  </conditionalFormatting>
  <conditionalFormatting sqref="E45:E54">
    <cfRule type="cellIs" dxfId="242" priority="24" stopIfTrue="1" operator="lessThan">
      <formula>0</formula>
    </cfRule>
    <cfRule type="cellIs" dxfId="241" priority="25" operator="equal">
      <formula>MIN($E$45:$E$54)</formula>
    </cfRule>
  </conditionalFormatting>
  <conditionalFormatting sqref="F33:F42">
    <cfRule type="cellIs" dxfId="240" priority="22" operator="lessThanOrEqual">
      <formula>0</formula>
    </cfRule>
    <cfRule type="cellIs" dxfId="239" priority="23" operator="equal">
      <formula>MAX($F$33:$F$42)</formula>
    </cfRule>
  </conditionalFormatting>
  <conditionalFormatting sqref="R7:R16">
    <cfRule type="cellIs" dxfId="238" priority="20" operator="lessThanOrEqual">
      <formula>0</formula>
    </cfRule>
    <cfRule type="cellIs" dxfId="237" priority="21" operator="greaterThan">
      <formula>0</formula>
    </cfRule>
  </conditionalFormatting>
  <conditionalFormatting sqref="T21:T30">
    <cfRule type="cellIs" dxfId="236" priority="17" operator="equal">
      <formula>MAX($T$21:$T$30)</formula>
    </cfRule>
  </conditionalFormatting>
  <conditionalFormatting sqref="S33:S42">
    <cfRule type="cellIs" dxfId="235" priority="15" stopIfTrue="1" operator="lessThan">
      <formula>0</formula>
    </cfRule>
    <cfRule type="cellIs" dxfId="234" priority="16" operator="equal">
      <formula>MIN($E$21:$E$30)</formula>
    </cfRule>
  </conditionalFormatting>
  <conditionalFormatting sqref="T33:T42">
    <cfRule type="cellIs" dxfId="233" priority="14" operator="equal">
      <formula>MAX($T$21:$T$30)</formula>
    </cfRule>
  </conditionalFormatting>
  <conditionalFormatting sqref="S45:S54">
    <cfRule type="cellIs" dxfId="232" priority="12" stopIfTrue="1" operator="lessThan">
      <formula>0</formula>
    </cfRule>
    <cfRule type="cellIs" dxfId="231" priority="13" operator="equal">
      <formula>MIN($E$21:$E$30)</formula>
    </cfRule>
  </conditionalFormatting>
  <conditionalFormatting sqref="T45:T54">
    <cfRule type="cellIs" dxfId="230" priority="11" operator="equal">
      <formula>MAX($T$21:$T$30)</formula>
    </cfRule>
  </conditionalFormatting>
  <conditionalFormatting sqref="S21:S30">
    <cfRule type="cellIs" dxfId="229" priority="9" stopIfTrue="1" operator="lessThan">
      <formula>0</formula>
    </cfRule>
    <cfRule type="cellIs" dxfId="228" priority="10" operator="equal">
      <formula>MIN($E$21:$E$30)</formula>
    </cfRule>
  </conditionalFormatting>
  <conditionalFormatting sqref="U7:U16">
    <cfRule type="cellIs" dxfId="227" priority="5" operator="lessThanOrEqual">
      <formula>0</formula>
    </cfRule>
    <cfRule type="cellIs" dxfId="226" priority="6" operator="greaterThan">
      <formula>0</formula>
    </cfRule>
  </conditionalFormatting>
  <conditionalFormatting sqref="S7:T16">
    <cfRule type="cellIs" dxfId="225" priority="1" operator="lessThanOrEqual">
      <formula>0</formula>
    </cfRule>
    <cfRule type="cellIs" dxfId="22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166F-4FCC-BD4D-8A94-40AC9759472F}">
  <sheetPr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1.0000000000000004</v>
      </c>
    </row>
    <row r="2" spans="1:23" x14ac:dyDescent="0.2">
      <c r="A2" t="s">
        <v>40</v>
      </c>
      <c r="B2" s="149" t="s">
        <v>125</v>
      </c>
      <c r="C2" s="155">
        <f>Analysis!B60</f>
        <v>0.24437800040267971</v>
      </c>
      <c r="D2" s="149" t="s">
        <v>126</v>
      </c>
      <c r="E2" s="155">
        <f>Analysis!M60</f>
        <v>0.75562199959732068</v>
      </c>
      <c r="F2" s="149" t="s">
        <v>47</v>
      </c>
      <c r="G2" s="155">
        <f>Analysis!S60</f>
        <v>14.37394240131089</v>
      </c>
      <c r="H2" t="s">
        <v>155</v>
      </c>
      <c r="I2" s="169">
        <f>Analysis!T60</f>
        <v>-15.215371430463527</v>
      </c>
      <c r="J2" t="s">
        <v>48</v>
      </c>
      <c r="K2" s="169">
        <f>C2*G2+E2*I2</f>
        <v>-7.9843940829671478</v>
      </c>
      <c r="L2" t="s">
        <v>47</v>
      </c>
      <c r="M2" s="176">
        <v>3</v>
      </c>
      <c r="N2" t="s">
        <v>155</v>
      </c>
      <c r="O2" s="176">
        <v>10</v>
      </c>
    </row>
    <row r="4" spans="1:23" x14ac:dyDescent="0.2">
      <c r="A4" t="s">
        <v>123</v>
      </c>
      <c r="B4">
        <f>$C$2</f>
        <v>0.24437800040267971</v>
      </c>
      <c r="C4" t="s">
        <v>124</v>
      </c>
      <c r="D4">
        <f>$E$2</f>
        <v>0.75562199959732068</v>
      </c>
      <c r="E4" t="s">
        <v>47</v>
      </c>
      <c r="F4">
        <f>G2</f>
        <v>14.37394240131089</v>
      </c>
      <c r="G4" t="s">
        <v>155</v>
      </c>
      <c r="H4">
        <f>I2</f>
        <v>-15.215371430463527</v>
      </c>
      <c r="I4" t="s">
        <v>48</v>
      </c>
      <c r="J4">
        <f>K2</f>
        <v>-7.9843940829671478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263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0.24437800040267971</v>
      </c>
      <c r="C7" s="95">
        <v>1</v>
      </c>
      <c r="D7" s="22">
        <f>C7*D4</f>
        <v>0.75562199959732068</v>
      </c>
      <c r="E7" s="2"/>
      <c r="F7" s="2"/>
      <c r="G7" s="2"/>
      <c r="H7" s="2"/>
      <c r="I7" s="2"/>
      <c r="J7" s="2"/>
      <c r="K7" s="2"/>
      <c r="L7" s="2"/>
      <c r="M7" s="256"/>
      <c r="N7" s="96">
        <f>B7+D7</f>
        <v>1.0000000000000004</v>
      </c>
      <c r="R7" s="296">
        <f>B7-D7</f>
        <v>-0.51124399919464092</v>
      </c>
      <c r="S7" s="297">
        <f>SUM(C7)*B4*F4*POWER(O2,A7-1)</f>
        <v>3.5126753019356474</v>
      </c>
      <c r="T7" s="276">
        <f>SUM(C7)*D4*H4*POWER(O2,A7-1)</f>
        <v>-11.497069384902796</v>
      </c>
      <c r="U7" s="294">
        <f>S7+T7</f>
        <v>-7.9843940829671478</v>
      </c>
      <c r="V7" s="109">
        <f>(U7+W7*D7)/B7</f>
        <v>-29.580289843842099</v>
      </c>
      <c r="W7" s="57">
        <f>COUNT(D7:M7)</f>
        <v>1</v>
      </c>
    </row>
    <row r="8" spans="1:23" x14ac:dyDescent="0.2">
      <c r="A8" s="99">
        <v>2</v>
      </c>
      <c r="B8" s="97">
        <f>C8*B4</f>
        <v>0.29972431024833129</v>
      </c>
      <c r="C8" s="97">
        <f>1/(1-B4*D4)</f>
        <v>1.2264782826377718</v>
      </c>
      <c r="D8" s="144">
        <f>C8*D4</f>
        <v>0.92675397238944102</v>
      </c>
      <c r="E8" s="1">
        <f>D8*D4</f>
        <v>0.70027568975166954</v>
      </c>
      <c r="F8" s="1"/>
      <c r="G8" s="1"/>
      <c r="H8" s="1"/>
      <c r="I8" s="1"/>
      <c r="J8" s="1"/>
      <c r="K8" s="1"/>
      <c r="L8" s="1"/>
      <c r="M8" s="257"/>
      <c r="N8" s="97">
        <f>B8+E8</f>
        <v>1.0000000000000009</v>
      </c>
      <c r="R8" s="298">
        <f>B8-E8</f>
        <v>-0.40055137950333825</v>
      </c>
      <c r="S8" s="299">
        <f>SUM(C8:D8)*B4*F4*POWER(O2,A8-1)</f>
        <v>75.636057615652902</v>
      </c>
      <c r="T8" s="277">
        <f>SUM(C8:D8)*D4*H4*POWER(O2,A8-1)</f>
        <v>-247.55860637858578</v>
      </c>
      <c r="U8" s="295">
        <f>S8+T8+U7</f>
        <v>-179.90694284590003</v>
      </c>
      <c r="V8" s="93">
        <f>(U8+W8*E8)/B8</f>
        <v>-595.5686120972249</v>
      </c>
      <c r="W8" s="9">
        <f>COUNT(D8:M8)</f>
        <v>2</v>
      </c>
    </row>
    <row r="9" spans="1:23" x14ac:dyDescent="0.2">
      <c r="A9" s="99">
        <v>3</v>
      </c>
      <c r="B9" s="97">
        <f>C9*B4</f>
        <v>0.31592907466907133</v>
      </c>
      <c r="C9" s="97">
        <f>1/(1-D4*B4/(1-D4*B4))</f>
        <v>1.2927885249428821</v>
      </c>
      <c r="D9" s="144">
        <f>C9*D4*C8</f>
        <v>1.198096900950302</v>
      </c>
      <c r="E9" s="1">
        <f>D9*(D4)</f>
        <v>0.9053083760074202</v>
      </c>
      <c r="F9" s="1">
        <f>E9*D4</f>
        <v>0.68407092533092995</v>
      </c>
      <c r="G9" s="1"/>
      <c r="H9" s="1"/>
      <c r="I9" s="1"/>
      <c r="J9" s="1"/>
      <c r="K9" s="1"/>
      <c r="L9" s="1"/>
      <c r="M9" s="257"/>
      <c r="N9" s="97">
        <f>B9+F9</f>
        <v>1.0000000000000013</v>
      </c>
      <c r="R9" s="298">
        <f>B9-F9</f>
        <v>-0.36814185066185862</v>
      </c>
      <c r="S9" s="299">
        <f>SUM(C9:E9)*B4*F4*POWER(O2,A9-1)</f>
        <v>1192.972608852318</v>
      </c>
      <c r="T9" s="277">
        <f>SUM(C9:E9)*D4*H4*POWER(O2,A9-1)</f>
        <v>-3904.6275785028074</v>
      </c>
      <c r="U9" s="295">
        <f t="shared" ref="U9:U16" si="0">S9+T9+U8</f>
        <v>-2891.5619124963896</v>
      </c>
      <c r="V9" s="93">
        <f>(U9+W9*F9)/B9</f>
        <v>-9146.0708475378342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0.32101060098195378</v>
      </c>
      <c r="C10" s="97">
        <f>1/(1-D4*B4/(1-D4*B4/(1-D4*B4)))</f>
        <v>1.3135822392072971</v>
      </c>
      <c r="D10" s="144">
        <f>C10*D4*C9</f>
        <v>1.2831852240814823</v>
      </c>
      <c r="E10" s="1">
        <f>D10*D4*C8</f>
        <v>1.1891970037289485</v>
      </c>
      <c r="F10" s="1">
        <f>E10*D4</f>
        <v>0.89858341787281049</v>
      </c>
      <c r="G10" s="1">
        <f>F10*D4</f>
        <v>0.67898939901804789</v>
      </c>
      <c r="H10" s="1"/>
      <c r="I10" s="1"/>
      <c r="J10" s="1"/>
      <c r="K10" s="1"/>
      <c r="L10" s="1"/>
      <c r="M10" s="257"/>
      <c r="N10" s="97">
        <f>B10+G10</f>
        <v>1.0000000000000018</v>
      </c>
      <c r="R10" s="298">
        <f>B10-G10</f>
        <v>-0.35797879803609411</v>
      </c>
      <c r="S10" s="299">
        <f>SUM(C10:F10)*B4*F4*POWER(O2,A10-1)</f>
        <v>16455.295655989874</v>
      </c>
      <c r="T10" s="277">
        <f>SUM(C10:F10)*D4*H4*POWER(O2,A10-1)</f>
        <v>-53858.572069486167</v>
      </c>
      <c r="U10" s="295">
        <f t="shared" si="0"/>
        <v>-40294.838325992685</v>
      </c>
      <c r="V10" s="93">
        <f>(U10+W10*G10)/B10</f>
        <v>-125516.48526604801</v>
      </c>
      <c r="W10" s="9">
        <f t="shared" si="1"/>
        <v>4</v>
      </c>
    </row>
    <row r="11" spans="1:23" x14ac:dyDescent="0.2">
      <c r="A11" s="99">
        <v>5</v>
      </c>
      <c r="B11" s="97">
        <f>C11*B4</f>
        <v>0.3226379152904883</v>
      </c>
      <c r="C11" s="97">
        <f>1/(1-D4*B4/(1-D4*B4/(1-D4*B4/(1-D4*B4))))</f>
        <v>1.3202412441334896</v>
      </c>
      <c r="D11" s="144">
        <f>C11*D4*C10</f>
        <v>1.310434014542244</v>
      </c>
      <c r="E11" s="1">
        <f>D11*D4*C9</f>
        <v>1.28010985106584</v>
      </c>
      <c r="F11" s="1">
        <f>E11*D4*C8</f>
        <v>1.1863468895701228</v>
      </c>
      <c r="G11" s="1">
        <f>F11*D4</f>
        <v>0.89642980891303792</v>
      </c>
      <c r="H11" s="1">
        <f>G11*D4</f>
        <v>0.67736208470951376</v>
      </c>
      <c r="I11" s="1"/>
      <c r="J11" s="1"/>
      <c r="K11" s="1"/>
      <c r="L11" s="1"/>
      <c r="M11" s="257"/>
      <c r="N11" s="97">
        <f>B11+H11</f>
        <v>1.000000000000002</v>
      </c>
      <c r="R11" s="298">
        <f>B11-H11</f>
        <v>-0.35472416941902546</v>
      </c>
      <c r="S11" s="299">
        <f>SUM(C11:G11)*B4*F4*POWER(O2,A11-1)</f>
        <v>210534.36534375785</v>
      </c>
      <c r="T11" s="277">
        <f>SUM(C11:G11)*D4*H4*POWER(O2,A11-1)</f>
        <v>-689083.95971863228</v>
      </c>
      <c r="U11" s="295">
        <f t="shared" si="0"/>
        <v>-518844.43270086712</v>
      </c>
      <c r="V11" s="93">
        <f>(U11+W11*H11)/B11</f>
        <v>-1608121.7405068558</v>
      </c>
      <c r="W11" s="9">
        <f t="shared" si="1"/>
        <v>5</v>
      </c>
    </row>
    <row r="12" spans="1:23" x14ac:dyDescent="0.2">
      <c r="A12" s="99">
        <v>6</v>
      </c>
      <c r="B12" s="97">
        <f>C12*B4</f>
        <v>0.32316254194069777</v>
      </c>
      <c r="C12" s="97">
        <f>1/(1-D4*B4/(1-D4*B4/(1-D4*B4/(1-D4*B4/(1-D4*B4)))))</f>
        <v>1.3223880275974063</v>
      </c>
      <c r="D12" s="144">
        <f>C12*D4*C11</f>
        <v>1.3192186983533039</v>
      </c>
      <c r="E12" s="1">
        <f>D12*D4*C10</f>
        <v>1.3094190646020445</v>
      </c>
      <c r="F12" s="1">
        <f>E12*D4*C9</f>
        <v>1.2791183876252012</v>
      </c>
      <c r="G12" s="1">
        <f>F12*D4*C8</f>
        <v>1.185428046888032</v>
      </c>
      <c r="H12" s="1">
        <f>G12*D4</f>
        <v>0.89573551116828121</v>
      </c>
      <c r="I12" s="1">
        <f>H12*D4</f>
        <v>0.67683745805930484</v>
      </c>
      <c r="J12" s="1"/>
      <c r="K12" s="1"/>
      <c r="L12" s="1"/>
      <c r="M12" s="257"/>
      <c r="N12" s="97">
        <f>B12+I12</f>
        <v>1.0000000000000027</v>
      </c>
      <c r="R12" s="298">
        <f>B12-I12</f>
        <v>-0.35367491611860707</v>
      </c>
      <c r="S12" s="299">
        <f>SUM(C12:H12)*B4*F4*POWER(O2,A12-1)</f>
        <v>2568225.0109921144</v>
      </c>
      <c r="T12" s="277">
        <f>SUM(C12:H12)*D4*H4*POWER(O2,A12-1)</f>
        <v>-8405861.2337861974</v>
      </c>
      <c r="U12" s="295">
        <f t="shared" si="0"/>
        <v>-6356480.6554949498</v>
      </c>
      <c r="V12" s="93">
        <f>(U12+W12*I12)/B12</f>
        <v>-19669595.851974241</v>
      </c>
      <c r="W12" s="9">
        <f t="shared" si="1"/>
        <v>6</v>
      </c>
    </row>
    <row r="13" spans="1:23" x14ac:dyDescent="0.2">
      <c r="A13" s="99">
        <v>7</v>
      </c>
      <c r="B13" s="97">
        <f>C13*B4</f>
        <v>0.32333203916552328</v>
      </c>
      <c r="C13" s="97">
        <f>1/(1-D4*B4/(1-D4*B4/(1-D4*B4/(1-D4*B4/(1-D4*B4/(1-D4*B4))))))</f>
        <v>1.3230816138635439</v>
      </c>
      <c r="D13" s="144">
        <f>C13*D4*C12</f>
        <v>1.3220568681762619</v>
      </c>
      <c r="E13" s="1">
        <f>D13*D4*C11</f>
        <v>1.3188883326123926</v>
      </c>
      <c r="F13" s="1">
        <f>E13*D4*C10</f>
        <v>1.3090911529373748</v>
      </c>
      <c r="G13" s="1">
        <f>F13*D4*C9</f>
        <v>1.2787980640167136</v>
      </c>
      <c r="H13" s="1">
        <f>G13*D4*C8</f>
        <v>1.185131185711416</v>
      </c>
      <c r="I13" s="1">
        <f>H13*D4</f>
        <v>0.89551119633240372</v>
      </c>
      <c r="J13" s="1">
        <f>I13*D4</f>
        <v>0.67666796083447978</v>
      </c>
      <c r="K13" s="1"/>
      <c r="L13" s="1"/>
      <c r="M13" s="257"/>
      <c r="N13" s="97">
        <f>B13+J13</f>
        <v>1.0000000000000031</v>
      </c>
      <c r="R13" s="298">
        <f>B13-J13</f>
        <v>-0.3533359216689565</v>
      </c>
      <c r="S13" s="299">
        <f>SUM(C13:I13)*B4*F4*POWER(O2,A13-1)</f>
        <v>30323374.732145507</v>
      </c>
      <c r="T13" s="277">
        <f>SUM(C13:I13)*D4*H4*POWER(O2,A13-1)</f>
        <v>-99249123.050961703</v>
      </c>
      <c r="U13" s="295">
        <f t="shared" si="0"/>
        <v>-75282228.974311143</v>
      </c>
      <c r="V13" s="93">
        <f>(U13+W13*J13)/B13</f>
        <v>-232832553.284632</v>
      </c>
      <c r="W13" s="9">
        <f t="shared" si="1"/>
        <v>7</v>
      </c>
    </row>
    <row r="14" spans="1:23" x14ac:dyDescent="0.2">
      <c r="A14" s="99">
        <v>8</v>
      </c>
      <c r="B14" s="97">
        <f>C14*B4</f>
        <v>0.3233868386106078</v>
      </c>
      <c r="C14" s="97">
        <f>1/(1-D4*B4/(1-D4*B4/(1-D4*B4/(1-D4*B4/(1-D4*B4/(1-D4*B4/(1-D4*B4)))))))</f>
        <v>1.3233058543638927</v>
      </c>
      <c r="D14" s="144">
        <f>C14*D4*C13</f>
        <v>1.3229744650957034</v>
      </c>
      <c r="E14" s="1">
        <f>D14*D4*C12</f>
        <v>1.3219498023966789</v>
      </c>
      <c r="F14" s="1">
        <f>E14*D4*C11</f>
        <v>1.3187815234342755</v>
      </c>
      <c r="G14" s="1">
        <f>F14*D4*C10</f>
        <v>1.3089851371764734</v>
      </c>
      <c r="H14" s="1">
        <f>G14*D4*C9</f>
        <v>1.2786945015187992</v>
      </c>
      <c r="I14" s="1">
        <f>H14*D4*C8</f>
        <v>1.1850352087550833</v>
      </c>
      <c r="J14" s="1">
        <f>I14*D4</f>
        <v>0.89543867403274435</v>
      </c>
      <c r="K14" s="1">
        <f>J14*D4</f>
        <v>0.67661316138939576</v>
      </c>
      <c r="L14" s="1"/>
      <c r="M14" s="257"/>
      <c r="N14" s="97">
        <f>B14+K14</f>
        <v>1.0000000000000036</v>
      </c>
      <c r="R14" s="298">
        <f>B14-K14</f>
        <v>-0.35322632277878796</v>
      </c>
      <c r="S14" s="299">
        <f>SUM(C14:J14)*B4*F4*POWER(O2,A14-1)</f>
        <v>349692628.08015877</v>
      </c>
      <c r="T14" s="277">
        <f>SUM(C14:J14)*D4*H4*POWER(O2,A14-1)</f>
        <v>-1144552246.6056409</v>
      </c>
      <c r="U14" s="295">
        <f t="shared" si="0"/>
        <v>-870141847.49979329</v>
      </c>
      <c r="V14" s="93">
        <f>(U14+W14*K14)/B14</f>
        <v>-2690715076.1773314</v>
      </c>
      <c r="W14" s="9">
        <f t="shared" si="1"/>
        <v>8</v>
      </c>
    </row>
    <row r="15" spans="1:23" x14ac:dyDescent="0.2">
      <c r="A15" s="99">
        <v>9</v>
      </c>
      <c r="B15" s="97">
        <f>C15*B4</f>
        <v>0.32340455956577541</v>
      </c>
      <c r="C15" s="97">
        <f>1/(1-D4*B4/(1-D4*B4/(1-D4*B4/(1-D4*B4/(1-D4*B4/(1-D4*B4/(1-D4*B4/(1-D4*B4))))))))</f>
        <v>1.3233783688911349</v>
      </c>
      <c r="D15" s="144">
        <f>C15*D4*C14</f>
        <v>1.3232711960908119</v>
      </c>
      <c r="E15" s="1">
        <f>D15*D4*C13</f>
        <v>1.322939815501931</v>
      </c>
      <c r="F15" s="1">
        <f>E15*D4*C12</f>
        <v>1.3219151796395139</v>
      </c>
      <c r="G15" s="1">
        <f>F15*D4*C11</f>
        <v>1.318746983656474</v>
      </c>
      <c r="H15" s="1">
        <f>G15*D4*C10</f>
        <v>1.3089508539726371</v>
      </c>
      <c r="I15" s="1">
        <f>H15*D4*C9</f>
        <v>1.278661011647146</v>
      </c>
      <c r="J15" s="1">
        <f>I15*D4*C8</f>
        <v>1.1850041718834938</v>
      </c>
      <c r="K15" s="1">
        <f>J15*D4</f>
        <v>0.89541522188977274</v>
      </c>
      <c r="L15" s="1">
        <f>K15*D4</f>
        <v>0.6765954404342287</v>
      </c>
      <c r="M15" s="257"/>
      <c r="N15" s="97">
        <f>B15+L15</f>
        <v>1.000000000000004</v>
      </c>
      <c r="R15" s="298">
        <f>B15-L15</f>
        <v>-0.35319088086845329</v>
      </c>
      <c r="S15" s="299">
        <f>SUM(C15:K15)*B4*F4*POWER(O2,A15-1)</f>
        <v>3961694545.0951037</v>
      </c>
      <c r="T15" s="277">
        <f>SUM(C15:K15)*D4*H4*POWER(O2,A15-1)</f>
        <v>-12966719993.063501</v>
      </c>
      <c r="U15" s="295">
        <f t="shared" si="0"/>
        <v>-9875167295.4681911</v>
      </c>
      <c r="V15" s="93">
        <f>(U15+W15*L15)/B15</f>
        <v>-30535028023.840763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0.32341029055493259</v>
      </c>
      <c r="C16" s="145">
        <f>1/(1-D4*B4/(1-D4*B4/(1-D4*B4/(1-D4*B4/(1-D4*B4/(1-D4*B4/(1-D4*B4/(1-D4*B4/(1-D4*B4)))))))))</f>
        <v>1.3234018202212374</v>
      </c>
      <c r="D16" s="153">
        <f>C16*D4*C15</f>
        <v>1.323367159434746</v>
      </c>
      <c r="E16" s="111">
        <f>D16*D4*C14</f>
        <v>1.3232599875422124</v>
      </c>
      <c r="F16" s="111">
        <f>E16*D4*C13</f>
        <v>1.3229286097602357</v>
      </c>
      <c r="G16" s="111">
        <f>F16*D4*C12</f>
        <v>1.3219039825768264</v>
      </c>
      <c r="H16" s="111">
        <f>G16*D4*C11</f>
        <v>1.3187358134294636</v>
      </c>
      <c r="I16" s="111">
        <f>H16*D4*C10</f>
        <v>1.3089397667221141</v>
      </c>
      <c r="J16" s="111">
        <f>I16*D4*C9</f>
        <v>1.2786501809616952</v>
      </c>
      <c r="K16" s="111">
        <f>J16*D4*C8</f>
        <v>1.1849941345027286</v>
      </c>
      <c r="L16" s="111">
        <f>K16*D4</f>
        <v>0.89540763742404816</v>
      </c>
      <c r="M16" s="259">
        <f>L16*D4</f>
        <v>0.67658970944507202</v>
      </c>
      <c r="N16" s="145">
        <f>B16+M16</f>
        <v>1.0000000000000047</v>
      </c>
      <c r="R16" s="300">
        <f>B16-M16</f>
        <v>-0.35317941889013943</v>
      </c>
      <c r="S16" s="301">
        <f>SUM(C16:L16)*B4*F4*POWER(O2,A16-1)</f>
        <v>44265290770.630943</v>
      </c>
      <c r="T16" s="278">
        <f>SUM(C16:L16)*D4*H4*POWER(O2,A16-1)</f>
        <v>-144881344157.37259</v>
      </c>
      <c r="U16" s="295">
        <f t="shared" si="0"/>
        <v>-110491220682.20982</v>
      </c>
      <c r="V16" s="94">
        <f>(U16+W16*M16)/B16</f>
        <v>-341644109362.92249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10</v>
      </c>
      <c r="D21" s="57">
        <f>SUM($C$21:C21)</f>
        <v>10</v>
      </c>
      <c r="E21" s="57">
        <f t="shared" ref="E21:E30" si="3">D21/R7</f>
        <v>-19.560131787860453</v>
      </c>
      <c r="F21" s="8">
        <f t="shared" ref="F21:F30" si="4">U7/E21</f>
        <v>0.40819735621221526</v>
      </c>
      <c r="G21" s="281">
        <f>E21*U7</f>
        <v>156.17580050905062</v>
      </c>
      <c r="O21" s="101">
        <v>1</v>
      </c>
      <c r="P21" s="109">
        <v>1</v>
      </c>
      <c r="Q21" s="110">
        <f>P21*10+45</f>
        <v>55</v>
      </c>
      <c r="R21" s="57">
        <f>SUM($Q$21)</f>
        <v>55</v>
      </c>
      <c r="S21" s="276">
        <f>R21/R7</f>
        <v>-107.58072483323249</v>
      </c>
      <c r="T21" s="8">
        <f>U7/S21</f>
        <v>7.4217701129493677E-2</v>
      </c>
      <c r="U21" s="281">
        <f>S21*U7</f>
        <v>858.96690279977838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-274.62144840543044</v>
      </c>
      <c r="F22" s="9">
        <f t="shared" si="4"/>
        <v>0.65510885581048628</v>
      </c>
      <c r="G22" s="282">
        <f t="shared" ref="G22:G30" si="5">E22*U8</f>
        <v>49406.305222534058</v>
      </c>
      <c r="O22" s="99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77">
        <f t="shared" ref="S22:S30" si="7">R22/R8</f>
        <v>-1622.7631042139074</v>
      </c>
      <c r="T22" s="9">
        <f>U8/S22</f>
        <v>0.11086457559869767</v>
      </c>
      <c r="U22" s="282">
        <f t="shared" ref="U22:U30" si="8">S22*U8</f>
        <v>291946.34904224676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-3015.1421198225689</v>
      </c>
      <c r="F23" s="9">
        <f t="shared" si="4"/>
        <v>0.95901347186465236</v>
      </c>
      <c r="G23" s="282">
        <f t="shared" si="5"/>
        <v>8718470.1144425664</v>
      </c>
      <c r="O23" s="99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77">
        <f t="shared" si="7"/>
        <v>-18050.107555154027</v>
      </c>
      <c r="T23" s="9">
        <f t="shared" ref="T23:T30" si="11">U9/S23</f>
        <v>0.16019638130470493</v>
      </c>
      <c r="U23" s="282">
        <f t="shared" si="8"/>
        <v>52193003.522946708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-31035.357571315737</v>
      </c>
      <c r="F24" s="9">
        <f t="shared" si="4"/>
        <v>1.2983526364534292</v>
      </c>
      <c r="G24" s="282">
        <f t="shared" si="5"/>
        <v>1250564715.7255406</v>
      </c>
      <c r="O24" s="99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77">
        <f t="shared" si="7"/>
        <v>-186156.27619734299</v>
      </c>
      <c r="T24" s="9">
        <f t="shared" si="11"/>
        <v>0.21645704968483795</v>
      </c>
      <c r="U24" s="282">
        <f t="shared" si="8"/>
        <v>7501137052.7407761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-313229.29075280728</v>
      </c>
      <c r="F25" s="9">
        <f t="shared" si="4"/>
        <v>1.6564365083925889</v>
      </c>
      <c r="G25" s="282">
        <f t="shared" si="5"/>
        <v>162517273665.93527</v>
      </c>
      <c r="O25" s="99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77">
        <f t="shared" si="7"/>
        <v>-1879305.2672216515</v>
      </c>
      <c r="T25" s="9">
        <f t="shared" si="11"/>
        <v>0.27608310461872021</v>
      </c>
      <c r="U25" s="282">
        <f t="shared" si="8"/>
        <v>975067075243.36926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-3141613.8079393292</v>
      </c>
      <c r="F26" s="9">
        <f t="shared" si="4"/>
        <v>2.0233170096945621</v>
      </c>
      <c r="G26" s="282">
        <f t="shared" si="5"/>
        <v>19969607397202.172</v>
      </c>
      <c r="O26" s="99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77">
        <f t="shared" si="7"/>
        <v>-18849598.023978338</v>
      </c>
      <c r="T26" s="9">
        <f t="shared" si="11"/>
        <v>0.33722101911186386</v>
      </c>
      <c r="U26" s="282">
        <f t="shared" si="8"/>
        <v>119817105203274.14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-31446307.376610566</v>
      </c>
      <c r="F27" s="9">
        <f t="shared" si="4"/>
        <v>2.3939926577931141</v>
      </c>
      <c r="G27" s="282">
        <f t="shared" si="5"/>
        <v>2367348112322566</v>
      </c>
      <c r="O27" s="99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77">
        <f t="shared" si="7"/>
        <v>-188677745.20378527</v>
      </c>
      <c r="T27" s="9">
        <f t="shared" si="11"/>
        <v>0.39899898577334081</v>
      </c>
      <c r="U27" s="282">
        <f t="shared" si="8"/>
        <v>1.4204081216788098E+16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-314560673.52484548</v>
      </c>
      <c r="F28" s="9">
        <f t="shared" si="4"/>
        <v>2.7662130734567665</v>
      </c>
      <c r="G28" s="282">
        <f t="shared" si="5"/>
        <v>2.7371240561168835E+17</v>
      </c>
      <c r="O28" s="99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77">
        <f t="shared" si="7"/>
        <v>-1887363927.9072292</v>
      </c>
      <c r="T28" s="9">
        <f t="shared" si="11"/>
        <v>0.46103553990492707</v>
      </c>
      <c r="U28" s="282">
        <f t="shared" si="8"/>
        <v>1.642274335133663E+18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-3145922418.1210833</v>
      </c>
      <c r="F29" s="9">
        <f t="shared" si="4"/>
        <v>3.1390371353678139</v>
      </c>
      <c r="G29" s="282">
        <f t="shared" si="5"/>
        <v>3.1066510177509532E+19</v>
      </c>
      <c r="O29" s="99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77">
        <f t="shared" si="7"/>
        <v>-18875534381.316643</v>
      </c>
      <c r="T29" s="9">
        <f t="shared" si="11"/>
        <v>0.52317285942605241</v>
      </c>
      <c r="U29" s="282">
        <f t="shared" si="8"/>
        <v>1.8639905980686352E+20</v>
      </c>
    </row>
    <row r="30" spans="1:21" ht="17" thickBot="1" x14ac:dyDescent="0.25">
      <c r="A30" s="145">
        <v>10</v>
      </c>
      <c r="B30" s="94">
        <f t="shared" si="9"/>
        <v>1000000000</v>
      </c>
      <c r="C30" s="111">
        <f t="shared" si="2"/>
        <v>10000000000</v>
      </c>
      <c r="D30" s="10">
        <f>SUM($C$21:C30)</f>
        <v>11111111110</v>
      </c>
      <c r="E30" s="10">
        <f t="shared" si="3"/>
        <v>-31460245177.696045</v>
      </c>
      <c r="F30" s="10">
        <f t="shared" si="4"/>
        <v>3.5120902605216608</v>
      </c>
      <c r="G30" s="283">
        <f t="shared" si="5"/>
        <v>3.476080892645241E+21</v>
      </c>
      <c r="O30" s="100">
        <v>10</v>
      </c>
      <c r="P30" s="94">
        <f t="shared" si="10"/>
        <v>5999999995</v>
      </c>
      <c r="Q30" s="111">
        <f t="shared" si="6"/>
        <v>59999999995</v>
      </c>
      <c r="R30" s="10">
        <f>SUM($Q$21:Q30)</f>
        <v>66666666610</v>
      </c>
      <c r="S30" s="278">
        <f t="shared" si="7"/>
        <v>-188761470924.60516</v>
      </c>
      <c r="T30" s="10">
        <f t="shared" si="11"/>
        <v>0.58534837719262145</v>
      </c>
      <c r="U30" s="283">
        <f t="shared" si="8"/>
        <v>2.0856485340229082E+22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10</v>
      </c>
      <c r="D33" s="57">
        <f>SUM($C$33:C33)</f>
        <v>10</v>
      </c>
      <c r="E33" s="9">
        <f t="shared" ref="E33:E42" si="13">D33/R7</f>
        <v>-19.560131787860453</v>
      </c>
      <c r="F33" s="8">
        <f t="shared" ref="F33:F42" si="14">U7/E33</f>
        <v>0.40819735621221526</v>
      </c>
      <c r="G33" s="284">
        <f>E33*U7</f>
        <v>156.17580050905062</v>
      </c>
      <c r="O33" s="101">
        <v>1</v>
      </c>
      <c r="P33" s="109">
        <v>1</v>
      </c>
      <c r="Q33" s="110">
        <f>P33*10+45</f>
        <v>55</v>
      </c>
      <c r="R33" s="57">
        <f>SUM($Q$21)</f>
        <v>55</v>
      </c>
      <c r="S33" s="276">
        <f>R33/R7</f>
        <v>-107.58072483323249</v>
      </c>
      <c r="T33" s="8">
        <f>U7/S33</f>
        <v>7.4217701129493677E-2</v>
      </c>
      <c r="U33" s="284">
        <f>S33*U7</f>
        <v>858.96690279977838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-299.58703462410597</v>
      </c>
      <c r="F34" s="9">
        <f t="shared" si="14"/>
        <v>0.60051645115961239</v>
      </c>
      <c r="G34" s="282">
        <f t="shared" ref="G34:G42" si="16">E34*U8</f>
        <v>53897.787515491706</v>
      </c>
      <c r="O34" s="99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77">
        <f>R34/R8</f>
        <v>-1647.7286904325827</v>
      </c>
      <c r="T34" s="9">
        <f t="shared" ref="T34:T42" si="18">U8/S34</f>
        <v>0.10918480930174772</v>
      </c>
      <c r="U34" s="282">
        <f t="shared" ref="U34:U42" si="19">S34*U8</f>
        <v>296437.83133520436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-3612.7378552828977</v>
      </c>
      <c r="F35" s="9">
        <f t="shared" si="14"/>
        <v>0.80037966448854447</v>
      </c>
      <c r="G35" s="282">
        <f t="shared" si="16"/>
        <v>10446455.18216992</v>
      </c>
      <c r="O35" s="99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77">
        <f t="shared" ref="S35:S42" si="21">R35/R9</f>
        <v>-18376.068865405116</v>
      </c>
      <c r="T35" s="9">
        <f t="shared" si="18"/>
        <v>0.15735476035029775</v>
      </c>
      <c r="U35" s="282">
        <f t="shared" si="19"/>
        <v>53135540.832616173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-40896.276763641974</v>
      </c>
      <c r="F36" s="9">
        <f t="shared" si="14"/>
        <v>0.98529356495885256</v>
      </c>
      <c r="G36" s="282">
        <f t="shared" si="16"/>
        <v>1647908860.3260047</v>
      </c>
      <c r="O36" s="99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77">
        <f t="shared" si="21"/>
        <v>-189592.23387625554</v>
      </c>
      <c r="T36" s="9">
        <f t="shared" si="18"/>
        <v>0.21253422411960513</v>
      </c>
      <c r="U36" s="282">
        <f t="shared" si="19"/>
        <v>7639588411.9075108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-454014.73562901281</v>
      </c>
      <c r="F37" s="9">
        <f t="shared" si="14"/>
        <v>1.1427920549363586</v>
      </c>
      <c r="G37" s="282">
        <f t="shared" si="16"/>
        <v>235563017945.26932</v>
      </c>
      <c r="O37" s="99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77">
        <f t="shared" si="21"/>
        <v>-1914092.8601285873</v>
      </c>
      <c r="T37" s="9">
        <f t="shared" si="18"/>
        <v>0.2710654448948791</v>
      </c>
      <c r="U37" s="282">
        <f t="shared" si="19"/>
        <v>993116424150.19714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-5009006.6308403295</v>
      </c>
      <c r="F38" s="9">
        <f t="shared" si="14"/>
        <v>1.2690102297645718</v>
      </c>
      <c r="G38" s="282">
        <f t="shared" si="16"/>
        <v>31839653752182.488</v>
      </c>
      <c r="O38" s="99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77">
        <f t="shared" si="21"/>
        <v>-19198647.375158787</v>
      </c>
      <c r="T38" s="9">
        <f t="shared" si="18"/>
        <v>0.33109002583794667</v>
      </c>
      <c r="U38" s="282">
        <f t="shared" si="19"/>
        <v>122035830651865.72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-55151963.910020165</v>
      </c>
      <c r="F39" s="9">
        <f t="shared" si="14"/>
        <v>1.3649963416920798</v>
      </c>
      <c r="G39" s="282">
        <f t="shared" si="16"/>
        <v>4151962775457082.5</v>
      </c>
      <c r="O39" s="99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77">
        <f t="shared" si="21"/>
        <v>-192171757.34432462</v>
      </c>
      <c r="T39" s="9">
        <f t="shared" si="18"/>
        <v>0.39174449989247828</v>
      </c>
      <c r="U39" s="282">
        <f t="shared" si="19"/>
        <v>1.4467118238791206E+16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-606859869.08808243</v>
      </c>
      <c r="F40" s="9">
        <f t="shared" si="14"/>
        <v>1.4338431190174761</v>
      </c>
      <c r="G40" s="282">
        <f t="shared" si="16"/>
        <v>5.2805416766178675E+17</v>
      </c>
      <c r="O40" s="99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77">
        <f t="shared" si="21"/>
        <v>-1922315088.68958</v>
      </c>
      <c r="T40" s="9">
        <f t="shared" si="18"/>
        <v>0.45265308097485668</v>
      </c>
      <c r="U40" s="282">
        <f t="shared" si="19"/>
        <v>1.6726868027490801E+18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-6676128455.531168</v>
      </c>
      <c r="F41" s="9">
        <f t="shared" si="14"/>
        <v>1.4791757470284475</v>
      </c>
      <c r="G41" s="282">
        <f t="shared" si="16"/>
        <v>6.5927885384405959E+19</v>
      </c>
      <c r="O41" s="99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77">
        <f t="shared" si="21"/>
        <v>-19225081288.350124</v>
      </c>
      <c r="T41" s="9">
        <f t="shared" si="18"/>
        <v>0.51366062631174791</v>
      </c>
      <c r="U41" s="282">
        <f t="shared" si="19"/>
        <v>1.8985089399143262E+20</v>
      </c>
    </row>
    <row r="42" spans="1:21" ht="17" thickBot="1" x14ac:dyDescent="0.25">
      <c r="A42" s="145">
        <v>10</v>
      </c>
      <c r="B42" s="94">
        <f t="shared" si="15"/>
        <v>2357947691</v>
      </c>
      <c r="C42" s="111">
        <f t="shared" si="12"/>
        <v>23579476910</v>
      </c>
      <c r="D42" s="10">
        <f>SUM($C$33:C42)</f>
        <v>25937424600</v>
      </c>
      <c r="E42" s="9">
        <f t="shared" si="13"/>
        <v>-73439796354.804413</v>
      </c>
      <c r="F42" s="10">
        <f t="shared" si="14"/>
        <v>1.5045142574797121</v>
      </c>
      <c r="G42" s="283">
        <f t="shared" si="16"/>
        <v>8.1144527458952429E+21</v>
      </c>
      <c r="O42" s="100">
        <v>10</v>
      </c>
      <c r="P42" s="94">
        <f t="shared" si="20"/>
        <v>6111111106</v>
      </c>
      <c r="Q42" s="111">
        <f t="shared" si="17"/>
        <v>61111111105</v>
      </c>
      <c r="R42" s="10">
        <f>SUM($Q$33:Q42)</f>
        <v>67901234500</v>
      </c>
      <c r="S42" s="278">
        <f t="shared" si="21"/>
        <v>-192257053690.66669</v>
      </c>
      <c r="T42" s="10">
        <f t="shared" si="18"/>
        <v>0.57470567951168872</v>
      </c>
      <c r="U42" s="283">
        <f t="shared" si="19"/>
        <v>2.1242716547046917E+22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10</v>
      </c>
      <c r="D45" s="57">
        <f>SUM(C45:C45)</f>
        <v>10</v>
      </c>
      <c r="E45" s="57">
        <f t="shared" ref="E45:E54" si="23">D45/R7</f>
        <v>-19.560131787860453</v>
      </c>
      <c r="F45" s="8">
        <f t="shared" ref="F45:F54" si="24">U7/E45</f>
        <v>0.40819735621221526</v>
      </c>
      <c r="G45" s="281">
        <f>E45*U7</f>
        <v>156.17580050905062</v>
      </c>
      <c r="O45" s="101">
        <v>1</v>
      </c>
      <c r="P45" s="109">
        <v>1</v>
      </c>
      <c r="Q45" s="110">
        <f>P45*10+45</f>
        <v>55</v>
      </c>
      <c r="R45" s="57">
        <f>SUM($Q$21)</f>
        <v>55</v>
      </c>
      <c r="S45" s="276">
        <f>R45/R7</f>
        <v>-107.58072483323249</v>
      </c>
      <c r="T45" s="8">
        <f>U7/S45</f>
        <v>7.4217701129493677E-2</v>
      </c>
      <c r="U45" s="284">
        <f>S45*U7</f>
        <v>858.96690279977838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-524.27731059218547</v>
      </c>
      <c r="F46" s="9">
        <f t="shared" si="24"/>
        <v>0.34315225780549274</v>
      </c>
      <c r="G46" s="282">
        <f t="shared" ref="G46:G54" si="26">E46*U8</f>
        <v>94321.128152110497</v>
      </c>
      <c r="O46" s="99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77">
        <f t="shared" ref="S46:S54" si="28">R46/R8</f>
        <v>-2995.8703462410595</v>
      </c>
      <c r="T46" s="9">
        <f t="shared" ref="T46:T54" si="29">U8/S46</f>
        <v>6.0051645115961241E-2</v>
      </c>
      <c r="U46" s="282">
        <f t="shared" ref="U46:U54" si="30">S46*U8</f>
        <v>538977.87515491701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-11435.809301309022</v>
      </c>
      <c r="F47" s="9">
        <f t="shared" si="24"/>
        <v>0.25285153296193924</v>
      </c>
      <c r="G47" s="282">
        <f t="shared" si="26"/>
        <v>33067350.614237115</v>
      </c>
      <c r="O47" s="99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77">
        <f t="shared" si="28"/>
        <v>-65586.131966771107</v>
      </c>
      <c r="T47" s="9">
        <f t="shared" si="29"/>
        <v>4.4088008025254262E-2</v>
      </c>
      <c r="U47" s="282">
        <f t="shared" si="30"/>
        <v>189646361.18307725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-235237.3952367685</v>
      </c>
      <c r="F48" s="9">
        <f t="shared" si="24"/>
        <v>0.17129435685782687</v>
      </c>
      <c r="G48" s="282">
        <f t="shared" si="26"/>
        <v>9478852809.2932281</v>
      </c>
      <c r="O48" s="99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77">
        <f t="shared" si="28"/>
        <v>-1349493.3293543581</v>
      </c>
      <c r="T48" s="9">
        <f t="shared" si="29"/>
        <v>2.9859234906534186E-2</v>
      </c>
      <c r="U48" s="282">
        <f t="shared" si="30"/>
        <v>54377615528.339462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-4747942.6134352041</v>
      </c>
      <c r="F49" s="9">
        <f t="shared" si="24"/>
        <v>0.10927773878999683</v>
      </c>
      <c r="G49" s="282">
        <f t="shared" si="26"/>
        <v>2463443591764.061</v>
      </c>
      <c r="O49" s="99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77">
        <f t="shared" si="28"/>
        <v>-27238163.714146346</v>
      </c>
      <c r="T49" s="9">
        <f t="shared" si="29"/>
        <v>1.9048436529933967E-2</v>
      </c>
      <c r="U49" s="282">
        <f t="shared" si="30"/>
        <v>14132369600079.605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-95240596.561571792</v>
      </c>
      <c r="F50" s="9">
        <f t="shared" si="24"/>
        <v>6.674129399625893E-2</v>
      </c>
      <c r="G50" s="282">
        <f t="shared" si="26"/>
        <v>605395009661429.88</v>
      </c>
      <c r="O50" s="99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77">
        <f t="shared" si="28"/>
        <v>-546380224.30517924</v>
      </c>
      <c r="T50" s="9">
        <f t="shared" si="29"/>
        <v>1.1633804396157197E-2</v>
      </c>
      <c r="U50" s="282">
        <f t="shared" si="30"/>
        <v>3473055326340863.5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-1906639457.4825613</v>
      </c>
      <c r="F51" s="9">
        <f t="shared" si="24"/>
        <v>3.9484249986995609E-2</v>
      </c>
      <c r="G51" s="282">
        <f t="shared" si="26"/>
        <v>1.4353606820965856E+17</v>
      </c>
      <c r="O51" s="99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77">
        <f t="shared" si="28"/>
        <v>-10938089472.320856</v>
      </c>
      <c r="T51" s="9">
        <f t="shared" si="29"/>
        <v>6.8825757153308121E-3</v>
      </c>
      <c r="U51" s="282">
        <f t="shared" si="30"/>
        <v>8.2344375619676083E+17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-38144621001.074287</v>
      </c>
      <c r="F52" s="9">
        <f t="shared" si="24"/>
        <v>2.2811652722287818E-2</v>
      </c>
      <c r="G52" s="282">
        <f t="shared" si="26"/>
        <v>3.3191230990054195E+19</v>
      </c>
      <c r="O52" s="99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77">
        <f t="shared" si="28"/>
        <v>-218829667794.62741</v>
      </c>
      <c r="T52" s="9">
        <f t="shared" si="29"/>
        <v>3.9763431360523988E-3</v>
      </c>
      <c r="U52" s="282">
        <f t="shared" si="30"/>
        <v>1.9041285142258313E+20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-762968974587.89734</v>
      </c>
      <c r="F53" s="9">
        <f t="shared" si="24"/>
        <v>1.294307845322553E-2</v>
      </c>
      <c r="G53" s="282">
        <f t="shared" si="26"/>
        <v>7.5344462653073056E+21</v>
      </c>
      <c r="O53" s="99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77">
        <f t="shared" si="28"/>
        <v>-4377032538364.9536</v>
      </c>
      <c r="T53" s="9">
        <f t="shared" si="29"/>
        <v>2.2561329414190448E-3</v>
      </c>
      <c r="U53" s="282">
        <f t="shared" si="30"/>
        <v>4.3223928574061713E+22</v>
      </c>
    </row>
    <row r="54" spans="1:21" ht="17" thickBot="1" x14ac:dyDescent="0.25">
      <c r="A54" s="145">
        <v>10</v>
      </c>
      <c r="B54" s="94">
        <f t="shared" si="25"/>
        <v>512000000000</v>
      </c>
      <c r="C54" s="111">
        <f t="shared" si="22"/>
        <v>5120000000000</v>
      </c>
      <c r="D54" s="10">
        <f>SUM($C$45:C54)</f>
        <v>5389473684210</v>
      </c>
      <c r="E54" s="10">
        <f t="shared" si="23"/>
        <v>-15259874715084.852</v>
      </c>
      <c r="F54" s="10">
        <f t="shared" si="24"/>
        <v>7.2406374721403106E-3</v>
      </c>
      <c r="G54" s="283">
        <f t="shared" si="26"/>
        <v>1.6860821847273141E+24</v>
      </c>
      <c r="O54" s="100">
        <v>10</v>
      </c>
      <c r="P54" s="94">
        <f t="shared" si="31"/>
        <v>2937263157890</v>
      </c>
      <c r="Q54" s="111">
        <f t="shared" si="27"/>
        <v>29372631578945</v>
      </c>
      <c r="R54" s="10">
        <f>SUM($Q$45:Q54)</f>
        <v>30918559556760</v>
      </c>
      <c r="S54" s="278">
        <f t="shared" si="28"/>
        <v>-87543491786472.359</v>
      </c>
      <c r="T54" s="10">
        <f t="shared" si="29"/>
        <v>1.2621294676217548E-3</v>
      </c>
      <c r="U54" s="283">
        <f t="shared" si="30"/>
        <v>9.6727872702703406E+24</v>
      </c>
    </row>
  </sheetData>
  <mergeCells count="2">
    <mergeCell ref="A18:F18"/>
    <mergeCell ref="O18:T18"/>
  </mergeCells>
  <conditionalFormatting sqref="F45:F54">
    <cfRule type="cellIs" dxfId="223" priority="31" operator="equal">
      <formula>MAX($F$45:$F$54)</formula>
    </cfRule>
  </conditionalFormatting>
  <conditionalFormatting sqref="F21:F30">
    <cfRule type="cellIs" dxfId="222" priority="30" operator="equal">
      <formula>MAX($F$21:$F$30)</formula>
    </cfRule>
  </conditionalFormatting>
  <conditionalFormatting sqref="E33:E42">
    <cfRule type="cellIs" dxfId="221" priority="28" stopIfTrue="1" operator="lessThan">
      <formula>0</formula>
    </cfRule>
    <cfRule type="cellIs" dxfId="220" priority="29" operator="equal">
      <formula>MIN($E$33:$E$42)</formula>
    </cfRule>
  </conditionalFormatting>
  <conditionalFormatting sqref="E21:E30">
    <cfRule type="cellIs" dxfId="219" priority="26" stopIfTrue="1" operator="lessThan">
      <formula>0</formula>
    </cfRule>
    <cfRule type="cellIs" dxfId="218" priority="27" operator="equal">
      <formula>MIN($E$21:$E$30)</formula>
    </cfRule>
  </conditionalFormatting>
  <conditionalFormatting sqref="E45:E54">
    <cfRule type="cellIs" dxfId="217" priority="24" stopIfTrue="1" operator="lessThan">
      <formula>0</formula>
    </cfRule>
    <cfRule type="cellIs" dxfId="216" priority="25" operator="equal">
      <formula>MIN($E$45:$E$54)</formula>
    </cfRule>
  </conditionalFormatting>
  <conditionalFormatting sqref="F33:F42">
    <cfRule type="cellIs" dxfId="215" priority="22" operator="lessThanOrEqual">
      <formula>0</formula>
    </cfRule>
    <cfRule type="cellIs" dxfId="214" priority="23" operator="equal">
      <formula>MAX($F$33:$F$42)</formula>
    </cfRule>
  </conditionalFormatting>
  <conditionalFormatting sqref="R7:R16">
    <cfRule type="cellIs" dxfId="213" priority="20" operator="lessThanOrEqual">
      <formula>0</formula>
    </cfRule>
    <cfRule type="cellIs" dxfId="212" priority="21" operator="greaterThan">
      <formula>0</formula>
    </cfRule>
  </conditionalFormatting>
  <conditionalFormatting sqref="T21:T30">
    <cfRule type="cellIs" dxfId="211" priority="17" operator="equal">
      <formula>MAX($T$21:$T$30)</formula>
    </cfRule>
  </conditionalFormatting>
  <conditionalFormatting sqref="S33:S42">
    <cfRule type="cellIs" dxfId="210" priority="15" stopIfTrue="1" operator="lessThan">
      <formula>0</formula>
    </cfRule>
    <cfRule type="cellIs" dxfId="209" priority="16" operator="equal">
      <formula>MIN($E$21:$E$30)</formula>
    </cfRule>
  </conditionalFormatting>
  <conditionalFormatting sqref="T33:T42">
    <cfRule type="cellIs" dxfId="208" priority="14" operator="equal">
      <formula>MAX($T$21:$T$30)</formula>
    </cfRule>
  </conditionalFormatting>
  <conditionalFormatting sqref="S45:S54">
    <cfRule type="cellIs" dxfId="207" priority="12" stopIfTrue="1" operator="lessThan">
      <formula>0</formula>
    </cfRule>
    <cfRule type="cellIs" dxfId="206" priority="13" operator="equal">
      <formula>MIN($E$21:$E$30)</formula>
    </cfRule>
  </conditionalFormatting>
  <conditionalFormatting sqref="T45:T54">
    <cfRule type="cellIs" dxfId="205" priority="11" operator="equal">
      <formula>MAX($T$21:$T$30)</formula>
    </cfRule>
  </conditionalFormatting>
  <conditionalFormatting sqref="S21:S30">
    <cfRule type="cellIs" dxfId="204" priority="9" stopIfTrue="1" operator="lessThan">
      <formula>0</formula>
    </cfRule>
    <cfRule type="cellIs" dxfId="203" priority="10" operator="equal">
      <formula>MIN($E$21:$E$30)</formula>
    </cfRule>
  </conditionalFormatting>
  <conditionalFormatting sqref="U7:U16">
    <cfRule type="cellIs" dxfId="202" priority="5" operator="lessThanOrEqual">
      <formula>0</formula>
    </cfRule>
    <cfRule type="cellIs" dxfId="201" priority="6" operator="greaterThan">
      <formula>0</formula>
    </cfRule>
  </conditionalFormatting>
  <conditionalFormatting sqref="S7:T16">
    <cfRule type="cellIs" dxfId="200" priority="1" operator="lessThanOrEqual">
      <formula>0</formula>
    </cfRule>
    <cfRule type="cellIs" dxfId="199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E7A5-26C0-9E46-979E-A9A5CAEAC09C}">
  <sheetPr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0.99999999999999989</v>
      </c>
    </row>
    <row r="2" spans="1:23" x14ac:dyDescent="0.2">
      <c r="A2" t="s">
        <v>40</v>
      </c>
      <c r="B2" s="149" t="s">
        <v>125</v>
      </c>
      <c r="C2" s="155">
        <f>Analysis!B61</f>
        <v>0.2499608254764194</v>
      </c>
      <c r="D2" s="149" t="s">
        <v>126</v>
      </c>
      <c r="E2" s="155">
        <f>Analysis!N61</f>
        <v>0.75003917452358049</v>
      </c>
      <c r="F2" s="149" t="s">
        <v>47</v>
      </c>
      <c r="G2" s="155">
        <f>Analysis!S61</f>
        <v>16.66955078329363</v>
      </c>
      <c r="H2" t="s">
        <v>155</v>
      </c>
      <c r="I2" s="169">
        <f>Analysis!T61</f>
        <v>-17.645361284017365</v>
      </c>
      <c r="J2" t="s">
        <v>48</v>
      </c>
      <c r="K2" s="169">
        <f>C2*G2+E2*I2</f>
        <v>-9.0679775375215605</v>
      </c>
      <c r="L2" t="s">
        <v>47</v>
      </c>
      <c r="M2" s="176">
        <v>3</v>
      </c>
      <c r="N2" t="s">
        <v>155</v>
      </c>
      <c r="O2" s="176">
        <v>10</v>
      </c>
    </row>
    <row r="4" spans="1:23" x14ac:dyDescent="0.2">
      <c r="A4" t="s">
        <v>123</v>
      </c>
      <c r="B4">
        <f>$C$2</f>
        <v>0.2499608254764194</v>
      </c>
      <c r="C4" t="s">
        <v>124</v>
      </c>
      <c r="D4">
        <f>$E$2</f>
        <v>0.75003917452358049</v>
      </c>
      <c r="E4" t="s">
        <v>47</v>
      </c>
      <c r="F4">
        <f>G2</f>
        <v>16.66955078329363</v>
      </c>
      <c r="G4" t="s">
        <v>155</v>
      </c>
      <c r="H4">
        <f>I2</f>
        <v>-17.645361284017365</v>
      </c>
      <c r="I4" t="s">
        <v>48</v>
      </c>
      <c r="J4">
        <f>K2</f>
        <v>-9.0679775375215605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263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0.2499608254764194</v>
      </c>
      <c r="C7" s="95">
        <v>1</v>
      </c>
      <c r="D7" s="22">
        <f>C7*D4</f>
        <v>0.75003917452358049</v>
      </c>
      <c r="E7" s="2"/>
      <c r="F7" s="2"/>
      <c r="G7" s="2"/>
      <c r="H7" s="2"/>
      <c r="I7" s="2"/>
      <c r="J7" s="2"/>
      <c r="K7" s="2"/>
      <c r="L7" s="2"/>
      <c r="M7" s="256"/>
      <c r="N7" s="96">
        <f>B7+D7</f>
        <v>0.99999999999999989</v>
      </c>
      <c r="R7" s="296">
        <f>B7-D7</f>
        <v>-0.50007834904716109</v>
      </c>
      <c r="S7" s="297">
        <f>SUM(C7)*B4*F4*POWER(O2,A7-1)</f>
        <v>4.1667346741131697</v>
      </c>
      <c r="T7" s="276">
        <f>SUM(C7)*D4*H4*POWER(O2,A7-1)</f>
        <v>-13.234712211634731</v>
      </c>
      <c r="U7" s="294">
        <f>S7+T7</f>
        <v>-9.0679775375215605</v>
      </c>
      <c r="V7" s="109">
        <f>(U7+W7*D7)/B7</f>
        <v>-33.276967889445025</v>
      </c>
      <c r="W7" s="57">
        <f>COUNT(D7:M7)</f>
        <v>1</v>
      </c>
    </row>
    <row r="8" spans="1:23" x14ac:dyDescent="0.2">
      <c r="A8" s="99">
        <v>2</v>
      </c>
      <c r="B8" s="97">
        <f>C8*B4</f>
        <v>0.30763667599285893</v>
      </c>
      <c r="C8" s="97">
        <f>1/(1-B4*D4)</f>
        <v>1.2307395585148622</v>
      </c>
      <c r="D8" s="144">
        <f>C8*D4</f>
        <v>0.92310288252200312</v>
      </c>
      <c r="E8" s="1">
        <f>D8*D4</f>
        <v>0.69236332400714096</v>
      </c>
      <c r="F8" s="1"/>
      <c r="G8" s="1"/>
      <c r="H8" s="1"/>
      <c r="I8" s="1"/>
      <c r="J8" s="1"/>
      <c r="K8" s="1"/>
      <c r="L8" s="1"/>
      <c r="M8" s="257"/>
      <c r="N8" s="97">
        <f>B8+E8</f>
        <v>0.99999999999999989</v>
      </c>
      <c r="R8" s="298">
        <f>B8-E8</f>
        <v>-0.38472664801428202</v>
      </c>
      <c r="S8" s="299">
        <f>SUM(C8:D8)*B4*F4*POWER(O2,A8-1)</f>
        <v>89.744899816448566</v>
      </c>
      <c r="T8" s="277">
        <f>SUM(C8:D8)*D4*H4*POWER(O2,A8-1)</f>
        <v>-285.05484856327763</v>
      </c>
      <c r="U8" s="295">
        <f>S8+T8+U7</f>
        <v>-204.37792628435062</v>
      </c>
      <c r="V8" s="93">
        <f>(U8+W8*E8)/B8</f>
        <v>-659.84720118692326</v>
      </c>
      <c r="W8" s="9">
        <f>COUNT(D8:M8)</f>
        <v>2</v>
      </c>
    </row>
    <row r="9" spans="1:23" x14ac:dyDescent="0.2">
      <c r="A9" s="99">
        <v>3</v>
      </c>
      <c r="B9" s="97">
        <f>C9*B4</f>
        <v>0.32493653903981307</v>
      </c>
      <c r="C9" s="97">
        <f>1/(1-D4*B4/(1-D4*B4))</f>
        <v>1.2999498558243747</v>
      </c>
      <c r="D9" s="144">
        <f>C9*D4*C8</f>
        <v>1.1999874590455426</v>
      </c>
      <c r="E9" s="1">
        <f>D9*(D4)</f>
        <v>0.90003760322116766</v>
      </c>
      <c r="F9" s="1">
        <f>E9*D4</f>
        <v>0.67506346096018643</v>
      </c>
      <c r="G9" s="1"/>
      <c r="H9" s="1"/>
      <c r="I9" s="1"/>
      <c r="J9" s="1"/>
      <c r="K9" s="1"/>
      <c r="L9" s="1"/>
      <c r="M9" s="257"/>
      <c r="N9" s="97">
        <f>B9+F9</f>
        <v>0.99999999999999956</v>
      </c>
      <c r="R9" s="298">
        <f>B9-F9</f>
        <v>-0.35012692192037337</v>
      </c>
      <c r="S9" s="299">
        <f>SUM(C9:E9)*B4*F4*POWER(O2,A9-1)</f>
        <v>1416.6793382325206</v>
      </c>
      <c r="T9" s="277">
        <f>SUM(C9:E9)*D4*H4*POWER(O2,A9-1)</f>
        <v>-4499.7689567711877</v>
      </c>
      <c r="U9" s="295">
        <f t="shared" ref="U9:U16" si="0">S9+T9+U8</f>
        <v>-3287.4675448230178</v>
      </c>
      <c r="V9" s="93">
        <f>(U9+W9*F9)/B9</f>
        <v>-10111.027722978197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0.33051147332595326</v>
      </c>
      <c r="C10" s="97">
        <f>1/(1-D4*B4/(1-D4*B4/(1-D4*B4)))</f>
        <v>1.32225308784289</v>
      </c>
      <c r="D10" s="144">
        <f>C10*D4*C9</f>
        <v>1.2892143688063242</v>
      </c>
      <c r="E10" s="1">
        <f>D10*D4*C8</f>
        <v>1.1900775000339026</v>
      </c>
      <c r="F10" s="1">
        <f>E10*D4</f>
        <v>0.89260474574451465</v>
      </c>
      <c r="G10" s="1">
        <f>F10*D4</f>
        <v>0.66948852667404624</v>
      </c>
      <c r="H10" s="1"/>
      <c r="I10" s="1"/>
      <c r="J10" s="1"/>
      <c r="K10" s="1"/>
      <c r="L10" s="1"/>
      <c r="M10" s="257"/>
      <c r="N10" s="97">
        <f>B10+G10</f>
        <v>0.99999999999999956</v>
      </c>
      <c r="R10" s="298">
        <f>B10-G10</f>
        <v>-0.33897705334809297</v>
      </c>
      <c r="S10" s="299">
        <f>SUM(C10:F10)*B4*F4*POWER(O2,A10-1)</f>
        <v>19559.276330583227</v>
      </c>
      <c r="T10" s="277">
        <f>SUM(C10:F10)*D4*H4*POWER(O2,A10-1)</f>
        <v>-62125.720389960508</v>
      </c>
      <c r="U10" s="295">
        <f t="shared" si="0"/>
        <v>-45853.911604200301</v>
      </c>
      <c r="V10" s="93">
        <f>(U10+W10*G10)/B10</f>
        <v>-138728.1149083582</v>
      </c>
      <c r="W10" s="9">
        <f t="shared" si="1"/>
        <v>4</v>
      </c>
    </row>
    <row r="11" spans="1:23" x14ac:dyDescent="0.2">
      <c r="A11" s="99">
        <v>5</v>
      </c>
      <c r="B11" s="97">
        <f>C11*B4</f>
        <v>0.33234899580435817</v>
      </c>
      <c r="C11" s="97">
        <f>1/(1-D4*B4/(1-D4*B4/(1-D4*B4/(1-D4*B4))))</f>
        <v>1.3296043296820967</v>
      </c>
      <c r="D11" s="144">
        <f>C11*D4*C10</f>
        <v>1.318623944587632</v>
      </c>
      <c r="E11" s="1">
        <f>D11*D4*C9</f>
        <v>1.2856759058039289</v>
      </c>
      <c r="F11" s="1">
        <f>E11*D4*C8</f>
        <v>1.1868111346366941</v>
      </c>
      <c r="G11" s="1">
        <f>F11*D4</f>
        <v>0.89015484373830001</v>
      </c>
      <c r="H11" s="1">
        <f>G11*D4</f>
        <v>0.66765100419564127</v>
      </c>
      <c r="I11" s="1"/>
      <c r="J11" s="1"/>
      <c r="K11" s="1"/>
      <c r="L11" s="1"/>
      <c r="M11" s="257"/>
      <c r="N11" s="97">
        <f>B11+H11</f>
        <v>0.99999999999999944</v>
      </c>
      <c r="R11" s="298">
        <f>B11-H11</f>
        <v>-0.3353020083912831</v>
      </c>
      <c r="S11" s="299">
        <f>SUM(C11:G11)*B4*F4*POWER(O2,A11-1)</f>
        <v>250457.0111080012</v>
      </c>
      <c r="T11" s="277">
        <f>SUM(C11:G11)*D4*H4*POWER(O2,A11-1)</f>
        <v>-795521.36688571167</v>
      </c>
      <c r="U11" s="295">
        <f t="shared" si="0"/>
        <v>-590918.2673819107</v>
      </c>
      <c r="V11" s="93">
        <f>(U11+W11*H11)/B11</f>
        <v>-1777995.2296733879</v>
      </c>
      <c r="W11" s="9">
        <f t="shared" si="1"/>
        <v>5</v>
      </c>
    </row>
    <row r="12" spans="1:23" x14ac:dyDescent="0.2">
      <c r="A12" s="99">
        <v>6</v>
      </c>
      <c r="B12" s="97">
        <f>C12*B4</f>
        <v>0.33295913646064895</v>
      </c>
      <c r="C12" s="97">
        <f>1/(1-D4*B4/(1-D4*B4/(1-D4*B4/(1-D4*B4/(1-D4*B4)))))</f>
        <v>1.3320452747987079</v>
      </c>
      <c r="D12" s="144">
        <f>C12*D4*C11</f>
        <v>1.3283892552596492</v>
      </c>
      <c r="E12" s="1">
        <f>D12*D4*C10</f>
        <v>1.3174189047181555</v>
      </c>
      <c r="F12" s="1">
        <f>E12*D4*C9</f>
        <v>1.284500975883933</v>
      </c>
      <c r="G12" s="1">
        <f>F12*D4*C8</f>
        <v>1.1857265534407846</v>
      </c>
      <c r="H12" s="1">
        <f>G12*D4</f>
        <v>0.88934136535341624</v>
      </c>
      <c r="I12" s="1">
        <f>H12*D4</f>
        <v>0.66704086353935033</v>
      </c>
      <c r="J12" s="1"/>
      <c r="K12" s="1"/>
      <c r="L12" s="1"/>
      <c r="M12" s="257"/>
      <c r="N12" s="97">
        <f>B12+I12</f>
        <v>0.99999999999999933</v>
      </c>
      <c r="R12" s="298">
        <f>B12-I12</f>
        <v>-0.33408172707870137</v>
      </c>
      <c r="S12" s="299">
        <f>SUM(C12:H12)*B4*F4*POWER(O2,A12-1)</f>
        <v>3057309.2038750895</v>
      </c>
      <c r="T12" s="277">
        <f>SUM(C12:H12)*D4*H4*POWER(O2,A12-1)</f>
        <v>-9710867.2905554753</v>
      </c>
      <c r="U12" s="295">
        <f t="shared" si="0"/>
        <v>-7244476.3540622965</v>
      </c>
      <c r="V12" s="93">
        <f>(U12+W12*I12)/B12</f>
        <v>-21757842.204979736</v>
      </c>
      <c r="W12" s="9">
        <f t="shared" si="1"/>
        <v>6</v>
      </c>
    </row>
    <row r="13" spans="1:23" x14ac:dyDescent="0.2">
      <c r="A13" s="99">
        <v>7</v>
      </c>
      <c r="B13" s="97">
        <f>C13*B4</f>
        <v>0.3331622265142074</v>
      </c>
      <c r="C13" s="97">
        <f>1/(1-D4*B4/(1-D4*B4/(1-D4*B4/(1-D4*B4/(1-D4*B4/(1-D4*B4))))))</f>
        <v>1.3328577623281892</v>
      </c>
      <c r="D13" s="144">
        <f>C13*D4*C12</f>
        <v>1.3316397147183767</v>
      </c>
      <c r="E13" s="1">
        <f>D13*D4*C11</f>
        <v>1.327984808306331</v>
      </c>
      <c r="F13" s="1">
        <f>E13*D4*C10</f>
        <v>1.3170177978436852</v>
      </c>
      <c r="G13" s="1">
        <f>F13*D4*C9</f>
        <v>1.2841098913398707</v>
      </c>
      <c r="H13" s="1">
        <f>G13*D4*C8</f>
        <v>1.1853655421708509</v>
      </c>
      <c r="I13" s="1">
        <f>H13*D4</f>
        <v>0.88907059275852141</v>
      </c>
      <c r="J13" s="1">
        <f>I13*D4</f>
        <v>0.66683777348579176</v>
      </c>
      <c r="K13" s="1"/>
      <c r="L13" s="1"/>
      <c r="M13" s="257"/>
      <c r="N13" s="97">
        <f>B13+J13</f>
        <v>0.99999999999999911</v>
      </c>
      <c r="R13" s="298">
        <f>B13-J13</f>
        <v>-0.33367554697158436</v>
      </c>
      <c r="S13" s="299">
        <f>SUM(C13:I13)*B4*F4*POWER(O2,A13-1)</f>
        <v>36117448.281123012</v>
      </c>
      <c r="T13" s="277">
        <f>SUM(C13:I13)*D4*H4*POWER(O2,A13-1)</f>
        <v>-114719095.69596028</v>
      </c>
      <c r="U13" s="295">
        <f t="shared" si="0"/>
        <v>-85846123.76889956</v>
      </c>
      <c r="V13" s="93">
        <f>(U13+W13*J13)/B13</f>
        <v>-257670624.90613508</v>
      </c>
      <c r="W13" s="9">
        <f t="shared" si="1"/>
        <v>7</v>
      </c>
    </row>
    <row r="14" spans="1:23" x14ac:dyDescent="0.2">
      <c r="A14" s="99">
        <v>8</v>
      </c>
      <c r="B14" s="97">
        <f>C14*B4</f>
        <v>0.33322988158388633</v>
      </c>
      <c r="C14" s="97">
        <f>1/(1-D4*B4/(1-D4*B4/(1-D4*B4/(1-D4*B4/(1-D4*B4/(1-D4*B4/(1-D4*B4)))))))</f>
        <v>1.3331284250192328</v>
      </c>
      <c r="D14" s="144">
        <f>C14*D4*C13</f>
        <v>1.3327225351584515</v>
      </c>
      <c r="E14" s="1">
        <f>D14*D4*C12</f>
        <v>1.331504611127565</v>
      </c>
      <c r="F14" s="1">
        <f>E14*D4*C11</f>
        <v>1.3278500755297682</v>
      </c>
      <c r="G14" s="1">
        <f>F14*D4*C10</f>
        <v>1.3168841777423286</v>
      </c>
      <c r="H14" s="1">
        <f>G14*D4*C9</f>
        <v>1.2839796099616576</v>
      </c>
      <c r="I14" s="1">
        <f>H14*D4*C8</f>
        <v>1.1852452790550834</v>
      </c>
      <c r="J14" s="1">
        <f>I14*D4</f>
        <v>0.88898039071044554</v>
      </c>
      <c r="K14" s="1">
        <f>J14*D4</f>
        <v>0.66677011841611267</v>
      </c>
      <c r="L14" s="1"/>
      <c r="M14" s="257"/>
      <c r="N14" s="97">
        <f>B14+K14</f>
        <v>0.999999999999999</v>
      </c>
      <c r="R14" s="298">
        <f>B14-K14</f>
        <v>-0.33354023683222633</v>
      </c>
      <c r="S14" s="299">
        <f>SUM(C14:J14)*B4*F4*POWER(O2,A14-1)</f>
        <v>416685763.62469864</v>
      </c>
      <c r="T14" s="277">
        <f>SUM(C14:J14)*D4*H4*POWER(O2,A14-1)</f>
        <v>-1323510277.3689022</v>
      </c>
      <c r="U14" s="295">
        <f t="shared" si="0"/>
        <v>-992670637.51310313</v>
      </c>
      <c r="V14" s="93">
        <f>(U14+W14*K14)/B14</f>
        <v>-2978936425.0908279</v>
      </c>
      <c r="W14" s="9">
        <f t="shared" si="1"/>
        <v>8</v>
      </c>
    </row>
    <row r="15" spans="1:23" x14ac:dyDescent="0.2">
      <c r="A15" s="99">
        <v>9</v>
      </c>
      <c r="B15" s="97">
        <f>C15*B4</f>
        <v>0.3332524255124934</v>
      </c>
      <c r="C15" s="97">
        <f>1/(1-D4*B4/(1-D4*B4/(1-D4*B4/(1-D4*B4/(1-D4*B4/(1-D4*B4/(1-D4*B4/(1-D4*B4))))))))</f>
        <v>1.3332186148662384</v>
      </c>
      <c r="D15" s="144">
        <f>C15*D4*C14</f>
        <v>1.3330833510856417</v>
      </c>
      <c r="E15" s="1">
        <f>D15*D4*C13</f>
        <v>1.3326774749482588</v>
      </c>
      <c r="F15" s="1">
        <f>E15*D4*C12</f>
        <v>1.3314595920961709</v>
      </c>
      <c r="G15" s="1">
        <f>F15*D4*C11</f>
        <v>1.3278051800605843</v>
      </c>
      <c r="H15" s="1">
        <f>G15*D4*C10</f>
        <v>1.3168396530372355</v>
      </c>
      <c r="I15" s="1">
        <f>H15*D4*C9</f>
        <v>1.283936197781266</v>
      </c>
      <c r="J15" s="1">
        <f>I15*D4*C8</f>
        <v>1.1852052051462274</v>
      </c>
      <c r="K15" s="1">
        <f>J15*D4</f>
        <v>0.88895033370892729</v>
      </c>
      <c r="L15" s="1">
        <f>K15*D4</f>
        <v>0.66674757448750521</v>
      </c>
      <c r="M15" s="257"/>
      <c r="N15" s="97">
        <f>B15+L15</f>
        <v>0.99999999999999867</v>
      </c>
      <c r="R15" s="298">
        <f>B15-L15</f>
        <v>-0.33349514897501181</v>
      </c>
      <c r="S15" s="299">
        <f>SUM(C15:K15)*B4*F4*POWER(O2,A15-1)</f>
        <v>4722233575.1710806</v>
      </c>
      <c r="T15" s="277">
        <f>SUM(C15:K15)*D4*H4*POWER(O2,A15-1)</f>
        <v>-14999131754.605881</v>
      </c>
      <c r="U15" s="295">
        <f t="shared" si="0"/>
        <v>-11269568816.947903</v>
      </c>
      <c r="V15" s="93">
        <f>(U15+W15*L15)/B15</f>
        <v>-33816914591.442894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0.33325993824672989</v>
      </c>
      <c r="C16" s="145">
        <f>1/(1-D4*B4/(1-D4*B4/(1-D4*B4/(1-D4*B4/(1-D4*B4/(1-D4*B4/(1-D4*B4/(1-D4*B4/(1-D4*B4)))))))))</f>
        <v>1.3332486705128468</v>
      </c>
      <c r="D16" s="153">
        <f>C16*D4*C15</f>
        <v>1.3332035925136778</v>
      </c>
      <c r="E16" s="111">
        <f>D16*D4*C14</f>
        <v>1.3330683302571975</v>
      </c>
      <c r="F16" s="111">
        <f>E16*D4*C13</f>
        <v>1.3326624586931188</v>
      </c>
      <c r="G16" s="111">
        <f>F16*D4*C12</f>
        <v>1.331444589563811</v>
      </c>
      <c r="H16" s="111">
        <f>G16*D4*C11</f>
        <v>1.3277902187051667</v>
      </c>
      <c r="I16" s="111">
        <f>H16*D4*C10</f>
        <v>1.3168248152384583</v>
      </c>
      <c r="J16" s="111">
        <f>I16*D4*C9</f>
        <v>1.2839217307298665</v>
      </c>
      <c r="K16" s="111">
        <f>J16*D4*C8</f>
        <v>1.1851918505693788</v>
      </c>
      <c r="L16" s="111">
        <f>K16*D4</f>
        <v>0.88894031725313161</v>
      </c>
      <c r="M16" s="259">
        <f>L16*D4</f>
        <v>0.66674006175326861</v>
      </c>
      <c r="N16" s="145">
        <f>B16+M16</f>
        <v>0.99999999999999845</v>
      </c>
      <c r="R16" s="300">
        <f>B16-M16</f>
        <v>-0.33348012350653872</v>
      </c>
      <c r="S16" s="301">
        <f>SUM(C16:L16)*B4*F4*POWER(O2,A16-1)</f>
        <v>52777097127.639366</v>
      </c>
      <c r="T16" s="278">
        <f>SUM(C16:L16)*D4*H4*POWER(O2,A16-1)</f>
        <v>-167634789944.59006</v>
      </c>
      <c r="U16" s="295">
        <f t="shared" si="0"/>
        <v>-126127261633.89859</v>
      </c>
      <c r="V16" s="94">
        <f>(U16+W16*M16)/B16</f>
        <v>-378465117321.88025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10</v>
      </c>
      <c r="D21" s="57">
        <f>SUM($C$21:C21)</f>
        <v>10</v>
      </c>
      <c r="E21" s="57">
        <f t="shared" ref="E21:E30" si="3">D21/R7</f>
        <v>-19.996866529122471</v>
      </c>
      <c r="F21" s="8">
        <f t="shared" ref="F21:F30" si="4">U7/E21</f>
        <v>0.45346992361605232</v>
      </c>
      <c r="G21" s="281">
        <f>E21*U7</f>
        <v>181.3311365068993</v>
      </c>
      <c r="O21" s="101">
        <v>1</v>
      </c>
      <c r="P21" s="109">
        <v>1</v>
      </c>
      <c r="Q21" s="110">
        <f>P21*10+45</f>
        <v>55</v>
      </c>
      <c r="R21" s="57">
        <f>SUM($Q$21)</f>
        <v>55</v>
      </c>
      <c r="S21" s="276">
        <f>R21/R7</f>
        <v>-109.9827659101736</v>
      </c>
      <c r="T21" s="8">
        <f>U7/S21</f>
        <v>8.2449077021100423E-2</v>
      </c>
      <c r="U21" s="281">
        <f>S21*U7</f>
        <v>997.32125078794627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-285.91728846377316</v>
      </c>
      <c r="F22" s="9">
        <f t="shared" si="4"/>
        <v>0.71481485915898402</v>
      </c>
      <c r="G22" s="282">
        <f t="shared" ref="G22:G30" si="5">E22*U8</f>
        <v>58435.182505070443</v>
      </c>
      <c r="O22" s="99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77">
        <f t="shared" ref="S22:S30" si="7">R22/R8</f>
        <v>-1689.5112500132052</v>
      </c>
      <c r="T22" s="9">
        <f>U8/S22</f>
        <v>0.12096866847305883</v>
      </c>
      <c r="U22" s="282">
        <f t="shared" ref="U22:U30" si="8">S22*U8</f>
        <v>345298.80571177992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-3170.27892031804</v>
      </c>
      <c r="F23" s="9">
        <f t="shared" si="4"/>
        <v>1.0369647679117209</v>
      </c>
      <c r="G23" s="282">
        <f t="shared" si="5"/>
        <v>10422189.058582114</v>
      </c>
      <c r="O23" s="99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77">
        <f t="shared" si="7"/>
        <v>-18978.831914876915</v>
      </c>
      <c r="T23" s="9">
        <f t="shared" ref="T23:T30" si="11">U9/S23</f>
        <v>0.17321759102814302</v>
      </c>
      <c r="U23" s="282">
        <f t="shared" si="8"/>
        <v>62392293.958809145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-32775.079877136181</v>
      </c>
      <c r="F24" s="9">
        <f t="shared" si="4"/>
        <v>1.3990480504118583</v>
      </c>
      <c r="G24" s="282">
        <f t="shared" si="5"/>
        <v>1502865615.5068064</v>
      </c>
      <c r="O24" s="99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77">
        <f t="shared" si="7"/>
        <v>-196591.47821893386</v>
      </c>
      <c r="T24" s="9">
        <f t="shared" si="11"/>
        <v>0.23324465546332149</v>
      </c>
      <c r="U24" s="282">
        <f t="shared" si="8"/>
        <v>9014488264.3900623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-331372.90329123044</v>
      </c>
      <c r="F25" s="9">
        <f t="shared" si="4"/>
        <v>1.7832425690599578</v>
      </c>
      <c r="G25" s="282">
        <f t="shared" si="5"/>
        <v>195814301870.16736</v>
      </c>
      <c r="O25" s="99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77">
        <f t="shared" si="7"/>
        <v>-1988162.8600985457</v>
      </c>
      <c r="T25" s="9">
        <f t="shared" si="11"/>
        <v>0.2972182406388082</v>
      </c>
      <c r="U25" s="282">
        <f t="shared" si="8"/>
        <v>1174841752562.4968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-3325862.8351686234</v>
      </c>
      <c r="F26" s="9">
        <f t="shared" si="4"/>
        <v>2.1782246331559842</v>
      </c>
      <c r="G26" s="282">
        <f t="shared" si="5"/>
        <v>24094134666233.68</v>
      </c>
      <c r="O26" s="99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77">
        <f t="shared" si="7"/>
        <v>-19955087.212625392</v>
      </c>
      <c r="T26" s="9">
        <f t="shared" si="11"/>
        <v>0.3630390725367908</v>
      </c>
      <c r="U26" s="282">
        <f t="shared" si="8"/>
        <v>144564157455115.56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-33299143.73661375</v>
      </c>
      <c r="F27" s="9">
        <f t="shared" si="4"/>
        <v>2.5780279651608065</v>
      </c>
      <c r="G27" s="282">
        <f t="shared" si="5"/>
        <v>2858602414611720.5</v>
      </c>
      <c r="O27" s="99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77">
        <f t="shared" si="7"/>
        <v>-199794757.52736923</v>
      </c>
      <c r="T27" s="9">
        <f t="shared" si="11"/>
        <v>0.42967155310438904</v>
      </c>
      <c r="U27" s="282">
        <f t="shared" si="8"/>
        <v>1.7151605483071816E+16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-333126554.85068166</v>
      </c>
      <c r="F28" s="9">
        <f t="shared" si="4"/>
        <v>2.9798604255912617</v>
      </c>
      <c r="G28" s="282">
        <f t="shared" si="5"/>
        <v>3.3068494957616986E+17</v>
      </c>
      <c r="O28" s="99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77">
        <f t="shared" si="7"/>
        <v>-1998759209.178529</v>
      </c>
      <c r="T28" s="9">
        <f t="shared" si="11"/>
        <v>0.49664343406381667</v>
      </c>
      <c r="U28" s="282">
        <f t="shared" si="8"/>
        <v>1.9841095784104364E+18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-3331715958.7327418</v>
      </c>
      <c r="F29" s="9">
        <f t="shared" si="4"/>
        <v>3.3825118817254811</v>
      </c>
      <c r="G29" s="282">
        <f t="shared" si="5"/>
        <v>3.7547002275462193E+19</v>
      </c>
      <c r="O29" s="99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77">
        <f t="shared" si="7"/>
        <v>-19990295617.461952</v>
      </c>
      <c r="T29" s="9">
        <f t="shared" si="11"/>
        <v>0.56375198409290617</v>
      </c>
      <c r="U29" s="282">
        <f t="shared" si="8"/>
        <v>2.2528201213211954E+20</v>
      </c>
    </row>
    <row r="30" spans="1:21" ht="17" thickBot="1" x14ac:dyDescent="0.25">
      <c r="A30" s="145">
        <v>10</v>
      </c>
      <c r="B30" s="94">
        <f t="shared" si="9"/>
        <v>1000000000</v>
      </c>
      <c r="C30" s="111">
        <f t="shared" si="2"/>
        <v>10000000000</v>
      </c>
      <c r="D30" s="10">
        <f>SUM($C$21:C30)</f>
        <v>11111111110</v>
      </c>
      <c r="E30" s="10">
        <f t="shared" si="3"/>
        <v>-33318660774.042023</v>
      </c>
      <c r="F30" s="10">
        <f t="shared" si="4"/>
        <v>3.7854841312278102</v>
      </c>
      <c r="G30" s="283">
        <f t="shared" si="5"/>
        <v>4.2023914447387125E+21</v>
      </c>
      <c r="O30" s="100">
        <v>10</v>
      </c>
      <c r="P30" s="94">
        <f t="shared" si="10"/>
        <v>5999999995</v>
      </c>
      <c r="Q30" s="111">
        <f t="shared" si="6"/>
        <v>59999999995</v>
      </c>
      <c r="R30" s="10">
        <f>SUM($Q$21:Q30)</f>
        <v>66666666610</v>
      </c>
      <c r="S30" s="278">
        <f t="shared" si="7"/>
        <v>-199911964494.31815</v>
      </c>
      <c r="T30" s="10">
        <f t="shared" si="11"/>
        <v>0.63091402234448735</v>
      </c>
      <c r="U30" s="283">
        <f t="shared" si="8"/>
        <v>2.5214348649521511E+22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10</v>
      </c>
      <c r="D33" s="57">
        <f>SUM($C$33:C33)</f>
        <v>10</v>
      </c>
      <c r="E33" s="9">
        <f t="shared" ref="E33:E42" si="13">D33/R7</f>
        <v>-19.996866529122471</v>
      </c>
      <c r="F33" s="8">
        <f t="shared" ref="F33:F42" si="14">U7/E33</f>
        <v>0.45346992361605232</v>
      </c>
      <c r="G33" s="284">
        <f>E33*U7</f>
        <v>181.3311365068993</v>
      </c>
      <c r="O33" s="101">
        <v>1</v>
      </c>
      <c r="P33" s="109">
        <v>1</v>
      </c>
      <c r="Q33" s="110">
        <f>P33*10+45</f>
        <v>55</v>
      </c>
      <c r="R33" s="57">
        <f>SUM($Q$21)</f>
        <v>55</v>
      </c>
      <c r="S33" s="276">
        <f>R33/R7</f>
        <v>-109.9827659101736</v>
      </c>
      <c r="T33" s="8">
        <f>U7/S33</f>
        <v>8.2449077021100423E-2</v>
      </c>
      <c r="U33" s="284">
        <f>S33*U7</f>
        <v>997.32125078794627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-311.9097692332071</v>
      </c>
      <c r="F34" s="9">
        <f t="shared" si="14"/>
        <v>0.65524695422906865</v>
      </c>
      <c r="G34" s="282">
        <f t="shared" ref="G34:G42" si="16">E34*U8</f>
        <v>63747.471823713211</v>
      </c>
      <c r="O34" s="99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77">
        <f>R34/R8</f>
        <v>-1715.503730782639</v>
      </c>
      <c r="T34" s="9">
        <f t="shared" ref="T34:T42" si="18">U8/S34</f>
        <v>0.11913580985983067</v>
      </c>
      <c r="U34" s="282">
        <f t="shared" ref="U34:U42" si="19">S34*U8</f>
        <v>350611.09503042267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-3798.6224901108048</v>
      </c>
      <c r="F35" s="9">
        <f t="shared" si="14"/>
        <v>0.86543676118948143</v>
      </c>
      <c r="G35" s="282">
        <f t="shared" si="16"/>
        <v>12487848.151274066</v>
      </c>
      <c r="O35" s="99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77">
        <f t="shared" ref="S35:S42" si="21">R35/R9</f>
        <v>-19321.564771127516</v>
      </c>
      <c r="T35" s="9">
        <f t="shared" si="18"/>
        <v>0.17014499517841983</v>
      </c>
      <c r="U35" s="282">
        <f t="shared" si="19"/>
        <v>63519017.100277491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-43188.764122526889</v>
      </c>
      <c r="F36" s="9">
        <f t="shared" si="14"/>
        <v>1.0617092786936984</v>
      </c>
      <c r="G36" s="282">
        <f t="shared" si="16"/>
        <v>1980373772.3690054</v>
      </c>
      <c r="O36" s="99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77">
        <f t="shared" si="21"/>
        <v>-200220.0424177527</v>
      </c>
      <c r="T36" s="9">
        <f t="shared" si="18"/>
        <v>0.22901759009983419</v>
      </c>
      <c r="U36" s="282">
        <f t="shared" si="19"/>
        <v>9180872126.4128666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-480313.25780805206</v>
      </c>
      <c r="F37" s="9">
        <f t="shared" si="14"/>
        <v>1.2302768199208438</v>
      </c>
      <c r="G37" s="282">
        <f t="shared" si="16"/>
        <v>283825878104.49512</v>
      </c>
      <c r="O37" s="99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77">
        <f t="shared" si="21"/>
        <v>-2024965.5027644965</v>
      </c>
      <c r="T37" s="9">
        <f t="shared" si="18"/>
        <v>0.2918164613546182</v>
      </c>
      <c r="U37" s="282">
        <f t="shared" si="19"/>
        <v>1196589106401.7361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-5302774.310618504</v>
      </c>
      <c r="F38" s="9">
        <f t="shared" si="14"/>
        <v>1.3661672041285342</v>
      </c>
      <c r="G38" s="282">
        <f t="shared" si="16"/>
        <v>38415823104204.75</v>
      </c>
      <c r="O38" s="99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77">
        <f t="shared" si="21"/>
        <v>-20324607.572447162</v>
      </c>
      <c r="T38" s="9">
        <f t="shared" si="18"/>
        <v>0.35643868292360997</v>
      </c>
      <c r="U38" s="282">
        <f t="shared" si="19"/>
        <v>147241138964188.97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-58401552.576639719</v>
      </c>
      <c r="F39" s="9">
        <f t="shared" si="14"/>
        <v>1.469928794379989</v>
      </c>
      <c r="G39" s="282">
        <f t="shared" si="16"/>
        <v>5013546910790108</v>
      </c>
      <c r="O39" s="99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77">
        <f t="shared" si="21"/>
        <v>-203494639.07759005</v>
      </c>
      <c r="T39" s="9">
        <f t="shared" si="18"/>
        <v>0.42185938734320894</v>
      </c>
      <c r="U39" s="282">
        <f t="shared" si="19"/>
        <v>1.746922597256234E+16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-642677723.1912334</v>
      </c>
      <c r="F40" s="9">
        <f t="shared" si="14"/>
        <v>1.5445854145744629</v>
      </c>
      <c r="G40" s="282">
        <f t="shared" si="16"/>
        <v>6.3796730519571123E+17</v>
      </c>
      <c r="O40" s="99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77">
        <f t="shared" si="21"/>
        <v>-2035773244.1784801</v>
      </c>
      <c r="T40" s="9">
        <f t="shared" si="18"/>
        <v>0.48761355929583766</v>
      </c>
      <c r="U40" s="282">
        <f t="shared" si="19"/>
        <v>2.0208523241307702E+18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-7070410760.8374138</v>
      </c>
      <c r="F41" s="9">
        <f t="shared" si="14"/>
        <v>1.5939058137002982</v>
      </c>
      <c r="G41" s="282">
        <f t="shared" si="16"/>
        <v>7.9680480633346212E+19</v>
      </c>
      <c r="O41" s="99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77">
        <f t="shared" si="21"/>
        <v>-20360486249.557926</v>
      </c>
      <c r="T41" s="9">
        <f t="shared" si="18"/>
        <v>0.55350194876571734</v>
      </c>
      <c r="U41" s="282">
        <f t="shared" si="19"/>
        <v>2.2945390093591455E+20</v>
      </c>
    </row>
    <row r="42" spans="1:21" ht="17" thickBot="1" x14ac:dyDescent="0.25">
      <c r="A42" s="145">
        <v>10</v>
      </c>
      <c r="B42" s="94">
        <f t="shared" si="15"/>
        <v>2357947691</v>
      </c>
      <c r="C42" s="111">
        <f t="shared" si="12"/>
        <v>23579476910</v>
      </c>
      <c r="D42" s="10">
        <f>SUM($C$33:C42)</f>
        <v>25937424600</v>
      </c>
      <c r="E42" s="9">
        <f t="shared" si="13"/>
        <v>-77778022651.750137</v>
      </c>
      <c r="F42" s="10">
        <f t="shared" si="14"/>
        <v>1.6216311154968726</v>
      </c>
      <c r="G42" s="283">
        <f t="shared" si="16"/>
        <v>9.80992901236458E+21</v>
      </c>
      <c r="O42" s="100">
        <v>10</v>
      </c>
      <c r="P42" s="94">
        <f t="shared" si="20"/>
        <v>6111111106</v>
      </c>
      <c r="Q42" s="111">
        <f t="shared" si="17"/>
        <v>61111111105</v>
      </c>
      <c r="R42" s="10">
        <f>SUM($Q$33:Q42)</f>
        <v>67901234500</v>
      </c>
      <c r="S42" s="278">
        <f t="shared" si="21"/>
        <v>-203614037880.33749</v>
      </c>
      <c r="T42" s="10">
        <f t="shared" si="18"/>
        <v>0.61944285839477664</v>
      </c>
      <c r="U42" s="283">
        <f t="shared" si="19"/>
        <v>2.5681281028067867E+22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10</v>
      </c>
      <c r="D45" s="57">
        <f>SUM(C45:C45)</f>
        <v>10</v>
      </c>
      <c r="E45" s="57">
        <f t="shared" ref="E45:E54" si="23">D45/R7</f>
        <v>-19.996866529122471</v>
      </c>
      <c r="F45" s="8">
        <f t="shared" ref="F45:F54" si="24">U7/E45</f>
        <v>0.45346992361605232</v>
      </c>
      <c r="G45" s="281">
        <f>E45*U7</f>
        <v>181.3311365068993</v>
      </c>
      <c r="O45" s="101">
        <v>1</v>
      </c>
      <c r="P45" s="109">
        <v>1</v>
      </c>
      <c r="Q45" s="110">
        <f>P45*10+45</f>
        <v>55</v>
      </c>
      <c r="R45" s="57">
        <f>SUM($Q$21)</f>
        <v>55</v>
      </c>
      <c r="S45" s="276">
        <f>R45/R7</f>
        <v>-109.9827659101736</v>
      </c>
      <c r="T45" s="8">
        <f>U7/S45</f>
        <v>8.2449077021100423E-2</v>
      </c>
      <c r="U45" s="284">
        <f>S45*U7</f>
        <v>997.32125078794627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-545.84209615811244</v>
      </c>
      <c r="F46" s="9">
        <f t="shared" si="24"/>
        <v>0.37442683098803925</v>
      </c>
      <c r="G46" s="282">
        <f t="shared" ref="G46:G54" si="26">E46*U8</f>
        <v>111558.07569149813</v>
      </c>
      <c r="O46" s="99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77">
        <f t="shared" ref="S46:S54" si="28">R46/R8</f>
        <v>-3119.0976923320709</v>
      </c>
      <c r="T46" s="9">
        <f t="shared" ref="T46:T54" si="29">U8/S46</f>
        <v>6.552469542290687E-2</v>
      </c>
      <c r="U46" s="282">
        <f t="shared" ref="U46:U54" si="30">S46*U8</f>
        <v>637474.71823713207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-12024.211040125179</v>
      </c>
      <c r="F47" s="9">
        <f t="shared" si="24"/>
        <v>0.27340401244228274</v>
      </c>
      <c r="G47" s="282">
        <f t="shared" si="26"/>
        <v>39529203.546514146</v>
      </c>
      <c r="O47" s="99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77">
        <f t="shared" si="28"/>
        <v>-68960.706784755923</v>
      </c>
      <c r="T47" s="9">
        <f t="shared" si="29"/>
        <v>4.7671604571630166E-2</v>
      </c>
      <c r="U47" s="282">
        <f t="shared" si="30"/>
        <v>226706085.42294157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-248423.89527035443</v>
      </c>
      <c r="F48" s="9">
        <f t="shared" si="24"/>
        <v>0.18457931172159775</v>
      </c>
      <c r="G48" s="282">
        <f t="shared" si="26"/>
        <v>11391207334.097946</v>
      </c>
      <c r="O48" s="99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77">
        <f t="shared" si="28"/>
        <v>-1425140.7144775623</v>
      </c>
      <c r="T48" s="9">
        <f t="shared" si="29"/>
        <v>3.2175006396480459E-2</v>
      </c>
      <c r="U48" s="282">
        <f t="shared" si="30"/>
        <v>65348276345.201004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-5022964.2467115764</v>
      </c>
      <c r="F49" s="9">
        <f t="shared" si="24"/>
        <v>0.11764333536094186</v>
      </c>
      <c r="G49" s="282">
        <f t="shared" si="26"/>
        <v>2968161329788.0889</v>
      </c>
      <c r="O49" s="99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77">
        <f t="shared" si="28"/>
        <v>-28815917.466038015</v>
      </c>
      <c r="T49" s="9">
        <f t="shared" si="29"/>
        <v>2.0506661572665789E-2</v>
      </c>
      <c r="U49" s="282">
        <f t="shared" si="30"/>
        <v>17027852022051.322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-100826256.78017054</v>
      </c>
      <c r="F50" s="9">
        <f t="shared" si="24"/>
        <v>7.1851089045756031E-2</v>
      </c>
      <c r="G50" s="282">
        <f t="shared" si="26"/>
        <v>730433433112558.75</v>
      </c>
      <c r="O50" s="99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77">
        <f t="shared" si="28"/>
        <v>-578424272.67647958</v>
      </c>
      <c r="T50" s="9">
        <f t="shared" si="29"/>
        <v>1.2524502681294339E-2</v>
      </c>
      <c r="U50" s="282">
        <f t="shared" si="30"/>
        <v>4190380966020438.5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-2018979862.6669235</v>
      </c>
      <c r="F51" s="9">
        <f t="shared" si="24"/>
        <v>4.2519554234435583E-2</v>
      </c>
      <c r="G51" s="282">
        <f t="shared" si="26"/>
        <v>1.7332159517742054E+17</v>
      </c>
      <c r="O51" s="99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77">
        <f t="shared" si="28"/>
        <v>-11582568636.140203</v>
      </c>
      <c r="T51" s="9">
        <f t="shared" si="29"/>
        <v>7.4116654488055834E-3</v>
      </c>
      <c r="U51" s="282">
        <f t="shared" si="30"/>
        <v>9.9431862069986611E+17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-40395978422.169739</v>
      </c>
      <c r="F52" s="9">
        <f t="shared" si="24"/>
        <v>2.4573501528763936E-2</v>
      </c>
      <c r="G52" s="282">
        <f t="shared" si="26"/>
        <v>4.0099901653300789E+19</v>
      </c>
      <c r="O52" s="99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77">
        <f t="shared" si="28"/>
        <v>-231745349838.79852</v>
      </c>
      <c r="T52" s="9">
        <f t="shared" si="29"/>
        <v>4.2834543959721404E-3</v>
      </c>
      <c r="U52" s="282">
        <f t="shared" si="30"/>
        <v>2.3004680416517725E+20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-808028797534.89661</v>
      </c>
      <c r="F53" s="9">
        <f t="shared" si="24"/>
        <v>1.3946989081736532E-2</v>
      </c>
      <c r="G53" s="282">
        <f t="shared" si="26"/>
        <v>9.1061361398951811E+21</v>
      </c>
      <c r="O53" s="99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77">
        <f t="shared" si="28"/>
        <v>-4635533627899.4375</v>
      </c>
      <c r="T53" s="9">
        <f t="shared" si="29"/>
        <v>2.4311265372169537E-3</v>
      </c>
      <c r="U53" s="282">
        <f t="shared" si="30"/>
        <v>5.2240465222888883E+22</v>
      </c>
    </row>
    <row r="54" spans="1:21" ht="17" thickBot="1" x14ac:dyDescent="0.25">
      <c r="A54" s="145">
        <v>10</v>
      </c>
      <c r="B54" s="94">
        <f t="shared" si="25"/>
        <v>512000000000</v>
      </c>
      <c r="C54" s="111">
        <f t="shared" si="22"/>
        <v>5120000000000</v>
      </c>
      <c r="D54" s="10">
        <f>SUM($C$45:C54)</f>
        <v>5389473684210</v>
      </c>
      <c r="E54" s="10">
        <f t="shared" si="23"/>
        <v>-16161304090749.883</v>
      </c>
      <c r="F54" s="10">
        <f t="shared" si="24"/>
        <v>7.8042750093471136E-3</v>
      </c>
      <c r="G54" s="283">
        <f t="shared" si="26"/>
        <v>2.0383810293990061E+24</v>
      </c>
      <c r="O54" s="100">
        <v>10</v>
      </c>
      <c r="P54" s="94">
        <f t="shared" si="31"/>
        <v>2937263157890</v>
      </c>
      <c r="Q54" s="111">
        <f t="shared" si="27"/>
        <v>29372631578945</v>
      </c>
      <c r="R54" s="10">
        <f>SUM($Q$45:Q54)</f>
        <v>30918559556760</v>
      </c>
      <c r="S54" s="278">
        <f t="shared" si="28"/>
        <v>-92714849783704.609</v>
      </c>
      <c r="T54" s="10">
        <f t="shared" si="29"/>
        <v>1.3603782126395301E-3</v>
      </c>
      <c r="U54" s="283">
        <f t="shared" si="30"/>
        <v>1.1693870116016917E+25</v>
      </c>
    </row>
  </sheetData>
  <mergeCells count="2">
    <mergeCell ref="A18:F18"/>
    <mergeCell ref="O18:T18"/>
  </mergeCells>
  <conditionalFormatting sqref="F45:F54">
    <cfRule type="cellIs" dxfId="198" priority="31" operator="equal">
      <formula>MAX($F$45:$F$54)</formula>
    </cfRule>
  </conditionalFormatting>
  <conditionalFormatting sqref="F21:F30">
    <cfRule type="cellIs" dxfId="197" priority="30" operator="equal">
      <formula>MAX($F$21:$F$30)</formula>
    </cfRule>
  </conditionalFormatting>
  <conditionalFormatting sqref="E33:E42">
    <cfRule type="cellIs" dxfId="196" priority="28" stopIfTrue="1" operator="lessThan">
      <formula>0</formula>
    </cfRule>
    <cfRule type="cellIs" dxfId="195" priority="29" operator="equal">
      <formula>MIN($E$33:$E$42)</formula>
    </cfRule>
  </conditionalFormatting>
  <conditionalFormatting sqref="E21:E30">
    <cfRule type="cellIs" dxfId="194" priority="26" stopIfTrue="1" operator="lessThan">
      <formula>0</formula>
    </cfRule>
    <cfRule type="cellIs" dxfId="193" priority="27" operator="equal">
      <formula>MIN($E$21:$E$30)</formula>
    </cfRule>
  </conditionalFormatting>
  <conditionalFormatting sqref="E45:E54">
    <cfRule type="cellIs" dxfId="192" priority="24" stopIfTrue="1" operator="lessThan">
      <formula>0</formula>
    </cfRule>
    <cfRule type="cellIs" dxfId="191" priority="25" operator="equal">
      <formula>MIN($E$45:$E$54)</formula>
    </cfRule>
  </conditionalFormatting>
  <conditionalFormatting sqref="F33:F42">
    <cfRule type="cellIs" dxfId="190" priority="22" operator="lessThanOrEqual">
      <formula>0</formula>
    </cfRule>
    <cfRule type="cellIs" dxfId="189" priority="23" operator="equal">
      <formula>MAX($F$33:$F$42)</formula>
    </cfRule>
  </conditionalFormatting>
  <conditionalFormatting sqref="R7:R16">
    <cfRule type="cellIs" dxfId="188" priority="20" operator="lessThanOrEqual">
      <formula>0</formula>
    </cfRule>
    <cfRule type="cellIs" dxfId="187" priority="21" operator="greaterThan">
      <formula>0</formula>
    </cfRule>
  </conditionalFormatting>
  <conditionalFormatting sqref="T21:T30">
    <cfRule type="cellIs" dxfId="186" priority="17" operator="equal">
      <formula>MAX($T$21:$T$30)</formula>
    </cfRule>
  </conditionalFormatting>
  <conditionalFormatting sqref="S33:S42">
    <cfRule type="cellIs" dxfId="185" priority="15" stopIfTrue="1" operator="lessThan">
      <formula>0</formula>
    </cfRule>
    <cfRule type="cellIs" dxfId="184" priority="16" operator="equal">
      <formula>MIN($E$21:$E$30)</formula>
    </cfRule>
  </conditionalFormatting>
  <conditionalFormatting sqref="T33:T42">
    <cfRule type="cellIs" dxfId="183" priority="14" operator="equal">
      <formula>MAX($T$21:$T$30)</formula>
    </cfRule>
  </conditionalFormatting>
  <conditionalFormatting sqref="S45:S54">
    <cfRule type="cellIs" dxfId="182" priority="12" stopIfTrue="1" operator="lessThan">
      <formula>0</formula>
    </cfRule>
    <cfRule type="cellIs" dxfId="181" priority="13" operator="equal">
      <formula>MIN($E$21:$E$30)</formula>
    </cfRule>
  </conditionalFormatting>
  <conditionalFormatting sqref="T45:T54">
    <cfRule type="cellIs" dxfId="180" priority="11" operator="equal">
      <formula>MAX($T$21:$T$30)</formula>
    </cfRule>
  </conditionalFormatting>
  <conditionalFormatting sqref="S21:S30">
    <cfRule type="cellIs" dxfId="179" priority="9" stopIfTrue="1" operator="lessThan">
      <formula>0</formula>
    </cfRule>
    <cfRule type="cellIs" dxfId="178" priority="10" operator="equal">
      <formula>MIN($E$21:$E$30)</formula>
    </cfRule>
  </conditionalFormatting>
  <conditionalFormatting sqref="U7:U16">
    <cfRule type="cellIs" dxfId="177" priority="5" operator="lessThanOrEqual">
      <formula>0</formula>
    </cfRule>
    <cfRule type="cellIs" dxfId="176" priority="6" operator="greaterThan">
      <formula>0</formula>
    </cfRule>
  </conditionalFormatting>
  <conditionalFormatting sqref="S7:T16">
    <cfRule type="cellIs" dxfId="175" priority="1" operator="lessThanOrEqual">
      <formula>0</formula>
    </cfRule>
    <cfRule type="cellIs" dxfId="17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A89A-3C8D-D649-B3D3-617CB65D7BD5}">
  <sheetPr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0.99999999999999978</v>
      </c>
    </row>
    <row r="2" spans="1:23" x14ac:dyDescent="0.2">
      <c r="A2" t="s">
        <v>40</v>
      </c>
      <c r="B2" s="149" t="s">
        <v>125</v>
      </c>
      <c r="C2" s="155">
        <f>Analysis!B62</f>
        <v>0.25391107529222384</v>
      </c>
      <c r="D2" s="149" t="s">
        <v>126</v>
      </c>
      <c r="E2" s="155">
        <f>Analysis!O62</f>
        <v>0.74608892470777599</v>
      </c>
      <c r="F2" s="149" t="s">
        <v>47</v>
      </c>
      <c r="G2" s="155">
        <f>Analysis!S62</f>
        <v>18.998687908551108</v>
      </c>
      <c r="H2" t="s">
        <v>155</v>
      </c>
      <c r="I2" s="169">
        <f>Analysis!T62</f>
        <v>-20.110842603188551</v>
      </c>
      <c r="J2" t="s">
        <v>48</v>
      </c>
      <c r="K2" s="169">
        <f>C2*G2+E2*I2</f>
        <v>-10.180499656778693</v>
      </c>
      <c r="L2" t="s">
        <v>47</v>
      </c>
      <c r="M2" s="176">
        <v>3</v>
      </c>
      <c r="N2" t="s">
        <v>155</v>
      </c>
      <c r="O2" s="176">
        <v>10</v>
      </c>
    </row>
    <row r="4" spans="1:23" x14ac:dyDescent="0.2">
      <c r="A4" t="s">
        <v>123</v>
      </c>
      <c r="B4">
        <f>$C$2</f>
        <v>0.25391107529222384</v>
      </c>
      <c r="C4" t="s">
        <v>124</v>
      </c>
      <c r="D4">
        <f>$E$2</f>
        <v>0.74608892470777599</v>
      </c>
      <c r="E4" t="s">
        <v>47</v>
      </c>
      <c r="F4">
        <f>G2</f>
        <v>18.998687908551108</v>
      </c>
      <c r="G4" t="s">
        <v>155</v>
      </c>
      <c r="H4">
        <f>I2</f>
        <v>-20.110842603188551</v>
      </c>
      <c r="I4" t="s">
        <v>48</v>
      </c>
      <c r="J4">
        <f>K2</f>
        <v>-10.180499656778693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263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0.25391107529222384</v>
      </c>
      <c r="C7" s="95">
        <v>1</v>
      </c>
      <c r="D7" s="22">
        <f>C7*D4</f>
        <v>0.74608892470777599</v>
      </c>
      <c r="E7" s="2"/>
      <c r="F7" s="2"/>
      <c r="G7" s="2"/>
      <c r="H7" s="2"/>
      <c r="I7" s="2"/>
      <c r="J7" s="2"/>
      <c r="K7" s="2"/>
      <c r="L7" s="2"/>
      <c r="M7" s="256"/>
      <c r="N7" s="96">
        <f>B7+D7</f>
        <v>0.99999999999999978</v>
      </c>
      <c r="R7" s="296">
        <f>B7-D7</f>
        <v>-0.49217784941555215</v>
      </c>
      <c r="S7" s="297">
        <f>SUM(C7)*B4*F4*POWER(O2,A7-1)</f>
        <v>4.8239772760015835</v>
      </c>
      <c r="T7" s="276">
        <f>SUM(C7)*D4*H4*POWER(O2,A7-1)</f>
        <v>-15.004476932780276</v>
      </c>
      <c r="U7" s="294">
        <f>S7+T7</f>
        <v>-10.180499656778693</v>
      </c>
      <c r="V7" s="109">
        <f>(U7+W7*D7)/B7</f>
        <v>-37.15635767842322</v>
      </c>
      <c r="W7" s="57">
        <f>COUNT(D7:M7)</f>
        <v>1</v>
      </c>
    </row>
    <row r="8" spans="1:23" x14ac:dyDescent="0.2">
      <c r="A8" s="99">
        <v>2</v>
      </c>
      <c r="B8" s="97">
        <f>C8*B4</f>
        <v>0.31325398592219006</v>
      </c>
      <c r="C8" s="97">
        <f>1/(1-B4*D4)</f>
        <v>1.2337153295171115</v>
      </c>
      <c r="D8" s="144">
        <f>C8*D4</f>
        <v>0.92046134359492127</v>
      </c>
      <c r="E8" s="1">
        <f>D8*D4</f>
        <v>0.68674601407780955</v>
      </c>
      <c r="F8" s="1"/>
      <c r="G8" s="1"/>
      <c r="H8" s="1"/>
      <c r="I8" s="1"/>
      <c r="J8" s="1"/>
      <c r="K8" s="1"/>
      <c r="L8" s="1"/>
      <c r="M8" s="257"/>
      <c r="N8" s="97">
        <f>B8+E8</f>
        <v>0.99999999999999956</v>
      </c>
      <c r="R8" s="298">
        <f>B8-E8</f>
        <v>-0.37349202815561949</v>
      </c>
      <c r="S8" s="299">
        <f>SUM(C8:D8)*B4*F4*POWER(O2,A8-1)</f>
        <v>103.91699319585136</v>
      </c>
      <c r="T8" s="277">
        <f>SUM(C8:D8)*D4*H4*POWER(O2,A8-1)</f>
        <v>-323.22294200842856</v>
      </c>
      <c r="U8" s="295">
        <f>S8+T8+U7</f>
        <v>-229.48644846935588</v>
      </c>
      <c r="V8" s="93">
        <f>(U8+W8*E8)/B8</f>
        <v>-728.20448164340928</v>
      </c>
      <c r="W8" s="9">
        <f>COUNT(D8:M8)</f>
        <v>2</v>
      </c>
    </row>
    <row r="9" spans="1:23" x14ac:dyDescent="0.2">
      <c r="A9" s="99">
        <v>3</v>
      </c>
      <c r="B9" s="97">
        <f>C9*B4</f>
        <v>0.33135345788950349</v>
      </c>
      <c r="C9" s="97">
        <f>1/(1-D4*B4/(1-D4*B4))</f>
        <v>1.3049980490537956</v>
      </c>
      <c r="D9" s="144">
        <f>C9*D4*C8</f>
        <v>1.2012002576208076</v>
      </c>
      <c r="E9" s="1">
        <f>D9*(D4)</f>
        <v>0.89620220856701183</v>
      </c>
      <c r="F9" s="1">
        <f>E9*D4</f>
        <v>0.66864654211049579</v>
      </c>
      <c r="G9" s="1"/>
      <c r="H9" s="1"/>
      <c r="I9" s="1"/>
      <c r="J9" s="1"/>
      <c r="K9" s="1"/>
      <c r="L9" s="1"/>
      <c r="M9" s="257"/>
      <c r="N9" s="97">
        <f>B9+F9</f>
        <v>0.99999999999999933</v>
      </c>
      <c r="R9" s="298">
        <f>B9-F9</f>
        <v>-0.3372930842209923</v>
      </c>
      <c r="S9" s="299">
        <f>SUM(C9:E9)*B4*F4*POWER(O2,A9-1)</f>
        <v>1641.310276938163</v>
      </c>
      <c r="T9" s="277">
        <f>SUM(C9:E9)*D4*H4*POWER(O2,A9-1)</f>
        <v>-5105.1240047022548</v>
      </c>
      <c r="U9" s="295">
        <f t="shared" ref="U9:U16" si="0">S9+T9+U8</f>
        <v>-3693.3001762334475</v>
      </c>
      <c r="V9" s="93">
        <f>(U9+W9*F9)/B9</f>
        <v>-11140.050446789219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0.33729746663690241</v>
      </c>
      <c r="C10" s="97">
        <f>1/(1-D4*B4/(1-D4*B4/(1-D4*B4)))</f>
        <v>1.3284078540044382</v>
      </c>
      <c r="D10" s="144">
        <f>C10*D4*C9</f>
        <v>1.2933971219115854</v>
      </c>
      <c r="E10" s="1">
        <f>D10*D4*C8</f>
        <v>1.1905220526365421</v>
      </c>
      <c r="F10" s="1">
        <f>E10*D4</f>
        <v>0.88823531809249201</v>
      </c>
      <c r="G10" s="1">
        <f>F10*D4</f>
        <v>0.6627025333630967</v>
      </c>
      <c r="H10" s="1"/>
      <c r="I10" s="1"/>
      <c r="J10" s="1"/>
      <c r="K10" s="1"/>
      <c r="L10" s="1"/>
      <c r="M10" s="257"/>
      <c r="N10" s="97">
        <f>B10+G10</f>
        <v>0.99999999999999911</v>
      </c>
      <c r="R10" s="298">
        <f>B10-G10</f>
        <v>-0.32540506672619429</v>
      </c>
      <c r="S10" s="299">
        <f>SUM(C10:F10)*B4*F4*POWER(O2,A10-1)</f>
        <v>22675.40594464443</v>
      </c>
      <c r="T10" s="277">
        <f>SUM(C10:F10)*D4*H4*POWER(O2,A10-1)</f>
        <v>-70529.479301331288</v>
      </c>
      <c r="U10" s="295">
        <f t="shared" si="0"/>
        <v>-51547.373532920305</v>
      </c>
      <c r="V10" s="93">
        <f>(U10+W10*G10)/B10</f>
        <v>-152816.80955604173</v>
      </c>
      <c r="W10" s="9">
        <f t="shared" si="1"/>
        <v>4</v>
      </c>
    </row>
    <row r="11" spans="1:23" x14ac:dyDescent="0.2">
      <c r="A11" s="99">
        <v>5</v>
      </c>
      <c r="B11" s="97">
        <f>C11*B4</f>
        <v>0.33929631852668429</v>
      </c>
      <c r="C11" s="97">
        <f>1/(1-D4*B4/(1-D4*B4/(1-D4*B4/(1-D4*B4))))</f>
        <v>1.3362801056873608</v>
      </c>
      <c r="D11" s="144">
        <f>C11*D4*C10</f>
        <v>1.3244010931793315</v>
      </c>
      <c r="E11" s="1">
        <f>D11*D4*C9</f>
        <v>1.2894959609061314</v>
      </c>
      <c r="F11" s="1">
        <f>E11*D4*C8</f>
        <v>1.1869311847358817</v>
      </c>
      <c r="G11" s="1">
        <f>F11*D4</f>
        <v>0.88555621132172058</v>
      </c>
      <c r="H11" s="1">
        <f>G11*D4</f>
        <v>0.6607036814733146</v>
      </c>
      <c r="I11" s="1"/>
      <c r="J11" s="1"/>
      <c r="K11" s="1"/>
      <c r="L11" s="1"/>
      <c r="M11" s="257"/>
      <c r="N11" s="97">
        <f>B11+H11</f>
        <v>0.99999999999999889</v>
      </c>
      <c r="R11" s="298">
        <f>B11-H11</f>
        <v>-0.3214073629466303</v>
      </c>
      <c r="S11" s="299">
        <f>SUM(C11:G11)*B4*F4*POWER(O2,A11-1)</f>
        <v>290531.96958306141</v>
      </c>
      <c r="T11" s="277">
        <f>SUM(C11:G11)*D4*H4*POWER(O2,A11-1)</f>
        <v>-903669.31401830993</v>
      </c>
      <c r="U11" s="295">
        <f t="shared" si="0"/>
        <v>-664684.71796816878</v>
      </c>
      <c r="V11" s="93">
        <f>(U11+W11*H11)/B11</f>
        <v>-1958999.7832454727</v>
      </c>
      <c r="W11" s="9">
        <f t="shared" si="1"/>
        <v>5</v>
      </c>
    </row>
    <row r="12" spans="1:23" x14ac:dyDescent="0.2">
      <c r="A12" s="99">
        <v>6</v>
      </c>
      <c r="B12" s="97">
        <f>C12*B4</f>
        <v>0.33997382616205629</v>
      </c>
      <c r="C12" s="97">
        <f>1/(1-D4*B4/(1-D4*B4/(1-D4*B4/(1-D4*B4/(1-D4*B4)))))</f>
        <v>1.3389483927425523</v>
      </c>
      <c r="D12" s="144">
        <f>C12*D4*C11</f>
        <v>1.3349098394091703</v>
      </c>
      <c r="E12" s="1">
        <f>D12*D4*C10</f>
        <v>1.3230430080375575</v>
      </c>
      <c r="F12" s="1">
        <f>E12*D4*C9</f>
        <v>1.2881736686535026</v>
      </c>
      <c r="G12" s="1">
        <f>F12*D4*C8</f>
        <v>1.1857140658324019</v>
      </c>
      <c r="H12" s="1">
        <f>G12*D4</f>
        <v>0.88464813238778184</v>
      </c>
      <c r="I12" s="1">
        <f>H12*D4</f>
        <v>0.66002617383794238</v>
      </c>
      <c r="J12" s="1"/>
      <c r="K12" s="1"/>
      <c r="L12" s="1"/>
      <c r="M12" s="257"/>
      <c r="N12" s="97">
        <f>B12+I12</f>
        <v>0.99999999999999867</v>
      </c>
      <c r="R12" s="298">
        <f>B12-I12</f>
        <v>-0.32005234767588608</v>
      </c>
      <c r="S12" s="299">
        <f>SUM(C12:H12)*B4*F4*POWER(O2,A12-1)</f>
        <v>3548246.1459530578</v>
      </c>
      <c r="T12" s="277">
        <f>SUM(C12:H12)*D4*H4*POWER(O2,A12-1)</f>
        <v>-11036448.640344238</v>
      </c>
      <c r="U12" s="295">
        <f t="shared" si="0"/>
        <v>-8152887.2123593492</v>
      </c>
      <c r="V12" s="93">
        <f>(U12+W12*I12)/B12</f>
        <v>-23980914.484622847</v>
      </c>
      <c r="W12" s="9">
        <f t="shared" si="1"/>
        <v>6</v>
      </c>
    </row>
    <row r="13" spans="1:23" x14ac:dyDescent="0.2">
      <c r="A13" s="99">
        <v>7</v>
      </c>
      <c r="B13" s="97">
        <f>C13*B4</f>
        <v>0.34020408067126279</v>
      </c>
      <c r="C13" s="97">
        <f>1/(1-D4*B4/(1-D4*B4/(1-D4*B4/(1-D4*B4/(1-D4*B4/(1-D4*B4))))))</f>
        <v>1.3398552240374908</v>
      </c>
      <c r="D13" s="144">
        <f>C13*D4*C12</f>
        <v>1.3384812917134654</v>
      </c>
      <c r="E13" s="1">
        <f>D13*D4*C11</f>
        <v>1.3344441472562047</v>
      </c>
      <c r="F13" s="1">
        <f>E13*D4*C10</f>
        <v>1.3225814557074378</v>
      </c>
      <c r="G13" s="1">
        <f>F13*D4*C9</f>
        <v>1.2877242807237423</v>
      </c>
      <c r="H13" s="1">
        <f>G13*D4*C8</f>
        <v>1.1853004216147793</v>
      </c>
      <c r="I13" s="1">
        <f>H13*D4</f>
        <v>0.8843395170182442</v>
      </c>
      <c r="J13" s="1">
        <f>I13*D4</f>
        <v>0.65979591932873582</v>
      </c>
      <c r="K13" s="1"/>
      <c r="L13" s="1"/>
      <c r="M13" s="257"/>
      <c r="N13" s="97">
        <f>B13+J13</f>
        <v>0.99999999999999867</v>
      </c>
      <c r="R13" s="298">
        <f>B13-J13</f>
        <v>-0.31959183865747304</v>
      </c>
      <c r="S13" s="299">
        <f>SUM(C13:I13)*B4*F4*POWER(O2,A13-1)</f>
        <v>41933514.321356729</v>
      </c>
      <c r="T13" s="277">
        <f>SUM(C13:I13)*D4*H4*POWER(O2,A13-1)</f>
        <v>-130429811.82256335</v>
      </c>
      <c r="U13" s="295">
        <f t="shared" si="0"/>
        <v>-96649184.713565975</v>
      </c>
      <c r="V13" s="93">
        <f>(U13+W13*J13)/B13</f>
        <v>-284091771.92788023</v>
      </c>
      <c r="W13" s="9">
        <f t="shared" si="1"/>
        <v>7</v>
      </c>
    </row>
    <row r="14" spans="1:23" x14ac:dyDescent="0.2">
      <c r="A14" s="99">
        <v>8</v>
      </c>
      <c r="B14" s="97">
        <f>C14*B4</f>
        <v>0.34028240489593292</v>
      </c>
      <c r="C14" s="97">
        <f>1/(1-D4*B4/(1-D4*B4/(1-D4*B4/(1-D4*B4/(1-D4*B4/(1-D4*B4/(1-D4*B4)))))))</f>
        <v>1.3401636951216291</v>
      </c>
      <c r="D14" s="144">
        <f>C14*D4*C13</f>
        <v>1.3396961701262453</v>
      </c>
      <c r="E14" s="1">
        <f>D14*D4*C12</f>
        <v>1.3383224009014161</v>
      </c>
      <c r="F14" s="1">
        <f>E14*D4*C11</f>
        <v>1.3342857356926625</v>
      </c>
      <c r="G14" s="1">
        <f>F14*D4*C10</f>
        <v>1.322424452361332</v>
      </c>
      <c r="H14" s="1">
        <f>G14*D4*C9</f>
        <v>1.2875714152650117</v>
      </c>
      <c r="I14" s="1">
        <f>H14*D4*C8</f>
        <v>1.185159714869247</v>
      </c>
      <c r="J14" s="1">
        <f>I14*D4</f>
        <v>0.88423453727377088</v>
      </c>
      <c r="K14" s="1">
        <f>J14*D4</f>
        <v>0.65971759510406558</v>
      </c>
      <c r="L14" s="1"/>
      <c r="M14" s="257"/>
      <c r="N14" s="97">
        <f>B14+K14</f>
        <v>0.99999999999999845</v>
      </c>
      <c r="R14" s="298">
        <f>B14-K14</f>
        <v>-0.31943519020813266</v>
      </c>
      <c r="S14" s="299">
        <f>SUM(C14:J14)*B4*F4*POWER(O2,A14-1)</f>
        <v>483934556.14724922</v>
      </c>
      <c r="T14" s="277">
        <f>SUM(C14:J14)*D4*H4*POWER(O2,A14-1)</f>
        <v>-1505227837.7864146</v>
      </c>
      <c r="U14" s="295">
        <f t="shared" si="0"/>
        <v>-1117942466.3527315</v>
      </c>
      <c r="V14" s="93">
        <f>(U14+W14*K14)/B14</f>
        <v>-3285337252.2064023</v>
      </c>
      <c r="W14" s="9">
        <f t="shared" si="1"/>
        <v>8</v>
      </c>
    </row>
    <row r="15" spans="1:23" x14ac:dyDescent="0.2">
      <c r="A15" s="99">
        <v>9</v>
      </c>
      <c r="B15" s="97">
        <f>C15*B4</f>
        <v>0.34030905617476304</v>
      </c>
      <c r="C15" s="97">
        <f>1/(1-D4*B4/(1-D4*B4/(1-D4*B4/(1-D4*B4/(1-D4*B4/(1-D4*B4/(1-D4*B4/(1-D4*B4))))))))</f>
        <v>1.3402686581635108</v>
      </c>
      <c r="D15" s="144">
        <f>C15*D4*C14</f>
        <v>1.3401095551735935</v>
      </c>
      <c r="E15" s="1">
        <f>D15*D4*C13</f>
        <v>1.3396420490652896</v>
      </c>
      <c r="F15" s="1">
        <f>E15*D4*C12</f>
        <v>1.3382683353380049</v>
      </c>
      <c r="G15" s="1">
        <f>F15*D4*C11</f>
        <v>1.3342318332024981</v>
      </c>
      <c r="H15" s="1">
        <f>G15*D4*C10</f>
        <v>1.322371029043425</v>
      </c>
      <c r="I15" s="1">
        <f>H15*D4*C9</f>
        <v>1.2875193999404895</v>
      </c>
      <c r="J15" s="1">
        <f>I15*D4*C8</f>
        <v>1.1851118367737496</v>
      </c>
      <c r="K15" s="1">
        <f>J15*D4</f>
        <v>0.88419881595698424</v>
      </c>
      <c r="L15" s="1">
        <f>K15*D4</f>
        <v>0.65969094382523508</v>
      </c>
      <c r="M15" s="257"/>
      <c r="N15" s="97">
        <f>B15+L15</f>
        <v>0.99999999999999811</v>
      </c>
      <c r="R15" s="298">
        <f>B15-L15</f>
        <v>-0.31938188765047204</v>
      </c>
      <c r="S15" s="299">
        <f>SUM(C15:K15)*B4*F4*POWER(O2,A15-1)</f>
        <v>5485692616.6078339</v>
      </c>
      <c r="T15" s="277">
        <f>SUM(C15:K15)*D4*H4*POWER(O2,A15-1)</f>
        <v>-17062673312.267134</v>
      </c>
      <c r="U15" s="295">
        <f t="shared" si="0"/>
        <v>-12694923162.012032</v>
      </c>
      <c r="V15" s="93">
        <f>(U15+W15*L15)/B15</f>
        <v>-37304100275.120026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0.34031812572161613</v>
      </c>
      <c r="C16" s="145">
        <f>1/(1-D4*B4/(1-D4*B4/(1-D4*B4/(1-D4*B4/(1-D4*B4/(1-D4*B4/(1-D4*B4/(1-D4*B4/(1-D4*B4)))))))))</f>
        <v>1.3403043775461438</v>
      </c>
      <c r="D16" s="153">
        <f>C16*D4*C15</f>
        <v>1.3402502319148182</v>
      </c>
      <c r="E16" s="111">
        <f>D16*D4*C14</f>
        <v>1.3400911311122767</v>
      </c>
      <c r="F16" s="111">
        <f>E16*D4*C13</f>
        <v>1.339623631431329</v>
      </c>
      <c r="G16" s="111">
        <f>F16*D4*C12</f>
        <v>1.3382499365901017</v>
      </c>
      <c r="H16" s="111">
        <f>G16*D4*C11</f>
        <v>1.3342134899491345</v>
      </c>
      <c r="I16" s="111">
        <f>H16*D4*C10</f>
        <v>1.3223528488544782</v>
      </c>
      <c r="J16" s="111">
        <f>I16*D4*C9</f>
        <v>1.2875016988978549</v>
      </c>
      <c r="K16" s="111">
        <f>J16*D4*C8</f>
        <v>1.1850955436482633</v>
      </c>
      <c r="L16" s="111">
        <f>K16*D4</f>
        <v>0.88418665983651001</v>
      </c>
      <c r="M16" s="259">
        <f>L16*D4</f>
        <v>0.65968187427838187</v>
      </c>
      <c r="N16" s="145">
        <f>B16+M16</f>
        <v>0.999999999999998</v>
      </c>
      <c r="R16" s="300">
        <f>B16-M16</f>
        <v>-0.31936374855676575</v>
      </c>
      <c r="S16" s="301">
        <f>SUM(C16:L16)*B4*F4*POWER(O2,A16-1)</f>
        <v>61321769843.63958</v>
      </c>
      <c r="T16" s="278">
        <f>SUM(C16:L16)*D4*H4*POWER(O2,A16-1)</f>
        <v>-190734953432.19965</v>
      </c>
      <c r="U16" s="295">
        <f t="shared" si="0"/>
        <v>-142108106750.57208</v>
      </c>
      <c r="V16" s="94">
        <f>(U16+W16*M16)/B16</f>
        <v>-417574310632.5791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10</v>
      </c>
      <c r="D21" s="57">
        <f>SUM($C$21:C21)</f>
        <v>10</v>
      </c>
      <c r="E21" s="57">
        <f t="shared" ref="E21:E30" si="3">D21/R7</f>
        <v>-20.31785870061956</v>
      </c>
      <c r="F21" s="8">
        <f t="shared" ref="F21:F30" si="4">U7/E21</f>
        <v>0.50106164270491038</v>
      </c>
      <c r="G21" s="281">
        <f>E21*U7</f>
        <v>206.8459535281354</v>
      </c>
      <c r="O21" s="101">
        <v>1</v>
      </c>
      <c r="P21" s="109">
        <v>1</v>
      </c>
      <c r="Q21" s="110">
        <f>P21*10+45</f>
        <v>55</v>
      </c>
      <c r="R21" s="57">
        <f>SUM($Q$21)</f>
        <v>55</v>
      </c>
      <c r="S21" s="276">
        <f>R21/R7</f>
        <v>-111.74822285340758</v>
      </c>
      <c r="T21" s="8">
        <f>U7/S21</f>
        <v>9.1102116855438245E-2</v>
      </c>
      <c r="U21" s="281">
        <f>S21*U7</f>
        <v>1137.6527444047447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-294.51766492367358</v>
      </c>
      <c r="F22" s="9">
        <f t="shared" si="4"/>
        <v>0.77919417339136166</v>
      </c>
      <c r="G22" s="282">
        <f t="shared" ref="G22:G30" si="5">E22*U8</f>
        <v>67587.812934821632</v>
      </c>
      <c r="O22" s="99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77">
        <f t="shared" ref="S22:S30" si="7">R22/R8</f>
        <v>-1740.3316563671622</v>
      </c>
      <c r="T22" s="9">
        <f>U8/S22</f>
        <v>0.13186362934315352</v>
      </c>
      <c r="U22" s="282">
        <f t="shared" ref="U22:U30" si="8">S22*U8</f>
        <v>399382.53097849153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-3290.9064903113608</v>
      </c>
      <c r="F23" s="9">
        <f t="shared" si="4"/>
        <v>1.1222744210772198</v>
      </c>
      <c r="G23" s="282">
        <f t="shared" si="5"/>
        <v>12154305.520634744</v>
      </c>
      <c r="O23" s="99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77">
        <f t="shared" si="7"/>
        <v>-19700.967232539631</v>
      </c>
      <c r="T23" s="9">
        <f t="shared" ref="T23:T30" si="11">U9/S23</f>
        <v>0.18746796198581098</v>
      </c>
      <c r="U23" s="282">
        <f t="shared" si="8"/>
        <v>72761585.751907989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-34142.062112844396</v>
      </c>
      <c r="F24" s="9">
        <f t="shared" si="4"/>
        <v>1.5097908662502244</v>
      </c>
      <c r="G24" s="282">
        <f t="shared" si="5"/>
        <v>1759933628.9149563</v>
      </c>
      <c r="O24" s="99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77">
        <f t="shared" si="7"/>
        <v>-204790.91081907746</v>
      </c>
      <c r="T24" s="9">
        <f t="shared" si="11"/>
        <v>0.25170733079291707</v>
      </c>
      <c r="U24" s="282">
        <f t="shared" si="8"/>
        <v>10556433576.137957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-345698.36540567933</v>
      </c>
      <c r="F25" s="9">
        <f t="shared" si="4"/>
        <v>1.9227302888405529</v>
      </c>
      <c r="G25" s="282">
        <f t="shared" si="5"/>
        <v>229780420511.73093</v>
      </c>
      <c r="O25" s="99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77">
        <f t="shared" si="7"/>
        <v>-2074112.4095240305</v>
      </c>
      <c r="T25" s="9">
        <f t="shared" si="11"/>
        <v>0.32046706577523509</v>
      </c>
      <c r="U25" s="282">
        <f t="shared" si="8"/>
        <v>1378630821958.7593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-3471650.8348353389</v>
      </c>
      <c r="F26" s="9">
        <f t="shared" si="4"/>
        <v>2.34841797180506</v>
      </c>
      <c r="G26" s="282">
        <f t="shared" si="5"/>
        <v>28303977697105.695</v>
      </c>
      <c r="O26" s="99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77">
        <f t="shared" si="7"/>
        <v>-20829811.274345756</v>
      </c>
      <c r="T26" s="9">
        <f t="shared" si="11"/>
        <v>0.39140475662400948</v>
      </c>
      <c r="U26" s="282">
        <f t="shared" si="8"/>
        <v>169823101974472.12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-34766563.647792287</v>
      </c>
      <c r="F27" s="9">
        <f t="shared" si="4"/>
        <v>2.7799464362565294</v>
      </c>
      <c r="G27" s="282">
        <f t="shared" si="5"/>
        <v>3360160031851425</v>
      </c>
      <c r="O27" s="99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77">
        <f t="shared" si="7"/>
        <v>-208599272.37206727</v>
      </c>
      <c r="T27" s="9">
        <f t="shared" si="11"/>
        <v>0.46332464928822015</v>
      </c>
      <c r="U27" s="282">
        <f t="shared" si="8"/>
        <v>2.0160949606603388E+16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-347836160.21642429</v>
      </c>
      <c r="F28" s="9">
        <f t="shared" si="4"/>
        <v>3.2139915115701188</v>
      </c>
      <c r="G28" s="282">
        <f t="shared" si="5"/>
        <v>3.8886081483901325E+17</v>
      </c>
      <c r="O28" s="99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77">
        <f t="shared" si="7"/>
        <v>-2087016836.0775268</v>
      </c>
      <c r="T28" s="9">
        <f t="shared" si="11"/>
        <v>0.53566528406827052</v>
      </c>
      <c r="U28" s="282">
        <f t="shared" si="8"/>
        <v>2.3331647490441846E+18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-3478942147.2014956</v>
      </c>
      <c r="F29" s="9">
        <f t="shared" si="4"/>
        <v>3.6490756744040671</v>
      </c>
      <c r="G29" s="282">
        <f t="shared" si="5"/>
        <v>4.4164903243808137E+19</v>
      </c>
      <c r="O29" s="99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77">
        <f t="shared" si="7"/>
        <v>-20873652742.311817</v>
      </c>
      <c r="T29" s="9">
        <f t="shared" si="11"/>
        <v>0.60817928317255465</v>
      </c>
      <c r="U29" s="282">
        <f t="shared" si="8"/>
        <v>2.6498941767417024E+20</v>
      </c>
    </row>
    <row r="30" spans="1:21" ht="17" thickBot="1" x14ac:dyDescent="0.25">
      <c r="A30" s="145">
        <v>10</v>
      </c>
      <c r="B30" s="94">
        <f t="shared" si="9"/>
        <v>1000000000</v>
      </c>
      <c r="C30" s="111">
        <f t="shared" si="2"/>
        <v>10000000000</v>
      </c>
      <c r="D30" s="10">
        <f>SUM($C$21:C30)</f>
        <v>11111111110</v>
      </c>
      <c r="E30" s="10">
        <f t="shared" si="3"/>
        <v>-34791397458.891739</v>
      </c>
      <c r="F30" s="10">
        <f t="shared" si="4"/>
        <v>4.0845759909035531</v>
      </c>
      <c r="G30" s="283">
        <f t="shared" si="5"/>
        <v>4.9441396240897697E+21</v>
      </c>
      <c r="O30" s="100">
        <v>10</v>
      </c>
      <c r="P30" s="94">
        <f t="shared" si="10"/>
        <v>5999999995</v>
      </c>
      <c r="Q30" s="111">
        <f t="shared" si="6"/>
        <v>59999999995</v>
      </c>
      <c r="R30" s="10">
        <f>SUM($Q$21:Q30)</f>
        <v>66666666610</v>
      </c>
      <c r="S30" s="278">
        <f t="shared" si="7"/>
        <v>-208748384596.78915</v>
      </c>
      <c r="T30" s="10">
        <f t="shared" si="11"/>
        <v>0.68076266566116417</v>
      </c>
      <c r="U30" s="283">
        <f t="shared" si="8"/>
        <v>2.9664837722289989E+22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10</v>
      </c>
      <c r="D33" s="57">
        <f>SUM($C$33:C33)</f>
        <v>10</v>
      </c>
      <c r="E33" s="9">
        <f t="shared" ref="E33:E42" si="13">D33/R7</f>
        <v>-20.31785870061956</v>
      </c>
      <c r="F33" s="8">
        <f t="shared" ref="F33:F42" si="14">U7/E33</f>
        <v>0.50106164270491038</v>
      </c>
      <c r="G33" s="284">
        <f>E33*U7</f>
        <v>206.8459535281354</v>
      </c>
      <c r="O33" s="101">
        <v>1</v>
      </c>
      <c r="P33" s="109">
        <v>1</v>
      </c>
      <c r="Q33" s="110">
        <f>P33*10+45</f>
        <v>55</v>
      </c>
      <c r="R33" s="57">
        <f>SUM($Q$21)</f>
        <v>55</v>
      </c>
      <c r="S33" s="276">
        <f>R33/R7</f>
        <v>-111.74822285340758</v>
      </c>
      <c r="T33" s="8">
        <f>U7/S33</f>
        <v>9.1102116855438245E-2</v>
      </c>
      <c r="U33" s="284">
        <f>S33*U7</f>
        <v>1137.6527444047447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-321.29199809855299</v>
      </c>
      <c r="F34" s="9">
        <f t="shared" si="14"/>
        <v>0.71426132560874822</v>
      </c>
      <c r="G34" s="282">
        <f t="shared" ref="G34:G42" si="16">E34*U8</f>
        <v>73732.159565259964</v>
      </c>
      <c r="O34" s="99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77">
        <f>R34/R8</f>
        <v>-1767.1059895420415</v>
      </c>
      <c r="T34" s="9">
        <f t="shared" ref="T34:T42" si="18">U8/S34</f>
        <v>0.12986569556522695</v>
      </c>
      <c r="U34" s="282">
        <f t="shared" ref="U34:U42" si="19">S34*U8</f>
        <v>405526.87760892982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-3943.1582271298289</v>
      </c>
      <c r="F35" s="9">
        <f t="shared" si="14"/>
        <v>0.93663504315467205</v>
      </c>
      <c r="G35" s="282">
        <f t="shared" si="16"/>
        <v>14563266.975174965</v>
      </c>
      <c r="O35" s="99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77">
        <f t="shared" ref="S35:S42" si="21">R35/R9</f>
        <v>-20056.740907167889</v>
      </c>
      <c r="T35" s="9">
        <f t="shared" si="18"/>
        <v>0.18414258793728217</v>
      </c>
      <c r="U35" s="282">
        <f t="shared" si="19"/>
        <v>74075564.727111757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-44990.080047888565</v>
      </c>
      <c r="F36" s="9">
        <f t="shared" si="14"/>
        <v>1.1457497625710378</v>
      </c>
      <c r="G36" s="282">
        <f t="shared" si="16"/>
        <v>2319120461.5044971</v>
      </c>
      <c r="O36" s="99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77">
        <f t="shared" si="21"/>
        <v>-208570.81508539594</v>
      </c>
      <c r="T36" s="9">
        <f t="shared" si="18"/>
        <v>0.24714566854339171</v>
      </c>
      <c r="U36" s="282">
        <f t="shared" si="19"/>
        <v>10751277713.272554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-501077.506512327</v>
      </c>
      <c r="F37" s="9">
        <f t="shared" si="14"/>
        <v>1.3265107879110452</v>
      </c>
      <c r="G37" s="282">
        <f t="shared" si="16"/>
        <v>333058561096.33936</v>
      </c>
      <c r="O37" s="99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77">
        <f t="shared" si="21"/>
        <v>-2112506.0539224292</v>
      </c>
      <c r="T37" s="9">
        <f t="shared" si="18"/>
        <v>0.31464275178478418</v>
      </c>
      <c r="U37" s="282">
        <f t="shared" si="19"/>
        <v>1404150490657.479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-5535219.512884316</v>
      </c>
      <c r="F38" s="9">
        <f t="shared" si="14"/>
        <v>1.4729112717900157</v>
      </c>
      <c r="G38" s="282">
        <f t="shared" si="16"/>
        <v>45128020384196.484</v>
      </c>
      <c r="O38" s="99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77">
        <f t="shared" si="21"/>
        <v>-21215529.426068287</v>
      </c>
      <c r="T38" s="9">
        <f t="shared" si="18"/>
        <v>0.38428865236526233</v>
      </c>
      <c r="U38" s="282">
        <f t="shared" si="19"/>
        <v>172967818561225.62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-60975180.348349392</v>
      </c>
      <c r="F39" s="9">
        <f t="shared" si="14"/>
        <v>1.5850577917344739</v>
      </c>
      <c r="G39" s="282">
        <f t="shared" si="16"/>
        <v>5893201468430619</v>
      </c>
      <c r="O39" s="99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77">
        <f t="shared" si="21"/>
        <v>-212462199.55189165</v>
      </c>
      <c r="T39" s="9">
        <f t="shared" si="18"/>
        <v>0.45490061252030117</v>
      </c>
      <c r="U39" s="282">
        <f t="shared" si="19"/>
        <v>2.0534298369141292E+16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-671055934.25799882</v>
      </c>
      <c r="F40" s="9">
        <f t="shared" si="14"/>
        <v>1.665945280088857</v>
      </c>
      <c r="G40" s="282">
        <f t="shared" si="16"/>
        <v>7.5020192620502362E+17</v>
      </c>
      <c r="O40" s="99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77">
        <f t="shared" si="21"/>
        <v>-2125665270.4969032</v>
      </c>
      <c r="T40" s="9">
        <f t="shared" si="18"/>
        <v>0.52592592157814066</v>
      </c>
      <c r="U40" s="282">
        <f t="shared" si="19"/>
        <v>2.3763714751396541E+18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-7382847247.0565128</v>
      </c>
      <c r="F41" s="9">
        <f t="shared" si="14"/>
        <v>1.7195158909827648</v>
      </c>
      <c r="G41" s="282">
        <f t="shared" si="16"/>
        <v>9.3724678518254486E+19</v>
      </c>
      <c r="O41" s="99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77">
        <f t="shared" si="21"/>
        <v>-21260201838.46817</v>
      </c>
      <c r="T41" s="9">
        <f t="shared" si="18"/>
        <v>0.59712147883007682</v>
      </c>
      <c r="U41" s="282">
        <f t="shared" si="19"/>
        <v>2.6989662874822033E+20</v>
      </c>
    </row>
    <row r="42" spans="1:21" ht="17" thickBot="1" x14ac:dyDescent="0.25">
      <c r="A42" s="145">
        <v>10</v>
      </c>
      <c r="B42" s="94">
        <f t="shared" si="15"/>
        <v>2357947691</v>
      </c>
      <c r="C42" s="111">
        <f t="shared" si="12"/>
        <v>23579476910</v>
      </c>
      <c r="D42" s="10">
        <f>SUM($C$33:C42)</f>
        <v>25937424600</v>
      </c>
      <c r="E42" s="9">
        <f t="shared" si="13"/>
        <v>-81215932356.798843</v>
      </c>
      <c r="F42" s="10">
        <f t="shared" si="14"/>
        <v>1.749756514845646</v>
      </c>
      <c r="G42" s="283">
        <f t="shared" si="16"/>
        <v>1.1541442385207211E+22</v>
      </c>
      <c r="O42" s="100">
        <v>10</v>
      </c>
      <c r="P42" s="94">
        <f t="shared" si="20"/>
        <v>6111111106</v>
      </c>
      <c r="Q42" s="111">
        <f t="shared" si="17"/>
        <v>61111111105</v>
      </c>
      <c r="R42" s="10">
        <f>SUM($Q$33:Q42)</f>
        <v>67901234500</v>
      </c>
      <c r="S42" s="278">
        <f t="shared" si="21"/>
        <v>-212614095390.76349</v>
      </c>
      <c r="T42" s="10">
        <f t="shared" si="18"/>
        <v>0.66838516274940085</v>
      </c>
      <c r="U42" s="283">
        <f t="shared" si="19"/>
        <v>3.0214186564466936E+22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10</v>
      </c>
      <c r="D45" s="57">
        <f>SUM(C45:C45)</f>
        <v>10</v>
      </c>
      <c r="E45" s="57">
        <f t="shared" ref="E45:E54" si="23">D45/R7</f>
        <v>-20.31785870061956</v>
      </c>
      <c r="F45" s="8">
        <f t="shared" ref="F45:F54" si="24">U7/E45</f>
        <v>0.50106164270491038</v>
      </c>
      <c r="G45" s="281">
        <f>E45*U7</f>
        <v>206.8459535281354</v>
      </c>
      <c r="O45" s="101">
        <v>1</v>
      </c>
      <c r="P45" s="109">
        <v>1</v>
      </c>
      <c r="Q45" s="110">
        <f>P45*10+45</f>
        <v>55</v>
      </c>
      <c r="R45" s="57">
        <f>SUM($Q$21)</f>
        <v>55</v>
      </c>
      <c r="S45" s="276">
        <f>R45/R7</f>
        <v>-111.74822285340758</v>
      </c>
      <c r="T45" s="8">
        <f>U7/S45</f>
        <v>9.1102116855438245E-2</v>
      </c>
      <c r="U45" s="284">
        <f>S45*U7</f>
        <v>1137.6527444047447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-562.26099667246774</v>
      </c>
      <c r="F46" s="9">
        <f t="shared" si="24"/>
        <v>0.40814932891928468</v>
      </c>
      <c r="G46" s="282">
        <f t="shared" ref="G46:G54" si="26">E46*U8</f>
        <v>129031.27923920495</v>
      </c>
      <c r="O46" s="99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77">
        <f t="shared" ref="S46:S54" si="28">R46/R8</f>
        <v>-3212.9199809855299</v>
      </c>
      <c r="T46" s="9">
        <f t="shared" ref="T46:T54" si="29">U8/S46</f>
        <v>7.1426132560874822E-2</v>
      </c>
      <c r="U46" s="282">
        <f t="shared" ref="U46:U54" si="30">S46*U8</f>
        <v>737321.5956525997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-12481.726418207954</v>
      </c>
      <c r="F47" s="9">
        <f t="shared" si="24"/>
        <v>0.2958965813291482</v>
      </c>
      <c r="G47" s="282">
        <f t="shared" si="26"/>
        <v>46098762.380065113</v>
      </c>
      <c r="O47" s="99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77">
        <f t="shared" si="28"/>
        <v>-71584.628115826854</v>
      </c>
      <c r="T47" s="9">
        <f t="shared" si="29"/>
        <v>5.159348135828179E-2</v>
      </c>
      <c r="U47" s="282">
        <f t="shared" si="30"/>
        <v>264383519.63578913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-258785.15306234261</v>
      </c>
      <c r="F48" s="9">
        <f t="shared" si="24"/>
        <v>0.19918984115948216</v>
      </c>
      <c r="G48" s="282">
        <f t="shared" si="26"/>
        <v>13339694949.67853</v>
      </c>
      <c r="O48" s="99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77">
        <f t="shared" si="28"/>
        <v>-1484580.4487933391</v>
      </c>
      <c r="T48" s="9">
        <f t="shared" si="29"/>
        <v>3.472184587559253E-2</v>
      </c>
      <c r="U48" s="282">
        <f t="shared" si="30"/>
        <v>76526222933.620712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-5240110.197101064</v>
      </c>
      <c r="F49" s="9">
        <f t="shared" si="24"/>
        <v>0.1268455610601254</v>
      </c>
      <c r="G49" s="282">
        <f t="shared" si="26"/>
        <v>3483021168482.2461</v>
      </c>
      <c r="O49" s="99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77">
        <f t="shared" si="28"/>
        <v>-30061647.970411871</v>
      </c>
      <c r="T49" s="9">
        <f t="shared" si="29"/>
        <v>2.2110721229334589E-2</v>
      </c>
      <c r="U49" s="282">
        <f t="shared" si="30"/>
        <v>19981518002871.586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-105245939.43648142</v>
      </c>
      <c r="F50" s="9">
        <f t="shared" si="24"/>
        <v>7.7465099898507944E-2</v>
      </c>
      <c r="G50" s="282">
        <f t="shared" si="26"/>
        <v>858058273784435.88</v>
      </c>
      <c r="O50" s="99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77">
        <f t="shared" si="28"/>
        <v>-603779292.3665514</v>
      </c>
      <c r="T50" s="9">
        <f t="shared" si="29"/>
        <v>1.3503091800985073E-2</v>
      </c>
      <c r="U50" s="282">
        <f t="shared" si="30"/>
        <v>4922544471822634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-2107951857.6881757</v>
      </c>
      <c r="F51" s="9">
        <f t="shared" si="24"/>
        <v>4.5849806465486677E-2</v>
      </c>
      <c r="G51" s="282">
        <f t="shared" si="26"/>
        <v>2.0373182846100902E+17</v>
      </c>
      <c r="O51" s="99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77">
        <f t="shared" si="28"/>
        <v>-12092986921.177841</v>
      </c>
      <c r="T51" s="9">
        <f t="shared" si="29"/>
        <v>7.9921681337725668E-3</v>
      </c>
      <c r="U51" s="282">
        <f t="shared" si="30"/>
        <v>1.1687773266836547E+18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-42179711637.97271</v>
      </c>
      <c r="F52" s="9">
        <f t="shared" si="24"/>
        <v>2.6504270013697592E-2</v>
      </c>
      <c r="G52" s="282">
        <f t="shared" si="26"/>
        <v>4.7154490858602226E+19</v>
      </c>
      <c r="O52" s="99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77">
        <f t="shared" si="28"/>
        <v>-241978345653.26508</v>
      </c>
      <c r="T52" s="9">
        <f t="shared" si="29"/>
        <v>4.6200103704926157E-3</v>
      </c>
      <c r="U52" s="282">
        <f t="shared" si="30"/>
        <v>2.7051786854356491E+20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-843735022647.58667</v>
      </c>
      <c r="F53" s="9">
        <f t="shared" si="24"/>
        <v>1.5046101941076445E-2</v>
      </c>
      <c r="G53" s="282">
        <f t="shared" si="26"/>
        <v>1.0711151281609594E+22</v>
      </c>
      <c r="O53" s="99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77">
        <f t="shared" si="28"/>
        <v>-4840374603543.0986</v>
      </c>
      <c r="T53" s="9">
        <f t="shared" si="29"/>
        <v>2.6227150172880203E-3</v>
      </c>
      <c r="U53" s="282">
        <f t="shared" si="30"/>
        <v>6.1448183667334083E+22</v>
      </c>
    </row>
    <row r="54" spans="1:21" ht="17" thickBot="1" x14ac:dyDescent="0.25">
      <c r="A54" s="145">
        <v>10</v>
      </c>
      <c r="B54" s="94">
        <f t="shared" si="25"/>
        <v>512000000000</v>
      </c>
      <c r="C54" s="111">
        <f t="shared" si="22"/>
        <v>5120000000000</v>
      </c>
      <c r="D54" s="10">
        <f>SUM($C$45:C54)</f>
        <v>5389473684210</v>
      </c>
      <c r="E54" s="10">
        <f t="shared" si="23"/>
        <v>-16875658895430.459</v>
      </c>
      <c r="F54" s="10">
        <f t="shared" si="24"/>
        <v>8.420892341516318E-3</v>
      </c>
      <c r="G54" s="283">
        <f t="shared" si="26"/>
        <v>2.3981679357980731E+24</v>
      </c>
      <c r="O54" s="100">
        <v>10</v>
      </c>
      <c r="P54" s="94">
        <f t="shared" si="31"/>
        <v>2937263157890</v>
      </c>
      <c r="Q54" s="111">
        <f t="shared" si="27"/>
        <v>29372631578945</v>
      </c>
      <c r="R54" s="10">
        <f>SUM($Q$45:Q54)</f>
        <v>30918559556760</v>
      </c>
      <c r="S54" s="278">
        <f t="shared" si="28"/>
        <v>-96812990505290.047</v>
      </c>
      <c r="T54" s="10">
        <f t="shared" si="29"/>
        <v>1.4678619677883727E-3</v>
      </c>
      <c r="U54" s="283">
        <f t="shared" si="30"/>
        <v>1.3757910789567879E+25</v>
      </c>
    </row>
  </sheetData>
  <mergeCells count="2">
    <mergeCell ref="A18:F18"/>
    <mergeCell ref="O18:T18"/>
  </mergeCells>
  <conditionalFormatting sqref="F45:F54">
    <cfRule type="cellIs" dxfId="173" priority="31" operator="equal">
      <formula>MAX($F$45:$F$54)</formula>
    </cfRule>
  </conditionalFormatting>
  <conditionalFormatting sqref="F21:F30">
    <cfRule type="cellIs" dxfId="172" priority="30" operator="equal">
      <formula>MAX($F$21:$F$30)</formula>
    </cfRule>
  </conditionalFormatting>
  <conditionalFormatting sqref="E33:E42">
    <cfRule type="cellIs" dxfId="171" priority="28" stopIfTrue="1" operator="lessThan">
      <formula>0</formula>
    </cfRule>
    <cfRule type="cellIs" dxfId="170" priority="29" operator="equal">
      <formula>MIN($E$33:$E$42)</formula>
    </cfRule>
  </conditionalFormatting>
  <conditionalFormatting sqref="E21:E30">
    <cfRule type="cellIs" dxfId="169" priority="26" stopIfTrue="1" operator="lessThan">
      <formula>0</formula>
    </cfRule>
    <cfRule type="cellIs" dxfId="168" priority="27" operator="equal">
      <formula>MIN($E$21:$E$30)</formula>
    </cfRule>
  </conditionalFormatting>
  <conditionalFormatting sqref="E45:E54">
    <cfRule type="cellIs" dxfId="167" priority="24" stopIfTrue="1" operator="lessThan">
      <formula>0</formula>
    </cfRule>
    <cfRule type="cellIs" dxfId="166" priority="25" operator="equal">
      <formula>MIN($E$45:$E$54)</formula>
    </cfRule>
  </conditionalFormatting>
  <conditionalFormatting sqref="F33:F42">
    <cfRule type="cellIs" dxfId="165" priority="22" operator="lessThanOrEqual">
      <formula>0</formula>
    </cfRule>
    <cfRule type="cellIs" dxfId="164" priority="23" operator="equal">
      <formula>MAX($F$33:$F$42)</formula>
    </cfRule>
  </conditionalFormatting>
  <conditionalFormatting sqref="R7:R16">
    <cfRule type="cellIs" dxfId="163" priority="20" operator="lessThanOrEqual">
      <formula>0</formula>
    </cfRule>
    <cfRule type="cellIs" dxfId="162" priority="21" operator="greaterThan">
      <formula>0</formula>
    </cfRule>
  </conditionalFormatting>
  <conditionalFormatting sqref="T21:T30">
    <cfRule type="cellIs" dxfId="161" priority="17" operator="equal">
      <formula>MAX($T$21:$T$30)</formula>
    </cfRule>
  </conditionalFormatting>
  <conditionalFormatting sqref="S33:S42">
    <cfRule type="cellIs" dxfId="160" priority="15" stopIfTrue="1" operator="lessThan">
      <formula>0</formula>
    </cfRule>
    <cfRule type="cellIs" dxfId="159" priority="16" operator="equal">
      <formula>MIN($E$21:$E$30)</formula>
    </cfRule>
  </conditionalFormatting>
  <conditionalFormatting sqref="T33:T42">
    <cfRule type="cellIs" dxfId="158" priority="14" operator="equal">
      <formula>MAX($T$21:$T$30)</formula>
    </cfRule>
  </conditionalFormatting>
  <conditionalFormatting sqref="S45:S54">
    <cfRule type="cellIs" dxfId="157" priority="12" stopIfTrue="1" operator="lessThan">
      <formula>0</formula>
    </cfRule>
    <cfRule type="cellIs" dxfId="156" priority="13" operator="equal">
      <formula>MIN($E$21:$E$30)</formula>
    </cfRule>
  </conditionalFormatting>
  <conditionalFormatting sqref="T45:T54">
    <cfRule type="cellIs" dxfId="155" priority="11" operator="equal">
      <formula>MAX($T$21:$T$30)</formula>
    </cfRule>
  </conditionalFormatting>
  <conditionalFormatting sqref="S21:S30">
    <cfRule type="cellIs" dxfId="154" priority="9" stopIfTrue="1" operator="lessThan">
      <formula>0</formula>
    </cfRule>
    <cfRule type="cellIs" dxfId="153" priority="10" operator="equal">
      <formula>MIN($E$21:$E$30)</formula>
    </cfRule>
  </conditionalFormatting>
  <conditionalFormatting sqref="U7:U16">
    <cfRule type="cellIs" dxfId="152" priority="5" operator="lessThanOrEqual">
      <formula>0</formula>
    </cfRule>
    <cfRule type="cellIs" dxfId="151" priority="6" operator="greaterThan">
      <formula>0</formula>
    </cfRule>
  </conditionalFormatting>
  <conditionalFormatting sqref="S7:T16">
    <cfRule type="cellIs" dxfId="150" priority="1" operator="lessThanOrEqual">
      <formula>0</formula>
    </cfRule>
    <cfRule type="cellIs" dxfId="149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54"/>
  <sheetViews>
    <sheetView workbookViewId="0">
      <selection activeCell="K9" sqref="K9"/>
    </sheetView>
  </sheetViews>
  <sheetFormatPr baseColWidth="10" defaultColWidth="8.83203125" defaultRowHeight="16" x14ac:dyDescent="0.2"/>
  <cols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MAX(Hit!B2,Stand!B2)</f>
        <v>-0.34456837192534162</v>
      </c>
      <c r="C2">
        <f>MAX(Hit!C2,Stand!C2)</f>
        <v>-7.5884358318949102E-2</v>
      </c>
      <c r="D2">
        <f>MAX(Hit!D2,Stand!D2)</f>
        <v>-4.9750706146412041E-2</v>
      </c>
      <c r="E2">
        <f>MAX(Hit!E2,Stand!E2)</f>
        <v>-2.2100412135834389E-2</v>
      </c>
      <c r="F2">
        <f>MAX(Hit!F2,Stand!F2)</f>
        <v>1.3730032284783571E-2</v>
      </c>
      <c r="G2">
        <f>MAX(Hit!G2,Stand!G2)</f>
        <v>3.8883411946301231E-2</v>
      </c>
      <c r="H2">
        <f>MAX(Hit!H2,Stand!H2)</f>
        <v>-2.7257021375862247E-2</v>
      </c>
      <c r="I2">
        <f>MAX(Hit!I2,Stand!I2)</f>
        <v>-0.10316172777512723</v>
      </c>
      <c r="J2">
        <f>MAX(Hit!J2,Stand!J2)</f>
        <v>-0.19004714305350842</v>
      </c>
      <c r="K2">
        <f>MAX(Hit!K2,Stand!K2)</f>
        <v>-0.29096372773977425</v>
      </c>
      <c r="N2" s="31">
        <v>2</v>
      </c>
      <c r="O2" s="31" t="str">
        <f>IF(B2=Stand!B2,"S","H")</f>
        <v>H</v>
      </c>
      <c r="P2" s="31" t="str">
        <f>IF(C2=Stand!C2,"S","H")</f>
        <v>H</v>
      </c>
      <c r="Q2" s="31" t="str">
        <f>IF(D2=Stand!D2,"S","H")</f>
        <v>H</v>
      </c>
      <c r="R2" s="31" t="str">
        <f>IF(E2=Stand!E2,"S","H")</f>
        <v>H</v>
      </c>
      <c r="S2" s="31" t="str">
        <f>IF(F2=Stand!F2,"S","H")</f>
        <v>H</v>
      </c>
      <c r="T2" s="31" t="str">
        <f>IF(G2=Stand!G2,"S","H")</f>
        <v>H</v>
      </c>
      <c r="U2" s="31" t="str">
        <f>IF(H2=Stand!H2,"S","H")</f>
        <v>H</v>
      </c>
      <c r="V2" s="31" t="str">
        <f>IF(I2=Stand!I2,"S","H")</f>
        <v>H</v>
      </c>
      <c r="W2" s="31" t="str">
        <f>IF(J2=Stand!J2,"S","H")</f>
        <v>H</v>
      </c>
      <c r="X2" s="31" t="str">
        <f>IF(K2=Stand!K2,"S","H")</f>
        <v>H</v>
      </c>
    </row>
    <row r="3" spans="1:24" x14ac:dyDescent="0.2">
      <c r="A3">
        <v>3</v>
      </c>
      <c r="B3">
        <f>MAX(Hit!B3,Stand!B3)</f>
        <v>-0.36474464099475529</v>
      </c>
      <c r="C3">
        <f>MAX(Hit!C3,Stand!C3)</f>
        <v>-0.10052250439785246</v>
      </c>
      <c r="D3">
        <f>MAX(Hit!D3,Stand!D3)</f>
        <v>-6.8875858278897514E-2</v>
      </c>
      <c r="E3">
        <f>MAX(Hit!E3,Stand!E3)</f>
        <v>-3.6261290708905339E-2</v>
      </c>
      <c r="F3">
        <f>MAX(Hit!F3,Stand!F3)</f>
        <v>1.6995712139687808E-4</v>
      </c>
      <c r="G3">
        <f>MAX(Hit!G3,Stand!G3)</f>
        <v>2.447130320655936E-2</v>
      </c>
      <c r="H3">
        <f>MAX(Hit!H3,Stand!H3)</f>
        <v>-5.7437588540356667E-2</v>
      </c>
      <c r="I3">
        <f>MAX(Hit!I3,Stand!I3)</f>
        <v>-0.13094188065020099</v>
      </c>
      <c r="J3">
        <f>MAX(Hit!J3,Stand!J3)</f>
        <v>-0.21507662281362433</v>
      </c>
      <c r="K3">
        <f>MAX(Hit!K3,Stand!K3)</f>
        <v>-0.31277980128259808</v>
      </c>
      <c r="N3" s="31">
        <v>3</v>
      </c>
      <c r="O3" s="31" t="str">
        <f>IF(B3=Stand!B3,"S","H")</f>
        <v>H</v>
      </c>
      <c r="P3" s="31" t="str">
        <f>IF(C3=Stand!C3,"S","H")</f>
        <v>H</v>
      </c>
      <c r="Q3" s="31" t="str">
        <f>IF(D3=Stand!D3,"S","H")</f>
        <v>H</v>
      </c>
      <c r="R3" s="31" t="str">
        <f>IF(E3=Stand!E3,"S","H")</f>
        <v>H</v>
      </c>
      <c r="S3" s="31" t="str">
        <f>IF(F3=Stand!F3,"S","H")</f>
        <v>H</v>
      </c>
      <c r="T3" s="31" t="str">
        <f>IF(G3=Stand!G3,"S","H")</f>
        <v>H</v>
      </c>
      <c r="U3" s="31" t="str">
        <f>IF(H3=Stand!H3,"S","H")</f>
        <v>H</v>
      </c>
      <c r="V3" s="31" t="str">
        <f>IF(I3=Stand!I3,"S","H")</f>
        <v>H</v>
      </c>
      <c r="W3" s="31" t="str">
        <f>IF(J3=Stand!J3,"S","H")</f>
        <v>H</v>
      </c>
      <c r="X3" s="31" t="str">
        <f>IF(K3=Stand!K3,"S","H")</f>
        <v>H</v>
      </c>
    </row>
    <row r="4" spans="1:24" x14ac:dyDescent="0.2">
      <c r="A4">
        <v>4</v>
      </c>
      <c r="B4">
        <f>MAX(Hit!B4,Stand!B4)</f>
        <v>-0.38538530661686615</v>
      </c>
      <c r="C4">
        <f>MAX(Hit!C4,Stand!C4)</f>
        <v>-0.11491332761892134</v>
      </c>
      <c r="D4">
        <f>MAX(Hit!D4,Stand!D4)</f>
        <v>-8.2613314299744348E-2</v>
      </c>
      <c r="E4">
        <f>MAX(Hit!E4,Stand!E4)</f>
        <v>-4.9367420106916922E-2</v>
      </c>
      <c r="F4">
        <f>MAX(Hit!F4,Stand!F4)</f>
        <v>-1.2379926519926384E-2</v>
      </c>
      <c r="G4">
        <f>MAX(Hit!G4,Stand!G4)</f>
        <v>1.1130417280979797E-2</v>
      </c>
      <c r="H4">
        <f>MAX(Hit!H4,Stand!H4)</f>
        <v>-8.8279201058463722E-2</v>
      </c>
      <c r="I4">
        <f>MAX(Hit!I4,Stand!I4)</f>
        <v>-0.15933415266020512</v>
      </c>
      <c r="J4">
        <f>MAX(Hit!J4,Stand!J4)</f>
        <v>-0.24066617915336547</v>
      </c>
      <c r="K4">
        <f>MAX(Hit!K4,Stand!K4)</f>
        <v>-0.33509986436351097</v>
      </c>
      <c r="N4" s="31">
        <v>4</v>
      </c>
      <c r="O4" s="31" t="str">
        <f>IF(B4=Stand!B4,"S","H")</f>
        <v>H</v>
      </c>
      <c r="P4" s="31" t="str">
        <f>IF(C4=Stand!C4,"S","H")</f>
        <v>H</v>
      </c>
      <c r="Q4" s="31" t="str">
        <f>IF(D4=Stand!D4,"S","H")</f>
        <v>H</v>
      </c>
      <c r="R4" s="31" t="str">
        <f>IF(E4=Stand!E4,"S","H")</f>
        <v>H</v>
      </c>
      <c r="S4" s="31" t="str">
        <f>IF(F4=Stand!F4,"S","H")</f>
        <v>H</v>
      </c>
      <c r="T4" s="31" t="str">
        <f>IF(G4=Stand!G4,"S","H")</f>
        <v>H</v>
      </c>
      <c r="U4" s="31" t="str">
        <f>IF(H4=Stand!H4,"S","H")</f>
        <v>H</v>
      </c>
      <c r="V4" s="31" t="str">
        <f>IF(I4=Stand!I4,"S","H")</f>
        <v>H</v>
      </c>
      <c r="W4" s="31" t="str">
        <f>IF(J4=Stand!J4,"S","H")</f>
        <v>H</v>
      </c>
      <c r="X4" s="31" t="str">
        <f>IF(K4=Stand!K4,"S","H")</f>
        <v>H</v>
      </c>
    </row>
    <row r="5" spans="1:24" x14ac:dyDescent="0.2">
      <c r="A5">
        <v>5</v>
      </c>
      <c r="B5">
        <f>MAX(Hit!B5,Stand!B5)</f>
        <v>-0.40632230211141912</v>
      </c>
      <c r="C5">
        <f>MAX(Hit!C5,Stand!C5)</f>
        <v>-0.12821556706374745</v>
      </c>
      <c r="D5">
        <f>MAX(Hit!D5,Stand!D5)</f>
        <v>-9.5310227261489883E-2</v>
      </c>
      <c r="E5">
        <f>MAX(Hit!E5,Stand!E5)</f>
        <v>-6.1479464199694238E-2</v>
      </c>
      <c r="F5">
        <f>MAX(Hit!F5,Stand!F5)</f>
        <v>-2.397897039185962E-2</v>
      </c>
      <c r="G5">
        <f>MAX(Hit!G5,Stand!G5)</f>
        <v>-1.1863378384401623E-3</v>
      </c>
      <c r="H5">
        <f>MAX(Hit!H5,Stand!H5)</f>
        <v>-0.11944744188414852</v>
      </c>
      <c r="I5">
        <f>MAX(Hit!I5,Stand!I5)</f>
        <v>-0.18809330390318518</v>
      </c>
      <c r="J5">
        <f>MAX(Hit!J5,Stand!J5)</f>
        <v>-0.26661505335795899</v>
      </c>
      <c r="K5">
        <f>MAX(Hit!K5,Stand!K5)</f>
        <v>-0.3577434525808979</v>
      </c>
      <c r="N5" s="31">
        <v>5</v>
      </c>
      <c r="O5" s="31" t="str">
        <f>IF(B5=Stand!B5,"S","H")</f>
        <v>H</v>
      </c>
      <c r="P5" s="31" t="str">
        <f>IF(C5=Stand!C5,"S","H")</f>
        <v>H</v>
      </c>
      <c r="Q5" s="31" t="str">
        <f>IF(D5=Stand!D5,"S","H")</f>
        <v>H</v>
      </c>
      <c r="R5" s="31" t="str">
        <f>IF(E5=Stand!E5,"S","H")</f>
        <v>H</v>
      </c>
      <c r="S5" s="31" t="str">
        <f>IF(F5=Stand!F5,"S","H")</f>
        <v>H</v>
      </c>
      <c r="T5" s="31" t="str">
        <f>IF(G5=Stand!G5,"S","H")</f>
        <v>H</v>
      </c>
      <c r="U5" s="31" t="str">
        <f>IF(H5=Stand!H5,"S","H")</f>
        <v>H</v>
      </c>
      <c r="V5" s="31" t="str">
        <f>IF(I5=Stand!I5,"S","H")</f>
        <v>H</v>
      </c>
      <c r="W5" s="31" t="str">
        <f>IF(J5=Stand!J5,"S","H")</f>
        <v>H</v>
      </c>
      <c r="X5" s="31" t="str">
        <f>IF(K5=Stand!K5,"S","H")</f>
        <v>H</v>
      </c>
    </row>
    <row r="6" spans="1:24" x14ac:dyDescent="0.2">
      <c r="A6">
        <v>6</v>
      </c>
      <c r="B6">
        <f>MAX(Hit!B6,Stand!B6)</f>
        <v>-0.41968690347101079</v>
      </c>
      <c r="C6">
        <f>MAX(Hit!C6,Stand!C6)</f>
        <v>-0.14075911746001987</v>
      </c>
      <c r="D6">
        <f>MAX(Hit!D6,Stand!D6)</f>
        <v>-0.10729107800860835</v>
      </c>
      <c r="E6">
        <f>MAX(Hit!E6,Stand!E6)</f>
        <v>-7.2917141926387305E-2</v>
      </c>
      <c r="F6">
        <f>MAX(Hit!F6,Stand!F6)</f>
        <v>-3.4915973330102178E-2</v>
      </c>
      <c r="G6">
        <f>MAX(Hit!G6,Stand!G6)</f>
        <v>-1.3005835529874294E-2</v>
      </c>
      <c r="H6">
        <f>MAX(Hit!H6,Stand!H6)</f>
        <v>-0.15193270723669944</v>
      </c>
      <c r="I6">
        <f>MAX(Hit!I6,Stand!I6)</f>
        <v>-0.21724188132078476</v>
      </c>
      <c r="J6">
        <f>MAX(Hit!J6,Stand!J6)</f>
        <v>-0.29264070019772598</v>
      </c>
      <c r="K6">
        <f>MAX(Hit!K6,Stand!K6)</f>
        <v>-0.38050766229289529</v>
      </c>
      <c r="N6" s="31">
        <v>6</v>
      </c>
      <c r="O6" s="31" t="str">
        <f>IF(B6=Stand!B6,"S","H")</f>
        <v>H</v>
      </c>
      <c r="P6" s="31" t="str">
        <f>IF(C6=Stand!C6,"S","H")</f>
        <v>H</v>
      </c>
      <c r="Q6" s="31" t="str">
        <f>IF(D6=Stand!D6,"S","H")</f>
        <v>H</v>
      </c>
      <c r="R6" s="31" t="str">
        <f>IF(E6=Stand!E6,"S","H")</f>
        <v>H</v>
      </c>
      <c r="S6" s="31" t="str">
        <f>IF(F6=Stand!F6,"S","H")</f>
        <v>H</v>
      </c>
      <c r="T6" s="31" t="str">
        <f>IF(G6=Stand!G6,"S","H")</f>
        <v>H</v>
      </c>
      <c r="U6" s="31" t="str">
        <f>IF(H6=Stand!H6,"S","H")</f>
        <v>H</v>
      </c>
      <c r="V6" s="31" t="str">
        <f>IF(I6=Stand!I6,"S","H")</f>
        <v>H</v>
      </c>
      <c r="W6" s="31" t="str">
        <f>IF(J6=Stand!J6,"S","H")</f>
        <v>H</v>
      </c>
      <c r="X6" s="31" t="str">
        <f>IF(K6=Stand!K6,"S","H")</f>
        <v>H</v>
      </c>
    </row>
    <row r="7" spans="1:24" x14ac:dyDescent="0.2">
      <c r="A7">
        <v>7</v>
      </c>
      <c r="B7">
        <f>MAX(Hit!B7,Stand!B7)</f>
        <v>-0.39971038372569095</v>
      </c>
      <c r="C7">
        <f>MAX(Hit!C7,Stand!C7)</f>
        <v>-0.10918342786661633</v>
      </c>
      <c r="D7">
        <f>MAX(Hit!D7,Stand!D7)</f>
        <v>-7.6582981904463582E-2</v>
      </c>
      <c r="E7">
        <f>MAX(Hit!E7,Stand!E7)</f>
        <v>-4.3021794004341876E-2</v>
      </c>
      <c r="F7">
        <f>MAX(Hit!F7,Stand!F7)</f>
        <v>-7.2713609029408845E-3</v>
      </c>
      <c r="G7">
        <f>MAX(Hit!G7,Stand!G7)</f>
        <v>2.9185342353860864E-2</v>
      </c>
      <c r="H7">
        <f>MAX(Hit!H7,Stand!H7)</f>
        <v>-6.8807799580427764E-2</v>
      </c>
      <c r="I7">
        <f>MAX(Hit!I7,Stand!I7)</f>
        <v>-0.21060476872434966</v>
      </c>
      <c r="J7">
        <f>MAX(Hit!J7,Stand!J7)</f>
        <v>-0.28536544048687662</v>
      </c>
      <c r="K7">
        <f>MAX(Hit!K7,Stand!K7)</f>
        <v>-0.36507789921394679</v>
      </c>
      <c r="N7" s="31">
        <v>7</v>
      </c>
      <c r="O7" s="31" t="str">
        <f>IF(B7=Stand!B7,"S","H")</f>
        <v>H</v>
      </c>
      <c r="P7" s="31" t="str">
        <f>IF(C7=Stand!C7,"S","H")</f>
        <v>H</v>
      </c>
      <c r="Q7" s="31" t="str">
        <f>IF(D7=Stand!D7,"S","H")</f>
        <v>H</v>
      </c>
      <c r="R7" s="31" t="str">
        <f>IF(E7=Stand!E7,"S","H")</f>
        <v>H</v>
      </c>
      <c r="S7" s="31" t="str">
        <f>IF(F7=Stand!F7,"S","H")</f>
        <v>H</v>
      </c>
      <c r="T7" s="31" t="str">
        <f>IF(G7=Stand!G7,"S","H")</f>
        <v>H</v>
      </c>
      <c r="U7" s="31" t="str">
        <f>IF(H7=Stand!H7,"S","H")</f>
        <v>H</v>
      </c>
      <c r="V7" s="31" t="str">
        <f>IF(I7=Stand!I7,"S","H")</f>
        <v>H</v>
      </c>
      <c r="W7" s="31" t="str">
        <f>IF(J7=Stand!J7,"S","H")</f>
        <v>H</v>
      </c>
      <c r="X7" s="31" t="str">
        <f>IF(K7=Stand!K7,"S","H")</f>
        <v>H</v>
      </c>
    </row>
    <row r="8" spans="1:24" x14ac:dyDescent="0.2">
      <c r="A8">
        <v>8</v>
      </c>
      <c r="B8">
        <f>MAX(Hit!B8,Stand!B8)</f>
        <v>-0.33034033459070061</v>
      </c>
      <c r="C8">
        <f>MAX(Hit!C8,Stand!C8)</f>
        <v>-2.1798188008805671E-2</v>
      </c>
      <c r="D8">
        <f>MAX(Hit!D8,Stand!D8)</f>
        <v>8.0052625306546912E-3</v>
      </c>
      <c r="E8">
        <f>MAX(Hit!E8,Stand!E8)</f>
        <v>3.8784473277208804E-2</v>
      </c>
      <c r="F8">
        <f>MAX(Hit!F8,Stand!F8)</f>
        <v>7.0804635983033826E-2</v>
      </c>
      <c r="G8">
        <f>MAX(Hit!G8,Stand!G8)</f>
        <v>0.11496015009622321</v>
      </c>
      <c r="H8">
        <f>MAX(Hit!H8,Stand!H8)</f>
        <v>8.2207439363742862E-2</v>
      </c>
      <c r="I8">
        <f>MAX(Hit!I8,Stand!I8)</f>
        <v>-5.989827565865629E-2</v>
      </c>
      <c r="J8">
        <f>MAX(Hit!J8,Stand!J8)</f>
        <v>-0.2101863319982176</v>
      </c>
      <c r="K8">
        <f>MAX(Hit!K8,Stand!K8)</f>
        <v>-0.30177738614031369</v>
      </c>
      <c r="N8" s="31">
        <v>8</v>
      </c>
      <c r="O8" s="31" t="str">
        <f>IF(B8=Stand!B8,"S","H")</f>
        <v>H</v>
      </c>
      <c r="P8" s="31" t="str">
        <f>IF(C8=Stand!C8,"S","H")</f>
        <v>H</v>
      </c>
      <c r="Q8" s="31" t="str">
        <f>IF(D8=Stand!D8,"S","H")</f>
        <v>H</v>
      </c>
      <c r="R8" s="31" t="str">
        <f>IF(E8=Stand!E8,"S","H")</f>
        <v>H</v>
      </c>
      <c r="S8" s="31" t="str">
        <f>IF(F8=Stand!F8,"S","H")</f>
        <v>H</v>
      </c>
      <c r="T8" s="31" t="str">
        <f>IF(G8=Stand!G8,"S","H")</f>
        <v>H</v>
      </c>
      <c r="U8" s="31" t="str">
        <f>IF(H8=Stand!H8,"S","H")</f>
        <v>H</v>
      </c>
      <c r="V8" s="31" t="str">
        <f>IF(I8=Stand!I8,"S","H")</f>
        <v>H</v>
      </c>
      <c r="W8" s="31" t="str">
        <f>IF(J8=Stand!J8,"S","H")</f>
        <v>H</v>
      </c>
      <c r="X8" s="31" t="str">
        <f>IF(K8=Stand!K8,"S","H")</f>
        <v>H</v>
      </c>
    </row>
    <row r="9" spans="1:24" x14ac:dyDescent="0.2">
      <c r="A9">
        <v>9</v>
      </c>
      <c r="B9">
        <f>MAX(Hit!B9,Stand!B9)</f>
        <v>-0.25192476177072076</v>
      </c>
      <c r="C9">
        <f>MAX(Hit!C9,Stand!C9)</f>
        <v>7.444603757634051E-2</v>
      </c>
      <c r="D9">
        <f>MAX(Hit!D9,Stand!D9)</f>
        <v>0.10126470173887678</v>
      </c>
      <c r="E9">
        <f>MAX(Hit!E9,Stand!E9)</f>
        <v>0.12898088119574178</v>
      </c>
      <c r="F9">
        <f>MAX(Hit!F9,Stand!F9)</f>
        <v>0.15803185626651736</v>
      </c>
      <c r="G9">
        <f>MAX(Hit!G9,Stand!G9)</f>
        <v>0.19601883925727875</v>
      </c>
      <c r="H9">
        <f>MAX(Hit!H9,Stand!H9)</f>
        <v>0.17186785993695267</v>
      </c>
      <c r="I9">
        <f>MAX(Hit!I9,Stand!I9)</f>
        <v>9.8376217435392585E-2</v>
      </c>
      <c r="J9">
        <f>MAX(Hit!J9,Stand!J9)</f>
        <v>-5.217805346265169E-2</v>
      </c>
      <c r="K9">
        <f>MAX(Hit!K9,Stand!K9)</f>
        <v>-0.21343169035706566</v>
      </c>
      <c r="N9" s="31">
        <v>9</v>
      </c>
      <c r="O9" s="31" t="str">
        <f>IF(B9=Stand!B9,"S","H")</f>
        <v>H</v>
      </c>
      <c r="P9" s="31" t="str">
        <f>IF(C9=Stand!C9,"S","H")</f>
        <v>H</v>
      </c>
      <c r="Q9" s="31" t="str">
        <f>IF(D9=Stand!D9,"S","H")</f>
        <v>H</v>
      </c>
      <c r="R9" s="31" t="str">
        <f>IF(E9=Stand!E9,"S","H")</f>
        <v>H</v>
      </c>
      <c r="S9" s="31" t="str">
        <f>IF(F9=Stand!F9,"S","H")</f>
        <v>H</v>
      </c>
      <c r="T9" s="31" t="str">
        <f>IF(G9=Stand!G9,"S","H")</f>
        <v>H</v>
      </c>
      <c r="U9" s="31" t="str">
        <f>IF(H9=Stand!H9,"S","H")</f>
        <v>H</v>
      </c>
      <c r="V9" s="31" t="str">
        <f>IF(I9=Stand!I9,"S","H")</f>
        <v>H</v>
      </c>
      <c r="W9" s="31" t="str">
        <f>IF(J9=Stand!J9,"S","H")</f>
        <v>H</v>
      </c>
      <c r="X9" s="31" t="str">
        <f>IF(K9=Stand!K9,"S","H")</f>
        <v>H</v>
      </c>
    </row>
    <row r="10" spans="1:24" x14ac:dyDescent="0.2">
      <c r="A10">
        <v>10</v>
      </c>
      <c r="B10">
        <f>MAX(Hit!B10,Stand!B10)</f>
        <v>-0.14666789263035868</v>
      </c>
      <c r="C10">
        <f>MAX(Hit!C10,Stand!C10)</f>
        <v>0.18249999400904487</v>
      </c>
      <c r="D10">
        <f>MAX(Hit!D10,Stand!D10)</f>
        <v>0.20608797581394089</v>
      </c>
      <c r="E10">
        <f>MAX(Hit!E10,Stand!E10)</f>
        <v>0.230470121897177</v>
      </c>
      <c r="F10">
        <f>MAX(Hit!F10,Stand!F10)</f>
        <v>0.25625855450163387</v>
      </c>
      <c r="G10">
        <f>MAX(Hit!G10,Stand!G10)</f>
        <v>0.28779508429888429</v>
      </c>
      <c r="H10">
        <f>MAX(Hit!H10,Stand!H10)</f>
        <v>0.25690874433608657</v>
      </c>
      <c r="I10">
        <f>MAX(Hit!I10,Stand!I10)</f>
        <v>0.19795370833197609</v>
      </c>
      <c r="J10">
        <f>MAX(Hit!J10,Stand!J10)</f>
        <v>0.1165295910692839</v>
      </c>
      <c r="K10">
        <f>MAX(Hit!K10,Stand!K10)</f>
        <v>-4.4990260383613007E-2</v>
      </c>
      <c r="N10" s="31">
        <v>10</v>
      </c>
      <c r="O10" s="31" t="str">
        <f>IF(B10=Stand!B10,"S","H")</f>
        <v>H</v>
      </c>
      <c r="P10" s="31" t="str">
        <f>IF(C10=Stand!C10,"S","H")</f>
        <v>H</v>
      </c>
      <c r="Q10" s="31" t="str">
        <f>IF(D10=Stand!D10,"S","H")</f>
        <v>H</v>
      </c>
      <c r="R10" s="31" t="str">
        <f>IF(E10=Stand!E10,"S","H")</f>
        <v>H</v>
      </c>
      <c r="S10" s="31" t="str">
        <f>IF(F10=Stand!F10,"S","H")</f>
        <v>H</v>
      </c>
      <c r="T10" s="31" t="str">
        <f>IF(G10=Stand!G10,"S","H")</f>
        <v>H</v>
      </c>
      <c r="U10" s="31" t="str">
        <f>IF(H10=Stand!H10,"S","H")</f>
        <v>H</v>
      </c>
      <c r="V10" s="31" t="str">
        <f>IF(I10=Stand!I10,"S","H")</f>
        <v>H</v>
      </c>
      <c r="W10" s="31" t="str">
        <f>IF(J10=Stand!J10,"S","H")</f>
        <v>H</v>
      </c>
      <c r="X10" s="31" t="str">
        <f>IF(K10=Stand!K10,"S","H")</f>
        <v>H</v>
      </c>
    </row>
    <row r="11" spans="1:24" x14ac:dyDescent="0.2">
      <c r="A11">
        <v>11</v>
      </c>
      <c r="B11">
        <f>MAX(Hit!B11,Stand!B11)</f>
        <v>-4.1986836980868178E-2</v>
      </c>
      <c r="C11">
        <f>MAX(Hit!C11,Stand!C11)</f>
        <v>0.2383507494576298</v>
      </c>
      <c r="D11">
        <f>MAX(Hit!D11,Stand!D11)</f>
        <v>0.26032526728707961</v>
      </c>
      <c r="E11">
        <f>MAX(Hit!E11,Stand!E11)</f>
        <v>0.28302027520898798</v>
      </c>
      <c r="F11">
        <f>MAX(Hit!F11,Stand!F11)</f>
        <v>0.30734950895451402</v>
      </c>
      <c r="G11">
        <f>MAX(Hit!G11,Stand!G11)</f>
        <v>0.33369004745378472</v>
      </c>
      <c r="H11">
        <f>MAX(Hit!H11,Stand!H11)</f>
        <v>0.29214699112701309</v>
      </c>
      <c r="I11">
        <f>MAX(Hit!I11,Stand!I11)</f>
        <v>0.22998214532399175</v>
      </c>
      <c r="J11">
        <f>MAX(Hit!J11,Stand!J11)</f>
        <v>0.15825711845512572</v>
      </c>
      <c r="K11">
        <f>MAX(Hit!K11,Stand!K11)</f>
        <v>5.9690795265877464E-2</v>
      </c>
      <c r="N11" s="31">
        <v>11</v>
      </c>
      <c r="O11" s="31" t="str">
        <f>IF(B11=Stand!B11,"S","H")</f>
        <v>H</v>
      </c>
      <c r="P11" s="31" t="str">
        <f>IF(C11=Stand!C11,"S","H")</f>
        <v>H</v>
      </c>
      <c r="Q11" s="31" t="str">
        <f>IF(D11=Stand!D11,"S","H")</f>
        <v>H</v>
      </c>
      <c r="R11" s="31" t="str">
        <f>IF(E11=Stand!E11,"S","H")</f>
        <v>H</v>
      </c>
      <c r="S11" s="31" t="str">
        <f>IF(F11=Stand!F11,"S","H")</f>
        <v>H</v>
      </c>
      <c r="T11" s="31" t="str">
        <f>IF(G11=Stand!G11,"S","H")</f>
        <v>H</v>
      </c>
      <c r="U11" s="31" t="str">
        <f>IF(H11=Stand!H11,"S","H")</f>
        <v>H</v>
      </c>
      <c r="V11" s="31" t="str">
        <f>IF(I11=Stand!I11,"S","H")</f>
        <v>H</v>
      </c>
      <c r="W11" s="31" t="str">
        <f>IF(J11=Stand!J11,"S","H")</f>
        <v>H</v>
      </c>
      <c r="X11" s="31" t="str">
        <f>IF(K11=Stand!K11,"S","H")</f>
        <v>H</v>
      </c>
    </row>
    <row r="12" spans="1:24" x14ac:dyDescent="0.2">
      <c r="A12">
        <v>12</v>
      </c>
      <c r="B12">
        <f>MAX(Hit!B12,Stand!B12)</f>
        <v>-0.46566058377683939</v>
      </c>
      <c r="C12">
        <f>MAX(Hit!C12,Stand!C12)</f>
        <v>-0.25338998596663809</v>
      </c>
      <c r="D12">
        <f>MAX(Hit!D12,Stand!D12)</f>
        <v>-0.2336908997980866</v>
      </c>
      <c r="E12">
        <f>MAX(Hit!E12,Stand!E12)</f>
        <v>-0.21106310899491437</v>
      </c>
      <c r="F12">
        <f>MAX(Hit!F12,Stand!F12)</f>
        <v>-0.16719266083547524</v>
      </c>
      <c r="G12">
        <f>MAX(Hit!G12,Stand!G12)</f>
        <v>-0.1536990158300045</v>
      </c>
      <c r="H12">
        <f>MAX(Hit!H12,Stand!H12)</f>
        <v>-0.21284771451731424</v>
      </c>
      <c r="I12">
        <f>MAX(Hit!I12,Stand!I12)</f>
        <v>-0.27157480502428616</v>
      </c>
      <c r="J12">
        <f>MAX(Hit!J12,Stand!J12)</f>
        <v>-0.3400132806089356</v>
      </c>
      <c r="K12">
        <f>MAX(Hit!K12,Stand!K12)</f>
        <v>-0.42069618899826788</v>
      </c>
      <c r="N12" s="31">
        <v>12</v>
      </c>
      <c r="O12" s="31" t="str">
        <f>IF(B12=Stand!B12,"S","H")</f>
        <v>H</v>
      </c>
      <c r="P12" s="31" t="str">
        <f>IF(C12=Stand!C12,"S","H")</f>
        <v>H</v>
      </c>
      <c r="Q12" s="31" t="str">
        <f>IF(D12=Stand!D12,"S","H")</f>
        <v>H</v>
      </c>
      <c r="R12" s="31" t="str">
        <f>IF(E12=Stand!E12,"S","H")</f>
        <v>S</v>
      </c>
      <c r="S12" s="31" t="str">
        <f>IF(F12=Stand!F12,"S","H")</f>
        <v>S</v>
      </c>
      <c r="T12" s="31" t="str">
        <f>IF(G12=Stand!G12,"S","H")</f>
        <v>S</v>
      </c>
      <c r="U12" s="31" t="str">
        <f>IF(H12=Stand!H12,"S","H")</f>
        <v>H</v>
      </c>
      <c r="V12" s="31" t="str">
        <f>IF(I12=Stand!I12,"S","H")</f>
        <v>H</v>
      </c>
      <c r="W12" s="31" t="str">
        <f>IF(J12=Stand!J12,"S","H")</f>
        <v>H</v>
      </c>
      <c r="X12" s="31" t="str">
        <f>IF(K12=Stand!K12,"S","H")</f>
        <v>H</v>
      </c>
    </row>
    <row r="13" spans="1:24" x14ac:dyDescent="0.2">
      <c r="A13">
        <v>13</v>
      </c>
      <c r="B13">
        <f>MAX(Hit!B13,Stand!B13)</f>
        <v>-0.50382768493563657</v>
      </c>
      <c r="C13">
        <f>MAX(Hit!C13,Stand!C13)</f>
        <v>-0.29278372720927726</v>
      </c>
      <c r="D13">
        <f>MAX(Hit!D13,Stand!D13)</f>
        <v>-0.2522502292357135</v>
      </c>
      <c r="E13">
        <f>MAX(Hit!E13,Stand!E13)</f>
        <v>-0.21106310899491437</v>
      </c>
      <c r="F13">
        <f>MAX(Hit!F13,Stand!F13)</f>
        <v>-0.16719266083547524</v>
      </c>
      <c r="G13">
        <f>MAX(Hit!G13,Stand!G13)</f>
        <v>-0.1536990158300045</v>
      </c>
      <c r="H13">
        <f>MAX(Hit!H13,Stand!H13)</f>
        <v>-0.26907287776607752</v>
      </c>
      <c r="I13">
        <f>MAX(Hit!I13,Stand!I13)</f>
        <v>-0.32360517609397998</v>
      </c>
      <c r="J13">
        <f>MAX(Hit!J13,Stand!J13)</f>
        <v>-0.38715518913686875</v>
      </c>
      <c r="K13">
        <f>MAX(Hit!K13,Stand!K13)</f>
        <v>-0.46207503264124877</v>
      </c>
      <c r="N13" s="31">
        <v>13</v>
      </c>
      <c r="O13" s="31" t="str">
        <f>IF(B13=Stand!B13,"S","H")</f>
        <v>H</v>
      </c>
      <c r="P13" s="31" t="str">
        <f>IF(C13=Stand!C13,"S","H")</f>
        <v>S</v>
      </c>
      <c r="Q13" s="31" t="str">
        <f>IF(D13=Stand!D13,"S","H")</f>
        <v>S</v>
      </c>
      <c r="R13" s="31" t="str">
        <f>IF(E13=Stand!E13,"S","H")</f>
        <v>S</v>
      </c>
      <c r="S13" s="31" t="str">
        <f>IF(F13=Stand!F13,"S","H")</f>
        <v>S</v>
      </c>
      <c r="T13" s="31" t="str">
        <f>IF(G13=Stand!G13,"S","H")</f>
        <v>S</v>
      </c>
      <c r="U13" s="31" t="str">
        <f>IF(H13=Stand!H13,"S","H")</f>
        <v>H</v>
      </c>
      <c r="V13" s="31" t="str">
        <f>IF(I13=Stand!I13,"S","H")</f>
        <v>H</v>
      </c>
      <c r="W13" s="31" t="str">
        <f>IF(J13=Stand!J13,"S","H")</f>
        <v>H</v>
      </c>
      <c r="X13" s="31" t="str">
        <f>IF(K13=Stand!K13,"S","H")</f>
        <v>H</v>
      </c>
    </row>
    <row r="14" spans="1:24" x14ac:dyDescent="0.2">
      <c r="A14">
        <v>14</v>
      </c>
      <c r="B14">
        <f>MAX(Hit!B14,Stand!B14)</f>
        <v>-0.53926856458309114</v>
      </c>
      <c r="C14">
        <f>MAX(Hit!C14,Stand!C14)</f>
        <v>-0.29278372720927726</v>
      </c>
      <c r="D14">
        <f>MAX(Hit!D14,Stand!D14)</f>
        <v>-0.2522502292357135</v>
      </c>
      <c r="E14">
        <f>MAX(Hit!E14,Stand!E14)</f>
        <v>-0.21106310899491437</v>
      </c>
      <c r="F14">
        <f>MAX(Hit!F14,Stand!F14)</f>
        <v>-0.16719266083547524</v>
      </c>
      <c r="G14">
        <f>MAX(Hit!G14,Stand!G14)</f>
        <v>-0.1536990158300045</v>
      </c>
      <c r="H14">
        <f>MAX(Hit!H14,Stand!H14)</f>
        <v>-0.3212819579256434</v>
      </c>
      <c r="I14">
        <f>MAX(Hit!I14,Stand!I14)</f>
        <v>-0.37191909208726714</v>
      </c>
      <c r="J14">
        <f>MAX(Hit!J14,Stand!J14)</f>
        <v>-0.43092981848423528</v>
      </c>
      <c r="K14">
        <f>MAX(Hit!K14,Stand!K14)</f>
        <v>-0.50049824459544523</v>
      </c>
      <c r="N14" s="31">
        <v>14</v>
      </c>
      <c r="O14" s="31" t="str">
        <f>IF(B14=Stand!B14,"S","H")</f>
        <v>H</v>
      </c>
      <c r="P14" s="31" t="str">
        <f>IF(C14=Stand!C14,"S","H")</f>
        <v>S</v>
      </c>
      <c r="Q14" s="31" t="str">
        <f>IF(D14=Stand!D14,"S","H")</f>
        <v>S</v>
      </c>
      <c r="R14" s="31" t="str">
        <f>IF(E14=Stand!E14,"S","H")</f>
        <v>S</v>
      </c>
      <c r="S14" s="31" t="str">
        <f>IF(F14=Stand!F14,"S","H")</f>
        <v>S</v>
      </c>
      <c r="T14" s="31" t="str">
        <f>IF(G14=Stand!G14,"S","H")</f>
        <v>S</v>
      </c>
      <c r="U14" s="31" t="str">
        <f>IF(H14=Stand!H14,"S","H")</f>
        <v>H</v>
      </c>
      <c r="V14" s="31" t="str">
        <f>IF(I14=Stand!I14,"S","H")</f>
        <v>H</v>
      </c>
      <c r="W14" s="31" t="str">
        <f>IF(J14=Stand!J14,"S","H")</f>
        <v>H</v>
      </c>
      <c r="X14" s="31" t="str">
        <f>IF(K14=Stand!K14,"S","H")</f>
        <v>H</v>
      </c>
    </row>
    <row r="15" spans="1:24" x14ac:dyDescent="0.2">
      <c r="A15">
        <v>15</v>
      </c>
      <c r="B15">
        <f>MAX(Hit!B15,Stand!B15)</f>
        <v>-0.572177952827156</v>
      </c>
      <c r="C15">
        <f>MAX(Hit!C15,Stand!C15)</f>
        <v>-0.29278372720927726</v>
      </c>
      <c r="D15">
        <f>MAX(Hit!D15,Stand!D15)</f>
        <v>-0.2522502292357135</v>
      </c>
      <c r="E15">
        <f>MAX(Hit!E15,Stand!E15)</f>
        <v>-0.21106310899491437</v>
      </c>
      <c r="F15">
        <f>MAX(Hit!F15,Stand!F15)</f>
        <v>-0.16719266083547524</v>
      </c>
      <c r="G15">
        <f>MAX(Hit!G15,Stand!G15)</f>
        <v>-0.1536990158300045</v>
      </c>
      <c r="H15">
        <f>MAX(Hit!H15,Stand!H15)</f>
        <v>-0.36976181807381175</v>
      </c>
      <c r="I15">
        <f>MAX(Hit!I15,Stand!I15)</f>
        <v>-0.41678201408103371</v>
      </c>
      <c r="J15">
        <f>MAX(Hit!J15,Stand!J15)</f>
        <v>-0.47157768859250415</v>
      </c>
      <c r="K15">
        <f>MAX(Hit!K15,Stand!K15)</f>
        <v>-0.53617694141005634</v>
      </c>
      <c r="N15" s="31">
        <v>15</v>
      </c>
      <c r="O15" s="31" t="str">
        <f>IF(B15=Stand!B15,"S","H")</f>
        <v>H</v>
      </c>
      <c r="P15" s="31" t="str">
        <f>IF(C15=Stand!C15,"S","H")</f>
        <v>S</v>
      </c>
      <c r="Q15" s="31" t="str">
        <f>IF(D15=Stand!D15,"S","H")</f>
        <v>S</v>
      </c>
      <c r="R15" s="31" t="str">
        <f>IF(E15=Stand!E15,"S","H")</f>
        <v>S</v>
      </c>
      <c r="S15" s="31" t="str">
        <f>IF(F15=Stand!F15,"S","H")</f>
        <v>S</v>
      </c>
      <c r="T15" s="31" t="str">
        <f>IF(G15=Stand!G15,"S","H")</f>
        <v>S</v>
      </c>
      <c r="U15" s="31" t="str">
        <f>IF(H15=Stand!H15,"S","H")</f>
        <v>H</v>
      </c>
      <c r="V15" s="31" t="str">
        <f>IF(I15=Stand!I15,"S","H")</f>
        <v>H</v>
      </c>
      <c r="W15" s="31" t="str">
        <f>IF(J15=Stand!J15,"S","H")</f>
        <v>H</v>
      </c>
      <c r="X15" s="31" t="str">
        <f>IF(K15=Stand!K15,"S","H")</f>
        <v>H</v>
      </c>
    </row>
    <row r="16" spans="1:24" x14ac:dyDescent="0.2">
      <c r="A16">
        <v>16</v>
      </c>
      <c r="B16">
        <f>MAX(Hit!B16,Stand!B16)</f>
        <v>-0.57578184676460165</v>
      </c>
      <c r="C16">
        <f>MAX(Hit!C16,Stand!C16)</f>
        <v>-0.29278372720927726</v>
      </c>
      <c r="D16">
        <f>MAX(Hit!D16,Stand!D16)</f>
        <v>-0.2522502292357135</v>
      </c>
      <c r="E16">
        <f>MAX(Hit!E16,Stand!E16)</f>
        <v>-0.21106310899491437</v>
      </c>
      <c r="F16">
        <f>MAX(Hit!F16,Stand!F16)</f>
        <v>-0.16719266083547524</v>
      </c>
      <c r="G16">
        <f>MAX(Hit!G16,Stand!G16)</f>
        <v>-0.1536990158300045</v>
      </c>
      <c r="H16">
        <f>MAX(Hit!H16,Stand!H16)</f>
        <v>-0.41477883106853947</v>
      </c>
      <c r="I16">
        <f>MAX(Hit!I16,Stand!I16)</f>
        <v>-0.45844044164667419</v>
      </c>
      <c r="J16">
        <f>MAX(Hit!J16,Stand!J16)</f>
        <v>-0.50932213940732529</v>
      </c>
      <c r="K16">
        <f>MAX(Hit!K16,Stand!K16)</f>
        <v>-0.56930715988076652</v>
      </c>
      <c r="N16" s="31">
        <v>16</v>
      </c>
      <c r="O16" s="31" t="str">
        <f>IF(B16=Stand!B16,"S","H")</f>
        <v>S</v>
      </c>
      <c r="P16" s="31" t="str">
        <f>IF(C16=Stand!C16,"S","H")</f>
        <v>S</v>
      </c>
      <c r="Q16" s="31" t="str">
        <f>IF(D16=Stand!D16,"S","H")</f>
        <v>S</v>
      </c>
      <c r="R16" s="31" t="str">
        <f>IF(E16=Stand!E16,"S","H")</f>
        <v>S</v>
      </c>
      <c r="S16" s="31" t="str">
        <f>IF(F16=Stand!F16,"S","H")</f>
        <v>S</v>
      </c>
      <c r="T16" s="31" t="str">
        <f>IF(G16=Stand!G16,"S","H")</f>
        <v>S</v>
      </c>
      <c r="U16" s="31" t="str">
        <f>IF(H16=Stand!H16,"S","H")</f>
        <v>H</v>
      </c>
      <c r="V16" s="31" t="str">
        <f>IF(I16=Stand!I16,"S","H")</f>
        <v>H</v>
      </c>
      <c r="W16" s="31" t="str">
        <f>IF(J16=Stand!J16,"S","H")</f>
        <v>H</v>
      </c>
      <c r="X16" s="31" t="str">
        <f>IF(K16=Stand!K16,"S","H")</f>
        <v>H</v>
      </c>
    </row>
    <row r="17" spans="1:24" x14ac:dyDescent="0.2">
      <c r="A17">
        <v>17</v>
      </c>
      <c r="B17">
        <f>MAX(Hit!B17,Stand!B17)</f>
        <v>-0.46435750824198752</v>
      </c>
      <c r="C17">
        <f>MAX(Hit!C17,Stand!C17)</f>
        <v>-0.15297458768154204</v>
      </c>
      <c r="D17">
        <f>MAX(Hit!D17,Stand!D17)</f>
        <v>-0.11721624142457365</v>
      </c>
      <c r="E17">
        <f>MAX(Hit!E17,Stand!E17)</f>
        <v>-8.0573373145316152E-2</v>
      </c>
      <c r="F17">
        <f>MAX(Hit!F17,Stand!F17)</f>
        <v>-4.4941375564924446E-2</v>
      </c>
      <c r="G17">
        <f>MAX(Hit!G17,Stand!G17)</f>
        <v>1.1739160673341853E-2</v>
      </c>
      <c r="H17">
        <f>MAX(Hit!H17,Stand!H17)</f>
        <v>-0.10680898948269468</v>
      </c>
      <c r="I17">
        <f>MAX(Hit!I17,Stand!I17)</f>
        <v>-0.38195097104844711</v>
      </c>
      <c r="J17">
        <f>MAX(Hit!J17,Stand!J17)</f>
        <v>-0.42315423964521737</v>
      </c>
      <c r="K17">
        <f>MAX(Hit!K17,Stand!K17)</f>
        <v>-0.46435750824198763</v>
      </c>
      <c r="N17" s="31">
        <v>17</v>
      </c>
      <c r="O17" s="31" t="str">
        <f>IF(B17=Stand!B17,"S","H")</f>
        <v>S</v>
      </c>
      <c r="P17" s="31" t="str">
        <f>IF(C17=Stand!C17,"S","H")</f>
        <v>S</v>
      </c>
      <c r="Q17" s="31" t="str">
        <f>IF(D17=Stand!D17,"S","H")</f>
        <v>S</v>
      </c>
      <c r="R17" s="31" t="str">
        <f>IF(E17=Stand!E17,"S","H")</f>
        <v>S</v>
      </c>
      <c r="S17" s="31" t="str">
        <f>IF(F17=Stand!F17,"S","H")</f>
        <v>S</v>
      </c>
      <c r="T17" s="31" t="str">
        <f>IF(G17=Stand!G17,"S","H")</f>
        <v>S</v>
      </c>
      <c r="U17" s="31" t="str">
        <f>IF(H17=Stand!H17,"S","H")</f>
        <v>S</v>
      </c>
      <c r="V17" s="31" t="str">
        <f>IF(I17=Stand!I17,"S","H")</f>
        <v>S</v>
      </c>
      <c r="W17" s="31" t="str">
        <f>IF(J17=Stand!J17,"S","H")</f>
        <v>S</v>
      </c>
      <c r="X17" s="31" t="str">
        <f>IF(K17=Stand!K17,"S","H")</f>
        <v>S</v>
      </c>
    </row>
    <row r="18" spans="1:24" x14ac:dyDescent="0.2">
      <c r="A18">
        <v>18</v>
      </c>
      <c r="B18">
        <f>MAX(Hit!B18,Stand!B18)</f>
        <v>-0.24150883119675959</v>
      </c>
      <c r="C18">
        <f>MAX(Hit!C18,Stand!C18)</f>
        <v>0.12174190222088771</v>
      </c>
      <c r="D18">
        <f>MAX(Hit!D18,Stand!D18)</f>
        <v>0.14830007284131119</v>
      </c>
      <c r="E18">
        <f>MAX(Hit!E18,Stand!E18)</f>
        <v>0.17585443719748528</v>
      </c>
      <c r="F18">
        <f>MAX(Hit!F18,Stand!F18)</f>
        <v>0.19956119497617719</v>
      </c>
      <c r="G18">
        <f>MAX(Hit!G18,Stand!G18)</f>
        <v>0.28344391604689856</v>
      </c>
      <c r="H18">
        <f>MAX(Hit!H18,Stand!H18)</f>
        <v>0.3995541673365518</v>
      </c>
      <c r="I18">
        <f>MAX(Hit!I18,Stand!I18)</f>
        <v>0.10595134861912359</v>
      </c>
      <c r="J18">
        <f>MAX(Hit!J18,Stand!J18)</f>
        <v>-0.18316335667343331</v>
      </c>
      <c r="K18">
        <f>MAX(Hit!K18,Stand!K18)</f>
        <v>-0.24150883119675959</v>
      </c>
      <c r="N18" s="31">
        <v>18</v>
      </c>
      <c r="O18" s="31" t="str">
        <f>IF(B18=Stand!B18,"S","H")</f>
        <v>S</v>
      </c>
      <c r="P18" s="31" t="str">
        <f>IF(C18=Stand!C18,"S","H")</f>
        <v>S</v>
      </c>
      <c r="Q18" s="31" t="str">
        <f>IF(D18=Stand!D18,"S","H")</f>
        <v>S</v>
      </c>
      <c r="R18" s="31" t="str">
        <f>IF(E18=Stand!E18,"S","H")</f>
        <v>S</v>
      </c>
      <c r="S18" s="31" t="str">
        <f>IF(F18=Stand!F18,"S","H")</f>
        <v>S</v>
      </c>
      <c r="T18" s="31" t="str">
        <f>IF(G18=Stand!G18,"S","H")</f>
        <v>S</v>
      </c>
      <c r="U18" s="31" t="str">
        <f>IF(H18=Stand!H18,"S","H")</f>
        <v>S</v>
      </c>
      <c r="V18" s="31" t="str">
        <f>IF(I18=Stand!I18,"S","H")</f>
        <v>S</v>
      </c>
      <c r="W18" s="31" t="str">
        <f>IF(J18=Stand!J18,"S","H")</f>
        <v>S</v>
      </c>
      <c r="X18" s="31" t="str">
        <f>IF(K18=Stand!K18,"S","H")</f>
        <v>S</v>
      </c>
    </row>
    <row r="19" spans="1:24" x14ac:dyDescent="0.2">
      <c r="A19">
        <v>19</v>
      </c>
      <c r="B19">
        <f>MAX(Hit!B19,Stand!B19)</f>
        <v>-1.8660154151531549E-2</v>
      </c>
      <c r="C19">
        <f>MAX(Hit!C19,Stand!C19)</f>
        <v>0.38630468602058987</v>
      </c>
      <c r="D19">
        <f>MAX(Hit!D19,Stand!D19)</f>
        <v>0.40436293659776001</v>
      </c>
      <c r="E19">
        <f>MAX(Hit!E19,Stand!E19)</f>
        <v>0.42317892482749647</v>
      </c>
      <c r="F19">
        <f>MAX(Hit!F19,Stand!F19)</f>
        <v>0.43951210416088371</v>
      </c>
      <c r="G19">
        <f>MAX(Hit!G19,Stand!G19)</f>
        <v>0.49597707378731909</v>
      </c>
      <c r="H19">
        <f>MAX(Hit!H19,Stand!H19)</f>
        <v>0.6159764957534315</v>
      </c>
      <c r="I19">
        <f>MAX(Hit!I19,Stand!I19)</f>
        <v>0.5938536682866945</v>
      </c>
      <c r="J19">
        <f>MAX(Hit!J19,Stand!J19)</f>
        <v>0.28759675706758142</v>
      </c>
      <c r="K19">
        <f>MAX(Hit!K19,Stand!K19)</f>
        <v>-1.8660154151531536E-2</v>
      </c>
      <c r="N19" s="31">
        <v>19</v>
      </c>
      <c r="O19" s="31" t="str">
        <f>IF(B19=Stand!B19,"S","H")</f>
        <v>S</v>
      </c>
      <c r="P19" s="31" t="str">
        <f>IF(C19=Stand!C19,"S","H")</f>
        <v>S</v>
      </c>
      <c r="Q19" s="31" t="str">
        <f>IF(D19=Stand!D19,"S","H")</f>
        <v>S</v>
      </c>
      <c r="R19" s="31" t="str">
        <f>IF(E19=Stand!E19,"S","H")</f>
        <v>S</v>
      </c>
      <c r="S19" s="31" t="str">
        <f>IF(F19=Stand!F19,"S","H")</f>
        <v>S</v>
      </c>
      <c r="T19" s="31" t="str">
        <f>IF(G19=Stand!G19,"S","H")</f>
        <v>S</v>
      </c>
      <c r="U19" s="31" t="str">
        <f>IF(H19=Stand!H19,"S","H")</f>
        <v>S</v>
      </c>
      <c r="V19" s="31" t="str">
        <f>IF(I19=Stand!I19,"S","H")</f>
        <v>S</v>
      </c>
      <c r="W19" s="31" t="str">
        <f>IF(J19=Stand!J19,"S","H")</f>
        <v>S</v>
      </c>
      <c r="X19" s="31" t="str">
        <f>IF(K19=Stand!K19,"S","H")</f>
        <v>S</v>
      </c>
    </row>
    <row r="20" spans="1:24" x14ac:dyDescent="0.2">
      <c r="A20">
        <v>20</v>
      </c>
      <c r="B20">
        <f>MAX(Hit!B20,Stand!B20)</f>
        <v>0.20418852289369649</v>
      </c>
      <c r="C20">
        <f>MAX(Hit!C20,Stand!C20)</f>
        <v>0.63998657521683877</v>
      </c>
      <c r="D20">
        <f>MAX(Hit!D20,Stand!D20)</f>
        <v>0.65027209425148136</v>
      </c>
      <c r="E20">
        <f>MAX(Hit!E20,Stand!E20)</f>
        <v>0.66104996194807186</v>
      </c>
      <c r="F20">
        <f>MAX(Hit!F20,Stand!F20)</f>
        <v>0.67035969063279999</v>
      </c>
      <c r="G20">
        <f>MAX(Hit!G20,Stand!G20)</f>
        <v>0.70395857017134467</v>
      </c>
      <c r="H20">
        <f>MAX(Hit!H20,Stand!H20)</f>
        <v>0.77322722653717491</v>
      </c>
      <c r="I20">
        <f>MAX(Hit!I20,Stand!I20)</f>
        <v>0.79181515955189841</v>
      </c>
      <c r="J20">
        <f>MAX(Hit!J20,Stand!J20)</f>
        <v>0.75835687080859626</v>
      </c>
      <c r="K20">
        <f>MAX(Hit!K20,Stand!K20)</f>
        <v>0.43495775366292722</v>
      </c>
      <c r="N20" s="31">
        <v>20</v>
      </c>
      <c r="O20" s="31" t="str">
        <f>IF(B20=Stand!B20,"S","H")</f>
        <v>S</v>
      </c>
      <c r="P20" s="31" t="str">
        <f>IF(C20=Stand!C20,"S","H")</f>
        <v>S</v>
      </c>
      <c r="Q20" s="31" t="str">
        <f>IF(D20=Stand!D20,"S","H")</f>
        <v>S</v>
      </c>
      <c r="R20" s="31" t="str">
        <f>IF(E20=Stand!E20,"S","H")</f>
        <v>S</v>
      </c>
      <c r="S20" s="31" t="str">
        <f>IF(F20=Stand!F20,"S","H")</f>
        <v>S</v>
      </c>
      <c r="T20" s="31" t="str">
        <f>IF(G20=Stand!G20,"S","H")</f>
        <v>S</v>
      </c>
      <c r="U20" s="31" t="str">
        <f>IF(H20=Stand!H20,"S","H")</f>
        <v>S</v>
      </c>
      <c r="V20" s="31" t="str">
        <f>IF(I20=Stand!I20,"S","H")</f>
        <v>S</v>
      </c>
      <c r="W20" s="31" t="str">
        <f>IF(J20=Stand!J20,"S","H")</f>
        <v>S</v>
      </c>
      <c r="X20" s="31" t="str">
        <f>IF(K20=Stand!K20,"S","H")</f>
        <v>S</v>
      </c>
    </row>
    <row r="21" spans="1:24" x14ac:dyDescent="0.2">
      <c r="A21">
        <v>21</v>
      </c>
      <c r="B21">
        <f>MAX(Hit!B21,Stand!B21)</f>
        <v>0.65780643070815525</v>
      </c>
      <c r="C21">
        <f>MAX(Hit!C21,Stand!C21)</f>
        <v>0.88200651549403997</v>
      </c>
      <c r="D21">
        <f>MAX(Hit!D21,Stand!D21)</f>
        <v>0.88530035730174927</v>
      </c>
      <c r="E21">
        <f>MAX(Hit!E21,Stand!E21)</f>
        <v>0.88876729296591961</v>
      </c>
      <c r="F21">
        <f>MAX(Hit!F21,Stand!F21)</f>
        <v>0.89175382659528035</v>
      </c>
      <c r="G21">
        <f>MAX(Hit!G21,Stand!G21)</f>
        <v>0.90283674384257995</v>
      </c>
      <c r="H21">
        <f>MAX(Hit!H21,Stand!H21)</f>
        <v>0.92592629596452325</v>
      </c>
      <c r="I21">
        <f>MAX(Hit!I21,Stand!I21)</f>
        <v>0.93060505318396614</v>
      </c>
      <c r="J21">
        <f>MAX(Hit!J21,Stand!J21)</f>
        <v>0.93917615614724415</v>
      </c>
      <c r="K21">
        <f>MAX(Hit!K21,Stand!K21)</f>
        <v>0.88857566147738598</v>
      </c>
      <c r="N21" s="31">
        <v>21</v>
      </c>
      <c r="O21" s="31" t="str">
        <f>IF(B21=Stand!B21,"S","H")</f>
        <v>S</v>
      </c>
      <c r="P21" s="31" t="str">
        <f>IF(C21=Stand!C21,"S","H")</f>
        <v>S</v>
      </c>
      <c r="Q21" s="31" t="str">
        <f>IF(D21=Stand!D21,"S","H")</f>
        <v>S</v>
      </c>
      <c r="R21" s="31" t="str">
        <f>IF(E21=Stand!E21,"S","H")</f>
        <v>S</v>
      </c>
      <c r="S21" s="31" t="str">
        <f>IF(F21=Stand!F21,"S","H")</f>
        <v>S</v>
      </c>
      <c r="T21" s="31" t="str">
        <f>IF(G21=Stand!G21,"S","H")</f>
        <v>S</v>
      </c>
      <c r="U21" s="31" t="str">
        <f>IF(H21=Stand!H21,"S","H")</f>
        <v>S</v>
      </c>
      <c r="V21" s="31" t="str">
        <f>IF(I21=Stand!I21,"S","H")</f>
        <v>S</v>
      </c>
      <c r="W21" s="31" t="str">
        <f>IF(J21=Stand!J21,"S","H")</f>
        <v>S</v>
      </c>
      <c r="X21" s="31" t="str">
        <f>IF(K21=Stand!K21,"S","H")</f>
        <v>S</v>
      </c>
    </row>
    <row r="22" spans="1:24" x14ac:dyDescent="0.2">
      <c r="A22">
        <v>22</v>
      </c>
      <c r="B22">
        <f>MAX(Hit!B22,Stand!B22)</f>
        <v>-1</v>
      </c>
      <c r="C22">
        <f>MAX(Hit!C22,Stand!C22)</f>
        <v>-1</v>
      </c>
      <c r="D22">
        <f>MAX(Hit!D22,Stand!D22)</f>
        <v>-1</v>
      </c>
      <c r="E22">
        <f>MAX(Hit!E22,Stand!E22)</f>
        <v>-1</v>
      </c>
      <c r="F22">
        <f>MAX(Hit!F22,Stand!F22)</f>
        <v>-1</v>
      </c>
      <c r="G22">
        <f>MAX(Hit!G22,Stand!G22)</f>
        <v>-1</v>
      </c>
      <c r="H22">
        <f>MAX(Hit!H22,Stand!H22)</f>
        <v>-1</v>
      </c>
      <c r="I22">
        <f>MAX(Hit!I22,Stand!I22)</f>
        <v>-1</v>
      </c>
      <c r="J22">
        <f>MAX(Hit!J22,Stand!J22)</f>
        <v>-1</v>
      </c>
      <c r="K22">
        <f>MAX(Hit!K22,Stand!K22)</f>
        <v>-1</v>
      </c>
      <c r="N22" s="31">
        <v>22</v>
      </c>
      <c r="O22" s="31" t="str">
        <f>IF(B22=Stand!B22,"S","H")</f>
        <v>S</v>
      </c>
      <c r="P22" s="31" t="str">
        <f>IF(C22=Stand!C22,"S","H")</f>
        <v>S</v>
      </c>
      <c r="Q22" s="31" t="str">
        <f>IF(D22=Stand!D22,"S","H")</f>
        <v>S</v>
      </c>
      <c r="R22" s="31" t="str">
        <f>IF(E22=Stand!E22,"S","H")</f>
        <v>S</v>
      </c>
      <c r="S22" s="31" t="str">
        <f>IF(F22=Stand!F22,"S","H")</f>
        <v>S</v>
      </c>
      <c r="T22" s="31" t="str">
        <f>IF(G22=Stand!G22,"S","H")</f>
        <v>S</v>
      </c>
      <c r="U22" s="31" t="str">
        <f>IF(H22=Stand!H22,"S","H")</f>
        <v>S</v>
      </c>
      <c r="V22" s="31" t="str">
        <f>IF(I22=Stand!I22,"S","H")</f>
        <v>S</v>
      </c>
      <c r="W22" s="31" t="str">
        <f>IF(J22=Stand!J22,"S","H")</f>
        <v>S</v>
      </c>
      <c r="X22" s="31" t="str">
        <f>IF(K22=Stand!K22,"S","H")</f>
        <v>S</v>
      </c>
    </row>
    <row r="23" spans="1:24" x14ac:dyDescent="0.2">
      <c r="A23">
        <v>23</v>
      </c>
      <c r="B23">
        <f>MAX(Hit!B23,Stand!B23)</f>
        <v>-1</v>
      </c>
      <c r="C23">
        <f>MAX(Hit!C23,Stand!C23)</f>
        <v>-1</v>
      </c>
      <c r="D23">
        <f>MAX(Hit!D23,Stand!D23)</f>
        <v>-1</v>
      </c>
      <c r="E23">
        <f>MAX(Hit!E23,Stand!E23)</f>
        <v>-1</v>
      </c>
      <c r="F23">
        <f>MAX(Hit!F23,Stand!F23)</f>
        <v>-1</v>
      </c>
      <c r="G23">
        <f>MAX(Hit!G23,Stand!G23)</f>
        <v>-1</v>
      </c>
      <c r="H23">
        <f>MAX(Hit!H23,Stand!H23)</f>
        <v>-1</v>
      </c>
      <c r="I23">
        <f>MAX(Hit!I23,Stand!I23)</f>
        <v>-1</v>
      </c>
      <c r="J23">
        <f>MAX(Hit!J23,Stand!J23)</f>
        <v>-1</v>
      </c>
      <c r="K23">
        <f>MAX(Hit!K23,Stand!K23)</f>
        <v>-1</v>
      </c>
      <c r="N23" s="31">
        <v>23</v>
      </c>
      <c r="O23" s="31" t="str">
        <f>IF(B23=Stand!B23,"S","H")</f>
        <v>S</v>
      </c>
      <c r="P23" s="31" t="str">
        <f>IF(C23=Stand!C23,"S","H")</f>
        <v>S</v>
      </c>
      <c r="Q23" s="31" t="str">
        <f>IF(D23=Stand!D23,"S","H")</f>
        <v>S</v>
      </c>
      <c r="R23" s="31" t="str">
        <f>IF(E23=Stand!E23,"S","H")</f>
        <v>S</v>
      </c>
      <c r="S23" s="31" t="str">
        <f>IF(F23=Stand!F23,"S","H")</f>
        <v>S</v>
      </c>
      <c r="T23" s="31" t="str">
        <f>IF(G23=Stand!G23,"S","H")</f>
        <v>S</v>
      </c>
      <c r="U23" s="31" t="str">
        <f>IF(H23=Stand!H23,"S","H")</f>
        <v>S</v>
      </c>
      <c r="V23" s="31" t="str">
        <f>IF(I23=Stand!I23,"S","H")</f>
        <v>S</v>
      </c>
      <c r="W23" s="31" t="str">
        <f>IF(J23=Stand!J23,"S","H")</f>
        <v>S</v>
      </c>
      <c r="X23" s="31" t="str">
        <f>IF(K23=Stand!K23,"S","H")</f>
        <v>S</v>
      </c>
    </row>
    <row r="24" spans="1:24" x14ac:dyDescent="0.2">
      <c r="A24">
        <v>24</v>
      </c>
      <c r="B24">
        <f>MAX(Hit!B24,Stand!B24)</f>
        <v>-1</v>
      </c>
      <c r="C24">
        <f>MAX(Hit!C24,Stand!C24)</f>
        <v>-1</v>
      </c>
      <c r="D24">
        <f>MAX(Hit!D24,Stand!D24)</f>
        <v>-1</v>
      </c>
      <c r="E24">
        <f>MAX(Hit!E24,Stand!E24)</f>
        <v>-1</v>
      </c>
      <c r="F24">
        <f>MAX(Hit!F24,Stand!F24)</f>
        <v>-1</v>
      </c>
      <c r="G24">
        <f>MAX(Hit!G24,Stand!G24)</f>
        <v>-1</v>
      </c>
      <c r="H24">
        <f>MAX(Hit!H24,Stand!H24)</f>
        <v>-1</v>
      </c>
      <c r="I24">
        <f>MAX(Hit!I24,Stand!I24)</f>
        <v>-1</v>
      </c>
      <c r="J24">
        <f>MAX(Hit!J24,Stand!J24)</f>
        <v>-1</v>
      </c>
      <c r="K24">
        <f>MAX(Hit!K24,Stand!K24)</f>
        <v>-1</v>
      </c>
      <c r="N24" s="31">
        <v>24</v>
      </c>
      <c r="O24" s="31" t="str">
        <f>IF(B24=Stand!B24,"S","H")</f>
        <v>S</v>
      </c>
      <c r="P24" s="31" t="str">
        <f>IF(C24=Stand!C24,"S","H")</f>
        <v>S</v>
      </c>
      <c r="Q24" s="31" t="str">
        <f>IF(D24=Stand!D24,"S","H")</f>
        <v>S</v>
      </c>
      <c r="R24" s="31" t="str">
        <f>IF(E24=Stand!E24,"S","H")</f>
        <v>S</v>
      </c>
      <c r="S24" s="31" t="str">
        <f>IF(F24=Stand!F24,"S","H")</f>
        <v>S</v>
      </c>
      <c r="T24" s="31" t="str">
        <f>IF(G24=Stand!G24,"S","H")</f>
        <v>S</v>
      </c>
      <c r="U24" s="31" t="str">
        <f>IF(H24=Stand!H24,"S","H")</f>
        <v>S</v>
      </c>
      <c r="V24" s="31" t="str">
        <f>IF(I24=Stand!I24,"S","H")</f>
        <v>S</v>
      </c>
      <c r="W24" s="31" t="str">
        <f>IF(J24=Stand!J24,"S","H")</f>
        <v>S</v>
      </c>
      <c r="X24" s="31" t="str">
        <f>IF(K24=Stand!K24,"S","H")</f>
        <v>S</v>
      </c>
    </row>
    <row r="25" spans="1:24" x14ac:dyDescent="0.2">
      <c r="A25">
        <v>25</v>
      </c>
      <c r="B25">
        <f>MAX(Hit!B25,Stand!B25)</f>
        <v>-1</v>
      </c>
      <c r="C25">
        <f>MAX(Hit!C25,Stand!C25)</f>
        <v>-1</v>
      </c>
      <c r="D25">
        <f>MAX(Hit!D25,Stand!D25)</f>
        <v>-1</v>
      </c>
      <c r="E25">
        <f>MAX(Hit!E25,Stand!E25)</f>
        <v>-1</v>
      </c>
      <c r="F25">
        <f>MAX(Hit!F25,Stand!F25)</f>
        <v>-1</v>
      </c>
      <c r="G25">
        <f>MAX(Hit!G25,Stand!G25)</f>
        <v>-1</v>
      </c>
      <c r="H25">
        <f>MAX(Hit!H25,Stand!H25)</f>
        <v>-1</v>
      </c>
      <c r="I25">
        <f>MAX(Hit!I25,Stand!I25)</f>
        <v>-1</v>
      </c>
      <c r="J25">
        <f>MAX(Hit!J25,Stand!J25)</f>
        <v>-1</v>
      </c>
      <c r="K25">
        <f>MAX(Hit!K25,Stand!K25)</f>
        <v>-1</v>
      </c>
      <c r="N25" s="31">
        <v>25</v>
      </c>
      <c r="O25" s="31" t="str">
        <f>IF(B25=Stand!B25,"S","H")</f>
        <v>S</v>
      </c>
      <c r="P25" s="31" t="str">
        <f>IF(C25=Stand!C25,"S","H")</f>
        <v>S</v>
      </c>
      <c r="Q25" s="31" t="str">
        <f>IF(D25=Stand!D25,"S","H")</f>
        <v>S</v>
      </c>
      <c r="R25" s="31" t="str">
        <f>IF(E25=Stand!E25,"S","H")</f>
        <v>S</v>
      </c>
      <c r="S25" s="31" t="str">
        <f>IF(F25=Stand!F25,"S","H")</f>
        <v>S</v>
      </c>
      <c r="T25" s="31" t="str">
        <f>IF(G25=Stand!G25,"S","H")</f>
        <v>S</v>
      </c>
      <c r="U25" s="31" t="str">
        <f>IF(H25=Stand!H25,"S","H")</f>
        <v>S</v>
      </c>
      <c r="V25" s="31" t="str">
        <f>IF(I25=Stand!I25,"S","H")</f>
        <v>S</v>
      </c>
      <c r="W25" s="31" t="str">
        <f>IF(J25=Stand!J25,"S","H")</f>
        <v>S</v>
      </c>
      <c r="X25" s="31" t="str">
        <f>IF(K25=Stand!K25,"S","H")</f>
        <v>S</v>
      </c>
    </row>
    <row r="26" spans="1:24" x14ac:dyDescent="0.2">
      <c r="A26">
        <v>26</v>
      </c>
      <c r="B26">
        <f>MAX(Hit!B26,Stand!B26)</f>
        <v>-1</v>
      </c>
      <c r="C26">
        <f>MAX(Hit!C26,Stand!C26)</f>
        <v>-1</v>
      </c>
      <c r="D26">
        <f>MAX(Hit!D26,Stand!D26)</f>
        <v>-1</v>
      </c>
      <c r="E26">
        <f>MAX(Hit!E26,Stand!E26)</f>
        <v>-1</v>
      </c>
      <c r="F26">
        <f>MAX(Hit!F26,Stand!F26)</f>
        <v>-1</v>
      </c>
      <c r="G26">
        <f>MAX(Hit!G26,Stand!G26)</f>
        <v>-1</v>
      </c>
      <c r="H26">
        <f>MAX(Hit!H26,Stand!H26)</f>
        <v>-1</v>
      </c>
      <c r="I26">
        <f>MAX(Hit!I26,Stand!I26)</f>
        <v>-1</v>
      </c>
      <c r="J26">
        <f>MAX(Hit!J26,Stand!J26)</f>
        <v>-1</v>
      </c>
      <c r="K26">
        <f>MAX(Hit!K26,Stand!K26)</f>
        <v>-1</v>
      </c>
      <c r="N26" s="31">
        <v>26</v>
      </c>
      <c r="O26" s="31" t="str">
        <f>IF(B26=Stand!B26,"S","H")</f>
        <v>S</v>
      </c>
      <c r="P26" s="31" t="str">
        <f>IF(C26=Stand!C26,"S","H")</f>
        <v>S</v>
      </c>
      <c r="Q26" s="31" t="str">
        <f>IF(D26=Stand!D26,"S","H")</f>
        <v>S</v>
      </c>
      <c r="R26" s="31" t="str">
        <f>IF(E26=Stand!E26,"S","H")</f>
        <v>S</v>
      </c>
      <c r="S26" s="31" t="str">
        <f>IF(F26=Stand!F26,"S","H")</f>
        <v>S</v>
      </c>
      <c r="T26" s="31" t="str">
        <f>IF(G26=Stand!G26,"S","H")</f>
        <v>S</v>
      </c>
      <c r="U26" s="31" t="str">
        <f>IF(H26=Stand!H26,"S","H")</f>
        <v>S</v>
      </c>
      <c r="V26" s="31" t="str">
        <f>IF(I26=Stand!I26,"S","H")</f>
        <v>S</v>
      </c>
      <c r="W26" s="31" t="str">
        <f>IF(J26=Stand!J26,"S","H")</f>
        <v>S</v>
      </c>
      <c r="X26" s="31" t="str">
        <f>IF(K26=Stand!K26,"S","H")</f>
        <v>S</v>
      </c>
    </row>
    <row r="27" spans="1:24" x14ac:dyDescent="0.2">
      <c r="A27">
        <v>27</v>
      </c>
      <c r="B27">
        <f>MAX(Hit!B27,Stand!B27)</f>
        <v>-1</v>
      </c>
      <c r="C27">
        <f>MAX(Hit!C27,Stand!C27)</f>
        <v>-1</v>
      </c>
      <c r="D27">
        <f>MAX(Hit!D27,Stand!D27)</f>
        <v>-1</v>
      </c>
      <c r="E27">
        <f>MAX(Hit!E27,Stand!E27)</f>
        <v>-1</v>
      </c>
      <c r="F27">
        <f>MAX(Hit!F27,Stand!F27)</f>
        <v>-1</v>
      </c>
      <c r="G27">
        <f>MAX(Hit!G27,Stand!G27)</f>
        <v>-1</v>
      </c>
      <c r="H27">
        <f>MAX(Hit!H27,Stand!H27)</f>
        <v>-1</v>
      </c>
      <c r="I27">
        <f>MAX(Hit!I27,Stand!I27)</f>
        <v>-1</v>
      </c>
      <c r="J27">
        <f>MAX(Hit!J27,Stand!J27)</f>
        <v>-1</v>
      </c>
      <c r="K27">
        <f>MAX(Hit!K27,Stand!K27)</f>
        <v>-1</v>
      </c>
      <c r="N27" s="31">
        <v>27</v>
      </c>
      <c r="O27" s="31" t="str">
        <f>IF(B27=Stand!B27,"S","H")</f>
        <v>S</v>
      </c>
      <c r="P27" s="31" t="str">
        <f>IF(C27=Stand!C27,"S","H")</f>
        <v>S</v>
      </c>
      <c r="Q27" s="31" t="str">
        <f>IF(D27=Stand!D27,"S","H")</f>
        <v>S</v>
      </c>
      <c r="R27" s="31" t="str">
        <f>IF(E27=Stand!E27,"S","H")</f>
        <v>S</v>
      </c>
      <c r="S27" s="31" t="str">
        <f>IF(F27=Stand!F27,"S","H")</f>
        <v>S</v>
      </c>
      <c r="T27" s="31" t="str">
        <f>IF(G27=Stand!G27,"S","H")</f>
        <v>S</v>
      </c>
      <c r="U27" s="31" t="str">
        <f>IF(H27=Stand!H27,"S","H")</f>
        <v>S</v>
      </c>
      <c r="V27" s="31" t="str">
        <f>IF(I27=Stand!I27,"S","H")</f>
        <v>S</v>
      </c>
      <c r="W27" s="31" t="str">
        <f>IF(J27=Stand!J27,"S","H")</f>
        <v>S</v>
      </c>
      <c r="X27" s="31" t="str">
        <f>IF(K27=Stand!K27,"S","H")</f>
        <v>S</v>
      </c>
    </row>
    <row r="28" spans="1:24" x14ac:dyDescent="0.2">
      <c r="A28">
        <v>28</v>
      </c>
      <c r="B28">
        <f>MAX(Hit!B28,Stand!B28)</f>
        <v>-1</v>
      </c>
      <c r="C28">
        <f>MAX(Hit!C28,Stand!C28)</f>
        <v>-1</v>
      </c>
      <c r="D28">
        <f>MAX(Hit!D28,Stand!D28)</f>
        <v>-1</v>
      </c>
      <c r="E28">
        <f>MAX(Hit!E28,Stand!E28)</f>
        <v>-1</v>
      </c>
      <c r="F28">
        <f>MAX(Hit!F28,Stand!F28)</f>
        <v>-1</v>
      </c>
      <c r="G28">
        <f>MAX(Hit!G28,Stand!G28)</f>
        <v>-1</v>
      </c>
      <c r="H28">
        <f>MAX(Hit!H28,Stand!H28)</f>
        <v>-1</v>
      </c>
      <c r="I28">
        <f>MAX(Hit!I28,Stand!I28)</f>
        <v>-1</v>
      </c>
      <c r="J28">
        <f>MAX(Hit!J28,Stand!J28)</f>
        <v>-1</v>
      </c>
      <c r="K28">
        <f>MAX(Hit!K28,Stand!K28)</f>
        <v>-1</v>
      </c>
      <c r="N28" s="31">
        <v>28</v>
      </c>
      <c r="O28" s="31" t="str">
        <f>IF(B28=Stand!B28,"S","H")</f>
        <v>S</v>
      </c>
      <c r="P28" s="31" t="str">
        <f>IF(C28=Stand!C28,"S","H")</f>
        <v>S</v>
      </c>
      <c r="Q28" s="31" t="str">
        <f>IF(D28=Stand!D28,"S","H")</f>
        <v>S</v>
      </c>
      <c r="R28" s="31" t="str">
        <f>IF(E28=Stand!E28,"S","H")</f>
        <v>S</v>
      </c>
      <c r="S28" s="31" t="str">
        <f>IF(F28=Stand!F28,"S","H")</f>
        <v>S</v>
      </c>
      <c r="T28" s="31" t="str">
        <f>IF(G28=Stand!G28,"S","H")</f>
        <v>S</v>
      </c>
      <c r="U28" s="31" t="str">
        <f>IF(H28=Stand!H28,"S","H")</f>
        <v>S</v>
      </c>
      <c r="V28" s="31" t="str">
        <f>IF(I28=Stand!I28,"S","H")</f>
        <v>S</v>
      </c>
      <c r="W28" s="31" t="str">
        <f>IF(J28=Stand!J28,"S","H")</f>
        <v>S</v>
      </c>
      <c r="X28" s="31" t="str">
        <f>IF(K28=Stand!K28,"S","H")</f>
        <v>S</v>
      </c>
    </row>
    <row r="29" spans="1:24" x14ac:dyDescent="0.2">
      <c r="A29">
        <v>29</v>
      </c>
      <c r="B29">
        <f>MAX(Hit!B29,Stand!B29)</f>
        <v>-1</v>
      </c>
      <c r="C29">
        <f>MAX(Hit!C29,Stand!C29)</f>
        <v>-1</v>
      </c>
      <c r="D29">
        <f>MAX(Hit!D29,Stand!D29)</f>
        <v>-1</v>
      </c>
      <c r="E29">
        <f>MAX(Hit!E29,Stand!E29)</f>
        <v>-1</v>
      </c>
      <c r="F29">
        <f>MAX(Hit!F29,Stand!F29)</f>
        <v>-1</v>
      </c>
      <c r="G29">
        <f>MAX(Hit!G29,Stand!G29)</f>
        <v>-1</v>
      </c>
      <c r="H29">
        <f>MAX(Hit!H29,Stand!H29)</f>
        <v>-1</v>
      </c>
      <c r="I29">
        <f>MAX(Hit!I29,Stand!I29)</f>
        <v>-1</v>
      </c>
      <c r="J29">
        <f>MAX(Hit!J29,Stand!J29)</f>
        <v>-1</v>
      </c>
      <c r="K29">
        <f>MAX(Hit!K29,Stand!K29)</f>
        <v>-1</v>
      </c>
      <c r="N29" s="31">
        <v>29</v>
      </c>
      <c r="O29" s="31" t="str">
        <f>IF(B29=Stand!B29,"S","H")</f>
        <v>S</v>
      </c>
      <c r="P29" s="31" t="str">
        <f>IF(C29=Stand!C29,"S","H")</f>
        <v>S</v>
      </c>
      <c r="Q29" s="31" t="str">
        <f>IF(D29=Stand!D29,"S","H")</f>
        <v>S</v>
      </c>
      <c r="R29" s="31" t="str">
        <f>IF(E29=Stand!E29,"S","H")</f>
        <v>S</v>
      </c>
      <c r="S29" s="31" t="str">
        <f>IF(F29=Stand!F29,"S","H")</f>
        <v>S</v>
      </c>
      <c r="T29" s="31" t="str">
        <f>IF(G29=Stand!G29,"S","H")</f>
        <v>S</v>
      </c>
      <c r="U29" s="31" t="str">
        <f>IF(H29=Stand!H29,"S","H")</f>
        <v>S</v>
      </c>
      <c r="V29" s="31" t="str">
        <f>IF(I29=Stand!I29,"S","H")</f>
        <v>S</v>
      </c>
      <c r="W29" s="31" t="str">
        <f>IF(J29=Stand!J29,"S","H")</f>
        <v>S</v>
      </c>
      <c r="X29" s="31" t="str">
        <f>IF(K29=Stand!K29,"S","H")</f>
        <v>S</v>
      </c>
    </row>
    <row r="30" spans="1:24" x14ac:dyDescent="0.2">
      <c r="A30">
        <v>30</v>
      </c>
      <c r="B30">
        <f>MAX(Hit!B30,Stand!B30)</f>
        <v>-1</v>
      </c>
      <c r="C30">
        <f>MAX(Hit!C30,Stand!C30)</f>
        <v>-1</v>
      </c>
      <c r="D30">
        <f>MAX(Hit!D30,Stand!D30)</f>
        <v>-1</v>
      </c>
      <c r="E30">
        <f>MAX(Hit!E30,Stand!E30)</f>
        <v>-1</v>
      </c>
      <c r="F30">
        <f>MAX(Hit!F30,Stand!F30)</f>
        <v>-1</v>
      </c>
      <c r="G30">
        <f>MAX(Hit!G30,Stand!G30)</f>
        <v>-1</v>
      </c>
      <c r="H30">
        <f>MAX(Hit!H30,Stand!H30)</f>
        <v>-1</v>
      </c>
      <c r="I30">
        <f>MAX(Hit!I30,Stand!I30)</f>
        <v>-1</v>
      </c>
      <c r="J30">
        <f>MAX(Hit!J30,Stand!J30)</f>
        <v>-1</v>
      </c>
      <c r="K30">
        <f>MAX(Hit!K30,Stand!K30)</f>
        <v>-1</v>
      </c>
      <c r="N30" s="31">
        <v>30</v>
      </c>
      <c r="O30" s="31" t="str">
        <f>IF(B30=Stand!B30,"S","H")</f>
        <v>S</v>
      </c>
      <c r="P30" s="31" t="str">
        <f>IF(C30=Stand!C30,"S","H")</f>
        <v>S</v>
      </c>
      <c r="Q30" s="31" t="str">
        <f>IF(D30=Stand!D30,"S","H")</f>
        <v>S</v>
      </c>
      <c r="R30" s="31" t="str">
        <f>IF(E30=Stand!E30,"S","H")</f>
        <v>S</v>
      </c>
      <c r="S30" s="31" t="str">
        <f>IF(F30=Stand!F30,"S","H")</f>
        <v>S</v>
      </c>
      <c r="T30" s="31" t="str">
        <f>IF(G30=Stand!G30,"S","H")</f>
        <v>S</v>
      </c>
      <c r="U30" s="31" t="str">
        <f>IF(H30=Stand!H30,"S","H")</f>
        <v>S</v>
      </c>
      <c r="V30" s="31" t="str">
        <f>IF(I30=Stand!I30,"S","H")</f>
        <v>S</v>
      </c>
      <c r="W30" s="31" t="str">
        <f>IF(J30=Stand!J30,"S","H")</f>
        <v>S</v>
      </c>
      <c r="X30" s="31" t="str">
        <f>IF(K30=Stand!K30,"S","H")</f>
        <v>S</v>
      </c>
    </row>
    <row r="31" spans="1:24" x14ac:dyDescent="0.2">
      <c r="A31">
        <v>31</v>
      </c>
      <c r="B31">
        <f>MAX(Hit!B31,Stand!B31)</f>
        <v>-1</v>
      </c>
      <c r="C31">
        <f>MAX(Hit!C31,Stand!C31)</f>
        <v>-1</v>
      </c>
      <c r="D31">
        <f>MAX(Hit!D31,Stand!D31)</f>
        <v>-1</v>
      </c>
      <c r="E31">
        <f>MAX(Hit!E31,Stand!E31)</f>
        <v>-1</v>
      </c>
      <c r="F31">
        <f>MAX(Hit!F31,Stand!F31)</f>
        <v>-1</v>
      </c>
      <c r="G31">
        <f>MAX(Hit!G31,Stand!G31)</f>
        <v>-1</v>
      </c>
      <c r="H31">
        <f>MAX(Hit!H31,Stand!H31)</f>
        <v>-1</v>
      </c>
      <c r="I31">
        <f>MAX(Hit!I31,Stand!I31)</f>
        <v>-1</v>
      </c>
      <c r="J31">
        <f>MAX(Hit!J31,Stand!J31)</f>
        <v>-1</v>
      </c>
      <c r="K31">
        <f>MAX(Hit!K31,Stand!K31)</f>
        <v>-1</v>
      </c>
      <c r="N31" s="31">
        <v>31</v>
      </c>
      <c r="O31" s="31" t="str">
        <f>IF(B31=Stand!B31,"S","H")</f>
        <v>S</v>
      </c>
      <c r="P31" s="31" t="str">
        <f>IF(C31=Stand!C31,"S","H")</f>
        <v>S</v>
      </c>
      <c r="Q31" s="31" t="str">
        <f>IF(D31=Stand!D31,"S","H")</f>
        <v>S</v>
      </c>
      <c r="R31" s="31" t="str">
        <f>IF(E31=Stand!E31,"S","H")</f>
        <v>S</v>
      </c>
      <c r="S31" s="31" t="str">
        <f>IF(F31=Stand!F31,"S","H")</f>
        <v>S</v>
      </c>
      <c r="T31" s="31" t="str">
        <f>IF(G31=Stand!G31,"S","H")</f>
        <v>S</v>
      </c>
      <c r="U31" s="31" t="str">
        <f>IF(H31=Stand!H31,"S","H")</f>
        <v>S</v>
      </c>
      <c r="V31" s="31" t="str">
        <f>IF(I31=Stand!I31,"S","H")</f>
        <v>S</v>
      </c>
      <c r="W31" s="31" t="str">
        <f>IF(J31=Stand!J31,"S","H")</f>
        <v>S</v>
      </c>
      <c r="X31" s="31" t="str">
        <f>IF(K31=Stand!K31,"S","H")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MAX(Hit!B34,Stand!B34)</f>
        <v>7.4082476325384949E-2</v>
      </c>
      <c r="C34">
        <f>MAX(Hit!C34,Stand!C34)</f>
        <v>0.3696374242362967</v>
      </c>
      <c r="D34">
        <f>MAX(Hit!D34,Stand!D34)</f>
        <v>0.38767410174512951</v>
      </c>
      <c r="E34">
        <f>MAX(Hit!E34,Stand!E34)</f>
        <v>0.40637639293641487</v>
      </c>
      <c r="F34">
        <f>MAX(Hit!F34,Stand!F34)</f>
        <v>0.42575273133176267</v>
      </c>
      <c r="G34">
        <f>MAX(Hit!G34,Stand!G34)</f>
        <v>0.45589668319225651</v>
      </c>
      <c r="H34">
        <f>MAX(Hit!H34,Stand!H34)</f>
        <v>0.45736852128859351</v>
      </c>
      <c r="I34">
        <f>MAX(Hit!I34,Stand!I34)</f>
        <v>0.40074805174057659</v>
      </c>
      <c r="J34">
        <f>MAX(Hit!J34,Stand!J34)</f>
        <v>0.32142328174266549</v>
      </c>
      <c r="K34">
        <f>MAX(Hit!K34,Stand!K34)</f>
        <v>0.19656557835630536</v>
      </c>
      <c r="N34" s="31">
        <v>11</v>
      </c>
      <c r="O34" s="31" t="str">
        <f>IF(B34=Stand!B34,"S","H")</f>
        <v>H</v>
      </c>
      <c r="P34" s="31" t="str">
        <f>IF(C34=Stand!C34,"S","H")</f>
        <v>H</v>
      </c>
      <c r="Q34" s="31" t="str">
        <f>IF(D34=Stand!D34,"S","H")</f>
        <v>H</v>
      </c>
      <c r="R34" s="31" t="str">
        <f>IF(E34=Stand!E34,"S","H")</f>
        <v>H</v>
      </c>
      <c r="S34" s="31" t="str">
        <f>IF(F34=Stand!F34,"S","H")</f>
        <v>H</v>
      </c>
      <c r="T34" s="31" t="str">
        <f>IF(G34=Stand!G34,"S","H")</f>
        <v>H</v>
      </c>
      <c r="U34" s="31" t="str">
        <f>IF(H34=Stand!H34,"S","H")</f>
        <v>H</v>
      </c>
      <c r="V34" s="31" t="str">
        <f>IF(I34=Stand!I34,"S","H")</f>
        <v>H</v>
      </c>
      <c r="W34" s="31" t="str">
        <f>IF(J34=Stand!J34,"S","H")</f>
        <v>H</v>
      </c>
      <c r="X34" s="31" t="str">
        <f>IF(K34=Stand!K34,"S","H")</f>
        <v>H</v>
      </c>
    </row>
    <row r="35" spans="1:24" x14ac:dyDescent="0.2">
      <c r="A35">
        <v>12</v>
      </c>
      <c r="B35">
        <f>MAX(Hit!B35,Stand!B35)</f>
        <v>-0.20521353107155851</v>
      </c>
      <c r="C35">
        <f>MAX(Hit!C35,Stand!C35)</f>
        <v>8.1836216051656044E-2</v>
      </c>
      <c r="D35">
        <f>MAX(Hit!D35,Stand!D35)</f>
        <v>0.10350704654207775</v>
      </c>
      <c r="E35">
        <f>MAX(Hit!E35,Stand!E35)</f>
        <v>0.12659562809256977</v>
      </c>
      <c r="F35">
        <f>MAX(Hit!F35,Stand!F35)</f>
        <v>0.15648238458465519</v>
      </c>
      <c r="G35">
        <f>MAX(Hit!G35,Stand!G35)</f>
        <v>0.18595361333225549</v>
      </c>
      <c r="H35">
        <f>MAX(Hit!H35,Stand!H35)</f>
        <v>0.16547293077063496</v>
      </c>
      <c r="I35">
        <f>MAX(Hit!I35,Stand!I35)</f>
        <v>9.5115020927032307E-2</v>
      </c>
      <c r="J35">
        <f>MAX(Hit!J35,Stand!J35)</f>
        <v>6.5790841226897296E-5</v>
      </c>
      <c r="K35">
        <f>MAX(Hit!K35,Stand!K35)</f>
        <v>-0.12808280155666141</v>
      </c>
      <c r="N35" s="31">
        <v>12</v>
      </c>
      <c r="O35" s="31" t="str">
        <f>IF(B35=Stand!B35,"S","H")</f>
        <v>H</v>
      </c>
      <c r="P35" s="31" t="str">
        <f>IF(C35=Stand!C35,"S","H")</f>
        <v>H</v>
      </c>
      <c r="Q35" s="31" t="str">
        <f>IF(D35=Stand!D35,"S","H")</f>
        <v>H</v>
      </c>
      <c r="R35" s="31" t="str">
        <f>IF(E35=Stand!E35,"S","H")</f>
        <v>H</v>
      </c>
      <c r="S35" s="31" t="str">
        <f>IF(F35=Stand!F35,"S","H")</f>
        <v>H</v>
      </c>
      <c r="T35" s="31" t="str">
        <f>IF(G35=Stand!G35,"S","H")</f>
        <v>H</v>
      </c>
      <c r="U35" s="31" t="str">
        <f>IF(H35=Stand!H35,"S","H")</f>
        <v>H</v>
      </c>
      <c r="V35" s="31" t="str">
        <f>IF(I35=Stand!I35,"S","H")</f>
        <v>H</v>
      </c>
      <c r="W35" s="31" t="str">
        <f>IF(J35=Stand!J35,"S","H")</f>
        <v>H</v>
      </c>
      <c r="X35" s="31" t="str">
        <f>IF(K35=Stand!K35,"S","H")</f>
        <v>H</v>
      </c>
    </row>
    <row r="36" spans="1:24" x14ac:dyDescent="0.2">
      <c r="A36">
        <v>13</v>
      </c>
      <c r="B36">
        <f>MAX(Hit!B36,Stand!B36)</f>
        <v>-0.23472177802444921</v>
      </c>
      <c r="C36">
        <f>MAX(Hit!C36,Stand!C36)</f>
        <v>4.6636132695309543E-2</v>
      </c>
      <c r="D36">
        <f>MAX(Hit!D36,Stand!D36)</f>
        <v>7.4118813392744051E-2</v>
      </c>
      <c r="E36">
        <f>MAX(Hit!E36,Stand!E36)</f>
        <v>0.10247714687203523</v>
      </c>
      <c r="F36">
        <f>MAX(Hit!F36,Stand!F36)</f>
        <v>0.13336273848321728</v>
      </c>
      <c r="G36">
        <f>MAX(Hit!G36,Stand!G36)</f>
        <v>0.16169271124923693</v>
      </c>
      <c r="H36">
        <f>MAX(Hit!H36,Stand!H36)</f>
        <v>0.12238569517899196</v>
      </c>
      <c r="I36">
        <f>MAX(Hit!I36,Stand!I36)</f>
        <v>5.4057070196311334E-2</v>
      </c>
      <c r="J36">
        <f>MAX(Hit!J36,Stand!J36)</f>
        <v>-3.7694688127479885E-2</v>
      </c>
      <c r="K36">
        <f>MAX(Hit!K36,Stand!K36)</f>
        <v>-0.16080628455762785</v>
      </c>
      <c r="N36" s="31">
        <v>13</v>
      </c>
      <c r="O36" s="31" t="str">
        <f>IF(B36=Stand!B36,"S","H")</f>
        <v>H</v>
      </c>
      <c r="P36" s="31" t="str">
        <f>IF(C36=Stand!C36,"S","H")</f>
        <v>H</v>
      </c>
      <c r="Q36" s="31" t="str">
        <f>IF(D36=Stand!D36,"S","H")</f>
        <v>H</v>
      </c>
      <c r="R36" s="31" t="str">
        <f>IF(E36=Stand!E36,"S","H")</f>
        <v>H</v>
      </c>
      <c r="S36" s="31" t="str">
        <f>IF(F36=Stand!F36,"S","H")</f>
        <v>H</v>
      </c>
      <c r="T36" s="31" t="str">
        <f>IF(G36=Stand!G36,"S","H")</f>
        <v>H</v>
      </c>
      <c r="U36" s="31" t="str">
        <f>IF(H36=Stand!H36,"S","H")</f>
        <v>H</v>
      </c>
      <c r="V36" s="31" t="str">
        <f>IF(I36=Stand!I36,"S","H")</f>
        <v>H</v>
      </c>
      <c r="W36" s="31" t="str">
        <f>IF(J36=Stand!J36,"S","H")</f>
        <v>H</v>
      </c>
      <c r="X36" s="31" t="str">
        <f>IF(K36=Stand!K36,"S","H")</f>
        <v>H</v>
      </c>
    </row>
    <row r="37" spans="1:24" x14ac:dyDescent="0.2">
      <c r="A37">
        <v>14</v>
      </c>
      <c r="B37">
        <f>MAX(Hit!B37,Stand!B37)</f>
        <v>-0.26406959413166387</v>
      </c>
      <c r="C37">
        <f>MAX(Hit!C37,Stand!C37)</f>
        <v>2.2391856987839083E-2</v>
      </c>
      <c r="D37">
        <f>MAX(Hit!D37,Stand!D37)</f>
        <v>5.0806738919282814E-2</v>
      </c>
      <c r="E37">
        <f>MAX(Hit!E37,Stand!E37)</f>
        <v>8.0081414310110233E-2</v>
      </c>
      <c r="F37">
        <f>MAX(Hit!F37,Stand!F37)</f>
        <v>0.11189449567473925</v>
      </c>
      <c r="G37">
        <f>MAX(Hit!G37,Stand!G37)</f>
        <v>0.1391647307435768</v>
      </c>
      <c r="H37">
        <f>MAX(Hit!H37,Stand!H37)</f>
        <v>7.9507488494468148E-2</v>
      </c>
      <c r="I37">
        <f>MAX(Hit!I37,Stand!I37)</f>
        <v>1.3277219463208478E-2</v>
      </c>
      <c r="J37">
        <f>MAX(Hit!J37,Stand!J37)</f>
        <v>-7.516318944168382E-2</v>
      </c>
      <c r="K37">
        <f>MAX(Hit!K37,Stand!K37)</f>
        <v>-0.1933035414076569</v>
      </c>
      <c r="N37" s="31">
        <v>14</v>
      </c>
      <c r="O37" s="31" t="str">
        <f>IF(B37=Stand!B37,"S","H")</f>
        <v>H</v>
      </c>
      <c r="P37" s="31" t="str">
        <f>IF(C37=Stand!C37,"S","H")</f>
        <v>H</v>
      </c>
      <c r="Q37" s="31" t="str">
        <f>IF(D37=Stand!D37,"S","H")</f>
        <v>H</v>
      </c>
      <c r="R37" s="31" t="str">
        <f>IF(E37=Stand!E37,"S","H")</f>
        <v>H</v>
      </c>
      <c r="S37" s="31" t="str">
        <f>IF(F37=Stand!F37,"S","H")</f>
        <v>H</v>
      </c>
      <c r="T37" s="31" t="str">
        <f>IF(G37=Stand!G37,"S","H")</f>
        <v>H</v>
      </c>
      <c r="U37" s="31" t="str">
        <f>IF(H37=Stand!H37,"S","H")</f>
        <v>H</v>
      </c>
      <c r="V37" s="31" t="str">
        <f>IF(I37=Stand!I37,"S","H")</f>
        <v>H</v>
      </c>
      <c r="W37" s="31" t="str">
        <f>IF(J37=Stand!J37,"S","H")</f>
        <v>H</v>
      </c>
      <c r="X37" s="31" t="str">
        <f>IF(K37=Stand!K37,"S","H")</f>
        <v>H</v>
      </c>
    </row>
    <row r="38" spans="1:24" x14ac:dyDescent="0.2">
      <c r="A38">
        <v>15</v>
      </c>
      <c r="B38">
        <f>MAX(Hit!B38,Stand!B38)</f>
        <v>-0.29312934580507005</v>
      </c>
      <c r="C38">
        <f>MAX(Hit!C38,Stand!C38)</f>
        <v>-1.2068474052636583E-4</v>
      </c>
      <c r="D38">
        <f>MAX(Hit!D38,Stand!D38)</f>
        <v>2.9159812622497363E-2</v>
      </c>
      <c r="E38">
        <f>MAX(Hit!E38,Stand!E38)</f>
        <v>5.9285376931179926E-2</v>
      </c>
      <c r="F38">
        <f>MAX(Hit!F38,Stand!F38)</f>
        <v>9.1959698781152482E-2</v>
      </c>
      <c r="G38">
        <f>MAX(Hit!G38,Stand!G38)</f>
        <v>0.11824589170260671</v>
      </c>
      <c r="H38">
        <f>MAX(Hit!H38,Stand!H38)</f>
        <v>3.7028282279269235E-2</v>
      </c>
      <c r="I38">
        <f>MAX(Hit!I38,Stand!I38)</f>
        <v>-2.7054780502901672E-2</v>
      </c>
      <c r="J38">
        <f>MAX(Hit!J38,Stand!J38)</f>
        <v>-0.11218876868994289</v>
      </c>
      <c r="K38">
        <f>MAX(Hit!K38,Stand!K38)</f>
        <v>-0.22543993358238781</v>
      </c>
      <c r="N38" s="31">
        <v>15</v>
      </c>
      <c r="O38" s="31" t="str">
        <f>IF(B38=Stand!B38,"S","H")</f>
        <v>H</v>
      </c>
      <c r="P38" s="31" t="str">
        <f>IF(C38=Stand!C38,"S","H")</f>
        <v>H</v>
      </c>
      <c r="Q38" s="31" t="str">
        <f>IF(D38=Stand!D38,"S","H")</f>
        <v>H</v>
      </c>
      <c r="R38" s="31" t="str">
        <f>IF(E38=Stand!E38,"S","H")</f>
        <v>H</v>
      </c>
      <c r="S38" s="31" t="str">
        <f>IF(F38=Stand!F38,"S","H")</f>
        <v>H</v>
      </c>
      <c r="T38" s="31" t="str">
        <f>IF(G38=Stand!G38,"S","H")</f>
        <v>H</v>
      </c>
      <c r="U38" s="31" t="str">
        <f>IF(H38=Stand!H38,"S","H")</f>
        <v>H</v>
      </c>
      <c r="V38" s="31" t="str">
        <f>IF(I38=Stand!I38,"S","H")</f>
        <v>H</v>
      </c>
      <c r="W38" s="31" t="str">
        <f>IF(J38=Stand!J38,"S","H")</f>
        <v>H</v>
      </c>
      <c r="X38" s="31" t="str">
        <f>IF(K38=Stand!K38,"S","H")</f>
        <v>H</v>
      </c>
    </row>
    <row r="39" spans="1:24" x14ac:dyDescent="0.2">
      <c r="A39">
        <v>16</v>
      </c>
      <c r="B39">
        <f>MAX(Hit!B39,Stand!B39)</f>
        <v>-0.31409107314591783</v>
      </c>
      <c r="C39">
        <f>MAX(Hit!C39,Stand!C39)</f>
        <v>-2.1025187774008566E-2</v>
      </c>
      <c r="D39">
        <f>MAX(Hit!D39,Stand!D39)</f>
        <v>9.0590953469108244E-3</v>
      </c>
      <c r="E39">
        <f>MAX(Hit!E39,Stand!E39)</f>
        <v>3.9974770793601705E-2</v>
      </c>
      <c r="F39">
        <f>MAX(Hit!F39,Stand!F39)</f>
        <v>7.3448815951393354E-2</v>
      </c>
      <c r="G39">
        <f>MAX(Hit!G39,Stand!G39)</f>
        <v>9.8821255450277368E-2</v>
      </c>
      <c r="H39">
        <f>MAX(Hit!H39,Stand!H39)</f>
        <v>-4.8901571730158942E-3</v>
      </c>
      <c r="I39">
        <f>MAX(Hit!I39,Stand!I39)</f>
        <v>-6.6794847920094103E-2</v>
      </c>
      <c r="J39">
        <f>MAX(Hit!J39,Stand!J39)</f>
        <v>-0.14864353463007471</v>
      </c>
      <c r="K39">
        <f>MAX(Hit!K39,Stand!K39)</f>
        <v>-0.25710121084742421</v>
      </c>
      <c r="N39" s="31">
        <v>16</v>
      </c>
      <c r="O39" s="31" t="str">
        <f>IF(B39=Stand!B39,"S","H")</f>
        <v>H</v>
      </c>
      <c r="P39" s="31" t="str">
        <f>IF(C39=Stand!C39,"S","H")</f>
        <v>H</v>
      </c>
      <c r="Q39" s="31" t="str">
        <f>IF(D39=Stand!D39,"S","H")</f>
        <v>H</v>
      </c>
      <c r="R39" s="31" t="str">
        <f>IF(E39=Stand!E39,"S","H")</f>
        <v>H</v>
      </c>
      <c r="S39" s="31" t="str">
        <f>IF(F39=Stand!F39,"S","H")</f>
        <v>H</v>
      </c>
      <c r="T39" s="31" t="str">
        <f>IF(G39=Stand!G39,"S","H")</f>
        <v>H</v>
      </c>
      <c r="U39" s="31" t="str">
        <f>IF(H39=Stand!H39,"S","H")</f>
        <v>H</v>
      </c>
      <c r="V39" s="31" t="str">
        <f>IF(I39=Stand!I39,"S","H")</f>
        <v>H</v>
      </c>
      <c r="W39" s="31" t="str">
        <f>IF(J39=Stand!J39,"S","H")</f>
        <v>H</v>
      </c>
      <c r="X39" s="31" t="str">
        <f>IF(K39=Stand!K39,"S","H")</f>
        <v>H</v>
      </c>
    </row>
    <row r="40" spans="1:24" x14ac:dyDescent="0.2">
      <c r="A40">
        <v>17</v>
      </c>
      <c r="B40">
        <f>MAX(Hit!B40,Stand!B40)</f>
        <v>-0.30094774596936263</v>
      </c>
      <c r="C40">
        <f>MAX(Hit!C40,Stand!C40)</f>
        <v>-4.9104358288916297E-4</v>
      </c>
      <c r="D40">
        <f>MAX(Hit!D40,Stand!D40)</f>
        <v>2.8975282965620523E-2</v>
      </c>
      <c r="E40">
        <f>MAX(Hit!E40,Stand!E40)</f>
        <v>5.9326275337164343E-2</v>
      </c>
      <c r="F40">
        <f>MAX(Hit!F40,Stand!F40)</f>
        <v>9.1189077686774395E-2</v>
      </c>
      <c r="G40">
        <f>MAX(Hit!G40,Stand!G40)</f>
        <v>0.12805214364549905</v>
      </c>
      <c r="H40">
        <f>MAX(Hit!H40,Stand!H40)</f>
        <v>5.3823463716116654E-2</v>
      </c>
      <c r="I40">
        <f>MAX(Hit!I40,Stand!I40)</f>
        <v>-7.2915398729642075E-2</v>
      </c>
      <c r="J40">
        <f>MAX(Hit!J40,Stand!J40)</f>
        <v>-0.14978689218213323</v>
      </c>
      <c r="K40">
        <f>MAX(Hit!K40,Stand!K40)</f>
        <v>-0.24941602102444038</v>
      </c>
      <c r="N40" s="31">
        <v>17</v>
      </c>
      <c r="O40" s="31" t="str">
        <f>IF(B40=Stand!B40,"S","H")</f>
        <v>H</v>
      </c>
      <c r="P40" s="31" t="str">
        <f>IF(C40=Stand!C40,"S","H")</f>
        <v>H</v>
      </c>
      <c r="Q40" s="31" t="str">
        <f>IF(D40=Stand!D40,"S","H")</f>
        <v>H</v>
      </c>
      <c r="R40" s="31" t="str">
        <f>IF(E40=Stand!E40,"S","H")</f>
        <v>H</v>
      </c>
      <c r="S40" s="31" t="str">
        <f>IF(F40=Stand!F40,"S","H")</f>
        <v>H</v>
      </c>
      <c r="T40" s="31" t="str">
        <f>IF(G40=Stand!G40,"S","H")</f>
        <v>H</v>
      </c>
      <c r="U40" s="31" t="str">
        <f>IF(H40=Stand!H40,"S","H")</f>
        <v>H</v>
      </c>
      <c r="V40" s="31" t="str">
        <f>IF(I40=Stand!I40,"S","H")</f>
        <v>H</v>
      </c>
      <c r="W40" s="31" t="str">
        <f>IF(J40=Stand!J40,"S","H")</f>
        <v>H</v>
      </c>
      <c r="X40" s="31" t="str">
        <f>IF(K40=Stand!K40,"S","H")</f>
        <v>H</v>
      </c>
    </row>
    <row r="41" spans="1:24" x14ac:dyDescent="0.2">
      <c r="A41">
        <v>18</v>
      </c>
      <c r="B41">
        <f>MAX(Hit!B41,Stand!B41)</f>
        <v>-0.24150883119675959</v>
      </c>
      <c r="C41">
        <f>MAX(Hit!C41,Stand!C41)</f>
        <v>0.12174190222088771</v>
      </c>
      <c r="D41">
        <f>MAX(Hit!D41,Stand!D41)</f>
        <v>0.14830007284131119</v>
      </c>
      <c r="E41">
        <f>MAX(Hit!E41,Stand!E41)</f>
        <v>0.17585443719748528</v>
      </c>
      <c r="F41">
        <f>MAX(Hit!F41,Stand!F41)</f>
        <v>0.19956119497617719</v>
      </c>
      <c r="G41">
        <f>MAX(Hit!G41,Stand!G41)</f>
        <v>0.28344391604689856</v>
      </c>
      <c r="H41">
        <f>MAX(Hit!H41,Stand!H41)</f>
        <v>0.3995541673365518</v>
      </c>
      <c r="I41">
        <f>MAX(Hit!I41,Stand!I41)</f>
        <v>0.10595134861912359</v>
      </c>
      <c r="J41">
        <f>MAX(Hit!J41,Stand!J41)</f>
        <v>-0.10074430758041522</v>
      </c>
      <c r="K41">
        <f>MAX(Hit!K41,Stand!K41)</f>
        <v>-0.20109793381277147</v>
      </c>
      <c r="N41" s="31">
        <v>18</v>
      </c>
      <c r="O41" s="31" t="str">
        <f>IF(B41=Stand!B41,"S","H")</f>
        <v>S</v>
      </c>
      <c r="P41" s="31" t="str">
        <f>IF(C41=Stand!C41,"S","H")</f>
        <v>S</v>
      </c>
      <c r="Q41" s="31" t="str">
        <f>IF(D41=Stand!D41,"S","H")</f>
        <v>S</v>
      </c>
      <c r="R41" s="31" t="str">
        <f>IF(E41=Stand!E41,"S","H")</f>
        <v>S</v>
      </c>
      <c r="S41" s="31" t="str">
        <f>IF(F41=Stand!F41,"S","H")</f>
        <v>S</v>
      </c>
      <c r="T41" s="31" t="str">
        <f>IF(G41=Stand!G41,"S","H")</f>
        <v>S</v>
      </c>
      <c r="U41" s="31" t="str">
        <f>IF(H41=Stand!H41,"S","H")</f>
        <v>S</v>
      </c>
      <c r="V41" s="31" t="str">
        <f>IF(I41=Stand!I41,"S","H")</f>
        <v>S</v>
      </c>
      <c r="W41" s="31" t="str">
        <f>IF(J41=Stand!J41,"S","H")</f>
        <v>H</v>
      </c>
      <c r="X41" s="31" t="str">
        <f>IF(K41=Stand!K41,"S","H")</f>
        <v>H</v>
      </c>
    </row>
    <row r="42" spans="1:24" x14ac:dyDescent="0.2">
      <c r="A42">
        <v>19</v>
      </c>
      <c r="B42">
        <f>MAX(Hit!B42,Stand!B42)</f>
        <v>-1.8660154151531549E-2</v>
      </c>
      <c r="C42">
        <f>MAX(Hit!C42,Stand!C42)</f>
        <v>0.38630468602058987</v>
      </c>
      <c r="D42">
        <f>MAX(Hit!D42,Stand!D42)</f>
        <v>0.40436293659776001</v>
      </c>
      <c r="E42">
        <f>MAX(Hit!E42,Stand!E42)</f>
        <v>0.42317892482749647</v>
      </c>
      <c r="F42">
        <f>MAX(Hit!F42,Stand!F42)</f>
        <v>0.43951210416088371</v>
      </c>
      <c r="G42">
        <f>MAX(Hit!G42,Stand!G42)</f>
        <v>0.49597707378731909</v>
      </c>
      <c r="H42">
        <f>MAX(Hit!H42,Stand!H42)</f>
        <v>0.6159764957534315</v>
      </c>
      <c r="I42">
        <f>MAX(Hit!I42,Stand!I42)</f>
        <v>0.5938536682866945</v>
      </c>
      <c r="J42">
        <f>MAX(Hit!J42,Stand!J42)</f>
        <v>0.28759675706758142</v>
      </c>
      <c r="K42">
        <f>MAX(Hit!K42,Stand!K42)</f>
        <v>-1.8660154151531536E-2</v>
      </c>
      <c r="N42" s="31">
        <v>19</v>
      </c>
      <c r="O42" s="31" t="str">
        <f>IF(B42=Stand!B42,"S","H")</f>
        <v>S</v>
      </c>
      <c r="P42" s="31" t="str">
        <f>IF(C42=Stand!C42,"S","H")</f>
        <v>S</v>
      </c>
      <c r="Q42" s="31" t="str">
        <f>IF(D42=Stand!D42,"S","H")</f>
        <v>S</v>
      </c>
      <c r="R42" s="31" t="str">
        <f>IF(E42=Stand!E42,"S","H")</f>
        <v>S</v>
      </c>
      <c r="S42" s="31" t="str">
        <f>IF(F42=Stand!F42,"S","H")</f>
        <v>S</v>
      </c>
      <c r="T42" s="31" t="str">
        <f>IF(G42=Stand!G42,"S","H")</f>
        <v>S</v>
      </c>
      <c r="U42" s="31" t="str">
        <f>IF(H42=Stand!H42,"S","H")</f>
        <v>S</v>
      </c>
      <c r="V42" s="31" t="str">
        <f>IF(I42=Stand!I42,"S","H")</f>
        <v>S</v>
      </c>
      <c r="W42" s="31" t="str">
        <f>IF(J42=Stand!J42,"S","H")</f>
        <v>S</v>
      </c>
      <c r="X42" s="31" t="str">
        <f>IF(K42=Stand!K42,"S","H")</f>
        <v>S</v>
      </c>
    </row>
    <row r="43" spans="1:24" x14ac:dyDescent="0.2">
      <c r="A43">
        <v>20</v>
      </c>
      <c r="B43">
        <f>MAX(Hit!B43,Stand!B43)</f>
        <v>0.20418852289369649</v>
      </c>
      <c r="C43">
        <f>MAX(Hit!C43,Stand!C43)</f>
        <v>0.63998657521683877</v>
      </c>
      <c r="D43">
        <f>MAX(Hit!D43,Stand!D43)</f>
        <v>0.65027209425148136</v>
      </c>
      <c r="E43">
        <f>MAX(Hit!E43,Stand!E43)</f>
        <v>0.66104996194807186</v>
      </c>
      <c r="F43">
        <f>MAX(Hit!F43,Stand!F43)</f>
        <v>0.67035969063279999</v>
      </c>
      <c r="G43">
        <f>MAX(Hit!G43,Stand!G43)</f>
        <v>0.70395857017134467</v>
      </c>
      <c r="H43">
        <f>MAX(Hit!H43,Stand!H43)</f>
        <v>0.77322722653717491</v>
      </c>
      <c r="I43">
        <f>MAX(Hit!I43,Stand!I43)</f>
        <v>0.79181515955189841</v>
      </c>
      <c r="J43">
        <f>MAX(Hit!J43,Stand!J43)</f>
        <v>0.75835687080859626</v>
      </c>
      <c r="K43">
        <f>MAX(Hit!K43,Stand!K43)</f>
        <v>0.43495775366292722</v>
      </c>
      <c r="N43" s="31">
        <v>20</v>
      </c>
      <c r="O43" s="31" t="str">
        <f>IF(B43=Stand!B43,"S","H")</f>
        <v>S</v>
      </c>
      <c r="P43" s="31" t="str">
        <f>IF(C43=Stand!C43,"S","H")</f>
        <v>S</v>
      </c>
      <c r="Q43" s="31" t="str">
        <f>IF(D43=Stand!D43,"S","H")</f>
        <v>S</v>
      </c>
      <c r="R43" s="31" t="str">
        <f>IF(E43=Stand!E43,"S","H")</f>
        <v>S</v>
      </c>
      <c r="S43" s="31" t="str">
        <f>IF(F43=Stand!F43,"S","H")</f>
        <v>S</v>
      </c>
      <c r="T43" s="31" t="str">
        <f>IF(G43=Stand!G43,"S","H")</f>
        <v>S</v>
      </c>
      <c r="U43" s="31" t="str">
        <f>IF(H43=Stand!H43,"S","H")</f>
        <v>S</v>
      </c>
      <c r="V43" s="31" t="str">
        <f>IF(I43=Stand!I43,"S","H")</f>
        <v>S</v>
      </c>
      <c r="W43" s="31" t="str">
        <f>IF(J43=Stand!J43,"S","H")</f>
        <v>S</v>
      </c>
      <c r="X43" s="31" t="str">
        <f>IF(K43=Stand!K43,"S","H")</f>
        <v>S</v>
      </c>
    </row>
    <row r="44" spans="1:24" x14ac:dyDescent="0.2">
      <c r="A44">
        <v>21</v>
      </c>
      <c r="B44">
        <f>MAX(Hit!B44,Stand!B44)</f>
        <v>0.65780643070815525</v>
      </c>
      <c r="C44">
        <f>MAX(Hit!C44,Stand!C44)</f>
        <v>0.88200651549403997</v>
      </c>
      <c r="D44">
        <f>MAX(Hit!D44,Stand!D44)</f>
        <v>0.88530035730174927</v>
      </c>
      <c r="E44">
        <f>MAX(Hit!E44,Stand!E44)</f>
        <v>0.88876729296591961</v>
      </c>
      <c r="F44">
        <f>MAX(Hit!F44,Stand!F44)</f>
        <v>0.89175382659528035</v>
      </c>
      <c r="G44">
        <f>MAX(Hit!G44,Stand!G44)</f>
        <v>0.90283674384257995</v>
      </c>
      <c r="H44">
        <f>MAX(Hit!H44,Stand!H44)</f>
        <v>0.92592629596452325</v>
      </c>
      <c r="I44">
        <f>MAX(Hit!I44,Stand!I44)</f>
        <v>0.93060505318396614</v>
      </c>
      <c r="J44">
        <f>MAX(Hit!J44,Stand!J44)</f>
        <v>0.93917615614724415</v>
      </c>
      <c r="K44">
        <f>MAX(Hit!K44,Stand!K44)</f>
        <v>0.88857566147738598</v>
      </c>
      <c r="N44" s="31">
        <v>21</v>
      </c>
      <c r="O44" s="31" t="str">
        <f>IF(B44=Stand!B44,"S","H")</f>
        <v>S</v>
      </c>
      <c r="P44" s="31" t="str">
        <f>IF(C44=Stand!C44,"S","H")</f>
        <v>S</v>
      </c>
      <c r="Q44" s="31" t="str">
        <f>IF(D44=Stand!D44,"S","H")</f>
        <v>S</v>
      </c>
      <c r="R44" s="31" t="str">
        <f>IF(E44=Stand!E44,"S","H")</f>
        <v>S</v>
      </c>
      <c r="S44" s="31" t="str">
        <f>IF(F44=Stand!F44,"S","H")</f>
        <v>S</v>
      </c>
      <c r="T44" s="31" t="str">
        <f>IF(G44=Stand!G44,"S","H")</f>
        <v>S</v>
      </c>
      <c r="U44" s="31" t="str">
        <f>IF(H44=Stand!H44,"S","H")</f>
        <v>S</v>
      </c>
      <c r="V44" s="31" t="str">
        <f>IF(I44=Stand!I44,"S","H")</f>
        <v>S</v>
      </c>
      <c r="W44" s="31" t="str">
        <f>IF(J44=Stand!J44,"S","H")</f>
        <v>S</v>
      </c>
      <c r="X44" s="31" t="str">
        <f>IF(K44=Stand!K44,"S","H")</f>
        <v>S</v>
      </c>
    </row>
    <row r="45" spans="1:24" x14ac:dyDescent="0.2">
      <c r="A45">
        <v>22</v>
      </c>
      <c r="B45">
        <f>MAX(Hit!B45,Stand!B45)</f>
        <v>-0.46566058377683939</v>
      </c>
      <c r="C45">
        <f>MAX(Hit!C45,Stand!C45)</f>
        <v>-0.25338998596663809</v>
      </c>
      <c r="D45">
        <f>MAX(Hit!D45,Stand!D45)</f>
        <v>-0.2336908997980866</v>
      </c>
      <c r="E45">
        <f>MAX(Hit!E45,Stand!E45)</f>
        <v>-0.21106310899491437</v>
      </c>
      <c r="F45">
        <f>MAX(Hit!F45,Stand!F45)</f>
        <v>-0.16719266083547524</v>
      </c>
      <c r="G45">
        <f>MAX(Hit!G45,Stand!G45)</f>
        <v>-0.1536990158300045</v>
      </c>
      <c r="H45">
        <f>MAX(Hit!H45,Stand!H45)</f>
        <v>-0.21284771451731424</v>
      </c>
      <c r="I45">
        <f>MAX(Hit!I45,Stand!I45)</f>
        <v>-0.27157480502428616</v>
      </c>
      <c r="J45">
        <f>MAX(Hit!J45,Stand!J45)</f>
        <v>-0.3400132806089356</v>
      </c>
      <c r="K45">
        <f>MAX(Hit!K45,Stand!K45)</f>
        <v>-0.42069618899826788</v>
      </c>
      <c r="N45" s="31">
        <v>22</v>
      </c>
      <c r="O45" s="31" t="str">
        <f>IF(B45=Stand!B45,"S","H")</f>
        <v>H</v>
      </c>
      <c r="P45" s="31" t="str">
        <f>IF(C45=Stand!C45,"S","H")</f>
        <v>H</v>
      </c>
      <c r="Q45" s="31" t="str">
        <f>IF(D45=Stand!D45,"S","H")</f>
        <v>H</v>
      </c>
      <c r="R45" s="31" t="str">
        <f>IF(E45=Stand!E45,"S","H")</f>
        <v>S</v>
      </c>
      <c r="S45" s="31" t="str">
        <f>IF(F45=Stand!F45,"S","H")</f>
        <v>S</v>
      </c>
      <c r="T45" s="31" t="str">
        <f>IF(G45=Stand!G45,"S","H")</f>
        <v>S</v>
      </c>
      <c r="U45" s="31" t="str">
        <f>IF(H45=Stand!H45,"S","H")</f>
        <v>H</v>
      </c>
      <c r="V45" s="31" t="str">
        <f>IF(I45=Stand!I45,"S","H")</f>
        <v>H</v>
      </c>
      <c r="W45" s="31" t="str">
        <f>IF(J45=Stand!J45,"S","H")</f>
        <v>H</v>
      </c>
      <c r="X45" s="31" t="str">
        <f>IF(K45=Stand!K45,"S","H")</f>
        <v>H</v>
      </c>
    </row>
    <row r="46" spans="1:24" x14ac:dyDescent="0.2">
      <c r="A46">
        <v>23</v>
      </c>
      <c r="B46">
        <f>MAX(Hit!B46,Stand!B46)</f>
        <v>-0.50382768493563657</v>
      </c>
      <c r="C46">
        <f>MAX(Hit!C46,Stand!C46)</f>
        <v>-0.29278372720927726</v>
      </c>
      <c r="D46">
        <f>MAX(Hit!D46,Stand!D46)</f>
        <v>-0.2522502292357135</v>
      </c>
      <c r="E46">
        <f>MAX(Hit!E46,Stand!E46)</f>
        <v>-0.21106310899491437</v>
      </c>
      <c r="F46">
        <f>MAX(Hit!F46,Stand!F46)</f>
        <v>-0.16719266083547524</v>
      </c>
      <c r="G46">
        <f>MAX(Hit!G46,Stand!G46)</f>
        <v>-0.1536990158300045</v>
      </c>
      <c r="H46">
        <f>MAX(Hit!H46,Stand!H46)</f>
        <v>-0.26907287776607752</v>
      </c>
      <c r="I46">
        <f>MAX(Hit!I46,Stand!I46)</f>
        <v>-0.32360517609397998</v>
      </c>
      <c r="J46">
        <f>MAX(Hit!J46,Stand!J46)</f>
        <v>-0.38715518913686875</v>
      </c>
      <c r="K46">
        <f>MAX(Hit!K46,Stand!K46)</f>
        <v>-0.46207503264124877</v>
      </c>
      <c r="N46" s="31">
        <v>23</v>
      </c>
      <c r="O46" s="31" t="str">
        <f>IF(B46=Stand!B46,"S","H")</f>
        <v>H</v>
      </c>
      <c r="P46" s="31" t="str">
        <f>IF(C46=Stand!C46,"S","H")</f>
        <v>S</v>
      </c>
      <c r="Q46" s="31" t="str">
        <f>IF(D46=Stand!D46,"S","H")</f>
        <v>S</v>
      </c>
      <c r="R46" s="31" t="str">
        <f>IF(E46=Stand!E46,"S","H")</f>
        <v>S</v>
      </c>
      <c r="S46" s="31" t="str">
        <f>IF(F46=Stand!F46,"S","H")</f>
        <v>S</v>
      </c>
      <c r="T46" s="31" t="str">
        <f>IF(G46=Stand!G46,"S","H")</f>
        <v>S</v>
      </c>
      <c r="U46" s="31" t="str">
        <f>IF(H46=Stand!H46,"S","H")</f>
        <v>H</v>
      </c>
      <c r="V46" s="31" t="str">
        <f>IF(I46=Stand!I46,"S","H")</f>
        <v>H</v>
      </c>
      <c r="W46" s="31" t="str">
        <f>IF(J46=Stand!J46,"S","H")</f>
        <v>H</v>
      </c>
      <c r="X46" s="31" t="str">
        <f>IF(K46=Stand!K46,"S","H")</f>
        <v>H</v>
      </c>
    </row>
    <row r="47" spans="1:24" x14ac:dyDescent="0.2">
      <c r="A47">
        <v>24</v>
      </c>
      <c r="B47">
        <f>MAX(Hit!B47,Stand!B47)</f>
        <v>-0.53926856458309114</v>
      </c>
      <c r="C47">
        <f>MAX(Hit!C47,Stand!C47)</f>
        <v>-0.29278372720927726</v>
      </c>
      <c r="D47">
        <f>MAX(Hit!D47,Stand!D47)</f>
        <v>-0.2522502292357135</v>
      </c>
      <c r="E47">
        <f>MAX(Hit!E47,Stand!E47)</f>
        <v>-0.21106310899491437</v>
      </c>
      <c r="F47">
        <f>MAX(Hit!F47,Stand!F47)</f>
        <v>-0.16719266083547524</v>
      </c>
      <c r="G47">
        <f>MAX(Hit!G47,Stand!G47)</f>
        <v>-0.1536990158300045</v>
      </c>
      <c r="H47">
        <f>MAX(Hit!H47,Stand!H47)</f>
        <v>-0.3212819579256434</v>
      </c>
      <c r="I47">
        <f>MAX(Hit!I47,Stand!I47)</f>
        <v>-0.37191909208726714</v>
      </c>
      <c r="J47">
        <f>MAX(Hit!J47,Stand!J47)</f>
        <v>-0.43092981848423528</v>
      </c>
      <c r="K47">
        <f>MAX(Hit!K47,Stand!K47)</f>
        <v>-0.50049824459544523</v>
      </c>
      <c r="N47" s="31">
        <v>24</v>
      </c>
      <c r="O47" s="31" t="str">
        <f>IF(B47=Stand!B47,"S","H")</f>
        <v>H</v>
      </c>
      <c r="P47" s="31" t="str">
        <f>IF(C47=Stand!C47,"S","H")</f>
        <v>S</v>
      </c>
      <c r="Q47" s="31" t="str">
        <f>IF(D47=Stand!D47,"S","H")</f>
        <v>S</v>
      </c>
      <c r="R47" s="31" t="str">
        <f>IF(E47=Stand!E47,"S","H")</f>
        <v>S</v>
      </c>
      <c r="S47" s="31" t="str">
        <f>IF(F47=Stand!F47,"S","H")</f>
        <v>S</v>
      </c>
      <c r="T47" s="31" t="str">
        <f>IF(G47=Stand!G47,"S","H")</f>
        <v>S</v>
      </c>
      <c r="U47" s="31" t="str">
        <f>IF(H47=Stand!H47,"S","H")</f>
        <v>H</v>
      </c>
      <c r="V47" s="31" t="str">
        <f>IF(I47=Stand!I47,"S","H")</f>
        <v>H</v>
      </c>
      <c r="W47" s="31" t="str">
        <f>IF(J47=Stand!J47,"S","H")</f>
        <v>H</v>
      </c>
      <c r="X47" s="31" t="str">
        <f>IF(K47=Stand!K47,"S","H")</f>
        <v>H</v>
      </c>
    </row>
    <row r="48" spans="1:24" x14ac:dyDescent="0.2">
      <c r="A48">
        <v>25</v>
      </c>
      <c r="B48">
        <f>MAX(Hit!B48,Stand!B48)</f>
        <v>-0.572177952827156</v>
      </c>
      <c r="C48">
        <f>MAX(Hit!C48,Stand!C48)</f>
        <v>-0.29278372720927726</v>
      </c>
      <c r="D48">
        <f>MAX(Hit!D48,Stand!D48)</f>
        <v>-0.2522502292357135</v>
      </c>
      <c r="E48">
        <f>MAX(Hit!E48,Stand!E48)</f>
        <v>-0.21106310899491437</v>
      </c>
      <c r="F48">
        <f>MAX(Hit!F48,Stand!F48)</f>
        <v>-0.16719266083547524</v>
      </c>
      <c r="G48">
        <f>MAX(Hit!G48,Stand!G48)</f>
        <v>-0.1536990158300045</v>
      </c>
      <c r="H48">
        <f>MAX(Hit!H48,Stand!H48)</f>
        <v>-0.36976181807381175</v>
      </c>
      <c r="I48">
        <f>MAX(Hit!I48,Stand!I48)</f>
        <v>-0.41678201408103371</v>
      </c>
      <c r="J48">
        <f>MAX(Hit!J48,Stand!J48)</f>
        <v>-0.47157768859250415</v>
      </c>
      <c r="K48">
        <f>MAX(Hit!K48,Stand!K48)</f>
        <v>-0.53617694141005634</v>
      </c>
      <c r="N48" s="31">
        <v>25</v>
      </c>
      <c r="O48" s="31" t="str">
        <f>IF(B48=Stand!B48,"S","H")</f>
        <v>H</v>
      </c>
      <c r="P48" s="31" t="str">
        <f>IF(C48=Stand!C48,"S","H")</f>
        <v>S</v>
      </c>
      <c r="Q48" s="31" t="str">
        <f>IF(D48=Stand!D48,"S","H")</f>
        <v>S</v>
      </c>
      <c r="R48" s="31" t="str">
        <f>IF(E48=Stand!E48,"S","H")</f>
        <v>S</v>
      </c>
      <c r="S48" s="31" t="str">
        <f>IF(F48=Stand!F48,"S","H")</f>
        <v>S</v>
      </c>
      <c r="T48" s="31" t="str">
        <f>IF(G48=Stand!G48,"S","H")</f>
        <v>S</v>
      </c>
      <c r="U48" s="31" t="str">
        <f>IF(H48=Stand!H48,"S","H")</f>
        <v>H</v>
      </c>
      <c r="V48" s="31" t="str">
        <f>IF(I48=Stand!I48,"S","H")</f>
        <v>H</v>
      </c>
      <c r="W48" s="31" t="str">
        <f>IF(J48=Stand!J48,"S","H")</f>
        <v>H</v>
      </c>
      <c r="X48" s="31" t="str">
        <f>IF(K48=Stand!K48,"S","H")</f>
        <v>H</v>
      </c>
    </row>
    <row r="49" spans="1:24" x14ac:dyDescent="0.2">
      <c r="A49">
        <v>26</v>
      </c>
      <c r="B49">
        <f>MAX(Hit!B49,Stand!B49)</f>
        <v>-0.57578184676460165</v>
      </c>
      <c r="C49">
        <f>MAX(Hit!C49,Stand!C49)</f>
        <v>-0.29278372720927726</v>
      </c>
      <c r="D49">
        <f>MAX(Hit!D49,Stand!D49)</f>
        <v>-0.2522502292357135</v>
      </c>
      <c r="E49">
        <f>MAX(Hit!E49,Stand!E49)</f>
        <v>-0.21106310899491437</v>
      </c>
      <c r="F49">
        <f>MAX(Hit!F49,Stand!F49)</f>
        <v>-0.16719266083547524</v>
      </c>
      <c r="G49">
        <f>MAX(Hit!G49,Stand!G49)</f>
        <v>-0.1536990158300045</v>
      </c>
      <c r="H49">
        <f>MAX(Hit!H49,Stand!H49)</f>
        <v>-0.41477883106853947</v>
      </c>
      <c r="I49">
        <f>MAX(Hit!I49,Stand!I49)</f>
        <v>-0.45844044164667419</v>
      </c>
      <c r="J49">
        <f>MAX(Hit!J49,Stand!J49)</f>
        <v>-0.50932213940732529</v>
      </c>
      <c r="K49">
        <f>MAX(Hit!K49,Stand!K49)</f>
        <v>-0.56930715988076652</v>
      </c>
      <c r="N49" s="31">
        <v>26</v>
      </c>
      <c r="O49" s="31" t="str">
        <f>IF(B49=Stand!B49,"S","H")</f>
        <v>S</v>
      </c>
      <c r="P49" s="31" t="str">
        <f>IF(C49=Stand!C49,"S","H")</f>
        <v>S</v>
      </c>
      <c r="Q49" s="31" t="str">
        <f>IF(D49=Stand!D49,"S","H")</f>
        <v>S</v>
      </c>
      <c r="R49" s="31" t="str">
        <f>IF(E49=Stand!E49,"S","H")</f>
        <v>S</v>
      </c>
      <c r="S49" s="31" t="str">
        <f>IF(F49=Stand!F49,"S","H")</f>
        <v>S</v>
      </c>
      <c r="T49" s="31" t="str">
        <f>IF(G49=Stand!G49,"S","H")</f>
        <v>S</v>
      </c>
      <c r="U49" s="31" t="str">
        <f>IF(H49=Stand!H49,"S","H")</f>
        <v>H</v>
      </c>
      <c r="V49" s="31" t="str">
        <f>IF(I49=Stand!I49,"S","H")</f>
        <v>H</v>
      </c>
      <c r="W49" s="31" t="str">
        <f>IF(J49=Stand!J49,"S","H")</f>
        <v>H</v>
      </c>
      <c r="X49" s="31" t="str">
        <f>IF(K49=Stand!K49,"S","H")</f>
        <v>H</v>
      </c>
    </row>
    <row r="50" spans="1:24" x14ac:dyDescent="0.2">
      <c r="A50">
        <v>27</v>
      </c>
      <c r="B50">
        <f>MAX(Hit!B50,Stand!B50)</f>
        <v>-0.46435750824198752</v>
      </c>
      <c r="C50">
        <f>MAX(Hit!C50,Stand!C50)</f>
        <v>-0.15297458768154204</v>
      </c>
      <c r="D50">
        <f>MAX(Hit!D50,Stand!D50)</f>
        <v>-0.11721624142457365</v>
      </c>
      <c r="E50">
        <f>MAX(Hit!E50,Stand!E50)</f>
        <v>-8.0573373145316152E-2</v>
      </c>
      <c r="F50">
        <f>MAX(Hit!F50,Stand!F50)</f>
        <v>-4.4941375564924446E-2</v>
      </c>
      <c r="G50">
        <f>MAX(Hit!G50,Stand!G50)</f>
        <v>1.1739160673341853E-2</v>
      </c>
      <c r="H50">
        <f>MAX(Hit!H50,Stand!H50)</f>
        <v>-0.10680898948269468</v>
      </c>
      <c r="I50">
        <f>MAX(Hit!I50,Stand!I50)</f>
        <v>-0.38195097104844711</v>
      </c>
      <c r="J50">
        <f>MAX(Hit!J50,Stand!J50)</f>
        <v>-0.42315423964521737</v>
      </c>
      <c r="K50">
        <f>MAX(Hit!K50,Stand!K50)</f>
        <v>-0.46435750824198763</v>
      </c>
      <c r="N50" s="31">
        <v>27</v>
      </c>
      <c r="O50" s="31" t="str">
        <f>IF(B50=Stand!B50,"S","H")</f>
        <v>S</v>
      </c>
      <c r="P50" s="31" t="str">
        <f>IF(C50=Stand!C50,"S","H")</f>
        <v>S</v>
      </c>
      <c r="Q50" s="31" t="str">
        <f>IF(D50=Stand!D50,"S","H")</f>
        <v>S</v>
      </c>
      <c r="R50" s="31" t="str">
        <f>IF(E50=Stand!E50,"S","H")</f>
        <v>S</v>
      </c>
      <c r="S50" s="31" t="str">
        <f>IF(F50=Stand!F50,"S","H")</f>
        <v>S</v>
      </c>
      <c r="T50" s="31" t="str">
        <f>IF(G50=Stand!G50,"S","H")</f>
        <v>S</v>
      </c>
      <c r="U50" s="31" t="str">
        <f>IF(H50=Stand!H50,"S","H")</f>
        <v>S</v>
      </c>
      <c r="V50" s="31" t="str">
        <f>IF(I50=Stand!I50,"S","H")</f>
        <v>S</v>
      </c>
      <c r="W50" s="31" t="str">
        <f>IF(J50=Stand!J50,"S","H")</f>
        <v>S</v>
      </c>
      <c r="X50" s="31" t="str">
        <f>IF(K50=Stand!K50,"S","H")</f>
        <v>S</v>
      </c>
    </row>
    <row r="51" spans="1:24" x14ac:dyDescent="0.2">
      <c r="A51">
        <v>28</v>
      </c>
      <c r="B51">
        <f>MAX(Hit!B51,Stand!B51)</f>
        <v>-0.24150883119675959</v>
      </c>
      <c r="C51">
        <f>MAX(Hit!C51,Stand!C51)</f>
        <v>0.12174190222088771</v>
      </c>
      <c r="D51">
        <f>MAX(Hit!D51,Stand!D51)</f>
        <v>0.14830007284131119</v>
      </c>
      <c r="E51">
        <f>MAX(Hit!E51,Stand!E51)</f>
        <v>0.17585443719748528</v>
      </c>
      <c r="F51">
        <f>MAX(Hit!F51,Stand!F51)</f>
        <v>0.19956119497617719</v>
      </c>
      <c r="G51">
        <f>MAX(Hit!G51,Stand!G51)</f>
        <v>0.28344391604689856</v>
      </c>
      <c r="H51">
        <f>MAX(Hit!H51,Stand!H51)</f>
        <v>0.3995541673365518</v>
      </c>
      <c r="I51">
        <f>MAX(Hit!I51,Stand!I51)</f>
        <v>0.10595134861912359</v>
      </c>
      <c r="J51">
        <f>MAX(Hit!J51,Stand!J51)</f>
        <v>-0.18316335667343331</v>
      </c>
      <c r="K51">
        <f>MAX(Hit!K51,Stand!K51)</f>
        <v>-0.24150883119675959</v>
      </c>
      <c r="N51" s="31">
        <v>28</v>
      </c>
      <c r="O51" s="31" t="str">
        <f>IF(B51=Stand!B51,"S","H")</f>
        <v>S</v>
      </c>
      <c r="P51" s="31" t="str">
        <f>IF(C51=Stand!C51,"S","H")</f>
        <v>S</v>
      </c>
      <c r="Q51" s="31" t="str">
        <f>IF(D51=Stand!D51,"S","H")</f>
        <v>S</v>
      </c>
      <c r="R51" s="31" t="str">
        <f>IF(E51=Stand!E51,"S","H")</f>
        <v>S</v>
      </c>
      <c r="S51" s="31" t="str">
        <f>IF(F51=Stand!F51,"S","H")</f>
        <v>S</v>
      </c>
      <c r="T51" s="31" t="str">
        <f>IF(G51=Stand!G51,"S","H")</f>
        <v>S</v>
      </c>
      <c r="U51" s="31" t="str">
        <f>IF(H51=Stand!H51,"S","H")</f>
        <v>S</v>
      </c>
      <c r="V51" s="31" t="str">
        <f>IF(I51=Stand!I51,"S","H")</f>
        <v>S</v>
      </c>
      <c r="W51" s="31" t="str">
        <f>IF(J51=Stand!J51,"S","H")</f>
        <v>S</v>
      </c>
      <c r="X51" s="31" t="str">
        <f>IF(K51=Stand!K51,"S","H")</f>
        <v>S</v>
      </c>
    </row>
    <row r="52" spans="1:24" x14ac:dyDescent="0.2">
      <c r="A52">
        <v>29</v>
      </c>
      <c r="B52">
        <f>MAX(Hit!B52,Stand!B52)</f>
        <v>-1.8660154151531549E-2</v>
      </c>
      <c r="C52">
        <f>MAX(Hit!C52,Stand!C52)</f>
        <v>0.38630468602058987</v>
      </c>
      <c r="D52">
        <f>MAX(Hit!D52,Stand!D52)</f>
        <v>0.40436293659776001</v>
      </c>
      <c r="E52">
        <f>MAX(Hit!E52,Stand!E52)</f>
        <v>0.42317892482749647</v>
      </c>
      <c r="F52">
        <f>MAX(Hit!F52,Stand!F52)</f>
        <v>0.43951210416088371</v>
      </c>
      <c r="G52">
        <f>MAX(Hit!G52,Stand!G52)</f>
        <v>0.49597707378731909</v>
      </c>
      <c r="H52">
        <f>MAX(Hit!H52,Stand!H52)</f>
        <v>0.6159764957534315</v>
      </c>
      <c r="I52">
        <f>MAX(Hit!I52,Stand!I52)</f>
        <v>0.5938536682866945</v>
      </c>
      <c r="J52">
        <f>MAX(Hit!J52,Stand!J52)</f>
        <v>0.28759675706758142</v>
      </c>
      <c r="K52">
        <f>MAX(Hit!K52,Stand!K52)</f>
        <v>-1.8660154151531536E-2</v>
      </c>
      <c r="N52" s="31">
        <v>29</v>
      </c>
      <c r="O52" s="31" t="str">
        <f>IF(B52=Stand!B52,"S","H")</f>
        <v>S</v>
      </c>
      <c r="P52" s="31" t="str">
        <f>IF(C52=Stand!C52,"S","H")</f>
        <v>S</v>
      </c>
      <c r="Q52" s="31" t="str">
        <f>IF(D52=Stand!D52,"S","H")</f>
        <v>S</v>
      </c>
      <c r="R52" s="31" t="str">
        <f>IF(E52=Stand!E52,"S","H")</f>
        <v>S</v>
      </c>
      <c r="S52" s="31" t="str">
        <f>IF(F52=Stand!F52,"S","H")</f>
        <v>S</v>
      </c>
      <c r="T52" s="31" t="str">
        <f>IF(G52=Stand!G52,"S","H")</f>
        <v>S</v>
      </c>
      <c r="U52" s="31" t="str">
        <f>IF(H52=Stand!H52,"S","H")</f>
        <v>S</v>
      </c>
      <c r="V52" s="31" t="str">
        <f>IF(I52=Stand!I52,"S","H")</f>
        <v>S</v>
      </c>
      <c r="W52" s="31" t="str">
        <f>IF(J52=Stand!J52,"S","H")</f>
        <v>S</v>
      </c>
      <c r="X52" s="31" t="str">
        <f>IF(K52=Stand!K52,"S","H")</f>
        <v>S</v>
      </c>
    </row>
    <row r="53" spans="1:24" x14ac:dyDescent="0.2">
      <c r="A53">
        <v>30</v>
      </c>
      <c r="B53">
        <f>MAX(Hit!B53,Stand!B53)</f>
        <v>0.20418852289369649</v>
      </c>
      <c r="C53">
        <f>MAX(Hit!C53,Stand!C53)</f>
        <v>0.63998657521683877</v>
      </c>
      <c r="D53">
        <f>MAX(Hit!D53,Stand!D53)</f>
        <v>0.65027209425148136</v>
      </c>
      <c r="E53">
        <f>MAX(Hit!E53,Stand!E53)</f>
        <v>0.66104996194807186</v>
      </c>
      <c r="F53">
        <f>MAX(Hit!F53,Stand!F53)</f>
        <v>0.67035969063279999</v>
      </c>
      <c r="G53">
        <f>MAX(Hit!G53,Stand!G53)</f>
        <v>0.70395857017134467</v>
      </c>
      <c r="H53">
        <f>MAX(Hit!H53,Stand!H53)</f>
        <v>0.77322722653717491</v>
      </c>
      <c r="I53">
        <f>MAX(Hit!I53,Stand!I53)</f>
        <v>0.79181515955189841</v>
      </c>
      <c r="J53">
        <f>MAX(Hit!J53,Stand!J53)</f>
        <v>0.75835687080859626</v>
      </c>
      <c r="K53">
        <f>MAX(Hit!K53,Stand!K53)</f>
        <v>0.43495775366292722</v>
      </c>
      <c r="N53" s="31">
        <v>30</v>
      </c>
      <c r="O53" s="31" t="str">
        <f>IF(B53=Stand!B53,"S","H")</f>
        <v>S</v>
      </c>
      <c r="P53" s="31" t="str">
        <f>IF(C53=Stand!C53,"S","H")</f>
        <v>S</v>
      </c>
      <c r="Q53" s="31" t="str">
        <f>IF(D53=Stand!D53,"S","H")</f>
        <v>S</v>
      </c>
      <c r="R53" s="31" t="str">
        <f>IF(E53=Stand!E53,"S","H")</f>
        <v>S</v>
      </c>
      <c r="S53" s="31" t="str">
        <f>IF(F53=Stand!F53,"S","H")</f>
        <v>S</v>
      </c>
      <c r="T53" s="31" t="str">
        <f>IF(G53=Stand!G53,"S","H")</f>
        <v>S</v>
      </c>
      <c r="U53" s="31" t="str">
        <f>IF(H53=Stand!H53,"S","H")</f>
        <v>S</v>
      </c>
      <c r="V53" s="31" t="str">
        <f>IF(I53=Stand!I53,"S","H")</f>
        <v>S</v>
      </c>
      <c r="W53" s="31" t="str">
        <f>IF(J53=Stand!J53,"S","H")</f>
        <v>S</v>
      </c>
      <c r="X53" s="31" t="str">
        <f>IF(K53=Stand!K53,"S","H")</f>
        <v>S</v>
      </c>
    </row>
    <row r="54" spans="1:24" x14ac:dyDescent="0.2">
      <c r="A54">
        <v>31</v>
      </c>
      <c r="B54">
        <f>MAX(Hit!B54,Stand!B54)</f>
        <v>0.65780643070815525</v>
      </c>
      <c r="C54">
        <f>MAX(Hit!C54,Stand!C54)</f>
        <v>0.88200651549403997</v>
      </c>
      <c r="D54">
        <f>MAX(Hit!D54,Stand!D54)</f>
        <v>0.88530035730174927</v>
      </c>
      <c r="E54">
        <f>MAX(Hit!E54,Stand!E54)</f>
        <v>0.88876729296591961</v>
      </c>
      <c r="F54">
        <f>MAX(Hit!F54,Stand!F54)</f>
        <v>0.89175382659528035</v>
      </c>
      <c r="G54">
        <f>MAX(Hit!G54,Stand!G54)</f>
        <v>0.90283674384257995</v>
      </c>
      <c r="H54">
        <f>MAX(Hit!H54,Stand!H54)</f>
        <v>0.92592629596452325</v>
      </c>
      <c r="I54">
        <f>MAX(Hit!I54,Stand!I54)</f>
        <v>0.93060505318396614</v>
      </c>
      <c r="J54">
        <f>MAX(Hit!J54,Stand!J54)</f>
        <v>0.93917615614724415</v>
      </c>
      <c r="K54">
        <f>MAX(Hit!K54,Stand!K54)</f>
        <v>0.88857566147738598</v>
      </c>
      <c r="N54" s="31">
        <v>31</v>
      </c>
      <c r="O54" s="31" t="str">
        <f>IF(B54=Stand!B54,"S","H")</f>
        <v>S</v>
      </c>
      <c r="P54" s="31" t="str">
        <f>IF(C54=Stand!C54,"S","H")</f>
        <v>S</v>
      </c>
      <c r="Q54" s="31" t="str">
        <f>IF(D54=Stand!D54,"S","H")</f>
        <v>S</v>
      </c>
      <c r="R54" s="31" t="str">
        <f>IF(E54=Stand!E54,"S","H")</f>
        <v>S</v>
      </c>
      <c r="S54" s="31" t="str">
        <f>IF(F54=Stand!F54,"S","H")</f>
        <v>S</v>
      </c>
      <c r="T54" s="31" t="str">
        <f>IF(G54=Stand!G54,"S","H")</f>
        <v>S</v>
      </c>
      <c r="U54" s="31" t="str">
        <f>IF(H54=Stand!H54,"S","H")</f>
        <v>S</v>
      </c>
      <c r="V54" s="31" t="str">
        <f>IF(I54=Stand!I54,"S","H")</f>
        <v>S</v>
      </c>
      <c r="W54" s="31" t="str">
        <f>IF(J54=Stand!J54,"S","H")</f>
        <v>S</v>
      </c>
      <c r="X54" s="31" t="str">
        <f>IF(K54=Stand!K54,"S","H")</f>
        <v>S</v>
      </c>
    </row>
  </sheetData>
  <sheetProtection sheet="1" objects="1" scenarios="1"/>
  <phoneticPr fontId="16" type="noConversion"/>
  <conditionalFormatting sqref="O2:X31">
    <cfRule type="containsText" dxfId="1017" priority="5" operator="containsText" text="S">
      <formula>NOT(ISERROR(SEARCH("S",O2)))</formula>
    </cfRule>
    <cfRule type="containsText" dxfId="1016" priority="6" operator="containsText" text="H">
      <formula>NOT(ISERROR(SEARCH("H",O2)))</formula>
    </cfRule>
  </conditionalFormatting>
  <conditionalFormatting sqref="O35:X54">
    <cfRule type="containsText" dxfId="1015" priority="3" operator="containsText" text="S">
      <formula>NOT(ISERROR(SEARCH("S",O35)))</formula>
    </cfRule>
    <cfRule type="containsText" dxfId="1014" priority="4" operator="containsText" text="H">
      <formula>NOT(ISERROR(SEARCH("H",O35)))</formula>
    </cfRule>
  </conditionalFormatting>
  <conditionalFormatting sqref="O34:X34">
    <cfRule type="containsText" dxfId="1013" priority="1" operator="containsText" text="S">
      <formula>NOT(ISERROR(SEARCH("S",O34)))</formula>
    </cfRule>
    <cfRule type="containsText" dxfId="1012" priority="2" operator="containsText" text="H">
      <formula>NOT(ISERROR(SEARCH("H",O34)))</formula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5717-D1C9-6346-84AE-5198E2AB8EAE}">
  <sheetPr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49" t="s">
        <v>125</v>
      </c>
      <c r="C2" s="155">
        <f>Analysis!B63</f>
        <v>0.25671637792600716</v>
      </c>
      <c r="D2" s="149" t="s">
        <v>126</v>
      </c>
      <c r="E2" s="155">
        <f>Analysis!P63</f>
        <v>0.7432836220739929</v>
      </c>
      <c r="F2" s="149" t="s">
        <v>47</v>
      </c>
      <c r="G2" s="155">
        <f>Analysis!S63</f>
        <v>21.354923044665792</v>
      </c>
      <c r="H2" t="s">
        <v>155</v>
      </c>
      <c r="I2" s="169">
        <f>Analysis!T63</f>
        <v>-22.605008210129071</v>
      </c>
      <c r="J2" t="s">
        <v>48</v>
      </c>
      <c r="K2" s="169">
        <f>C2*G2+E2*I2</f>
        <v>-11.319773884521862</v>
      </c>
      <c r="L2" t="s">
        <v>47</v>
      </c>
      <c r="M2" s="176">
        <v>3</v>
      </c>
      <c r="N2" t="s">
        <v>155</v>
      </c>
      <c r="O2" s="176">
        <v>10</v>
      </c>
    </row>
    <row r="4" spans="1:23" x14ac:dyDescent="0.2">
      <c r="A4" t="s">
        <v>123</v>
      </c>
      <c r="B4">
        <f>$C$2</f>
        <v>0.25671637792600716</v>
      </c>
      <c r="C4" t="s">
        <v>124</v>
      </c>
      <c r="D4">
        <f>$E$2</f>
        <v>0.7432836220739929</v>
      </c>
      <c r="E4" t="s">
        <v>47</v>
      </c>
      <c r="F4">
        <f>G2</f>
        <v>21.354923044665792</v>
      </c>
      <c r="G4" t="s">
        <v>155</v>
      </c>
      <c r="H4">
        <f>I2</f>
        <v>-22.605008210129071</v>
      </c>
      <c r="I4" t="s">
        <v>48</v>
      </c>
      <c r="J4">
        <f>K2</f>
        <v>-11.319773884521862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5">
        <v>-10</v>
      </c>
      <c r="N6" s="104" t="s">
        <v>135</v>
      </c>
      <c r="R6" s="184" t="s">
        <v>49</v>
      </c>
      <c r="S6" s="164" t="s">
        <v>130</v>
      </c>
      <c r="T6" s="165" t="s">
        <v>136</v>
      </c>
      <c r="U6" s="263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0.25671637792600716</v>
      </c>
      <c r="C7" s="95">
        <v>1</v>
      </c>
      <c r="D7" s="22">
        <f>C7*D4</f>
        <v>0.7432836220739929</v>
      </c>
      <c r="E7" s="2"/>
      <c r="F7" s="2"/>
      <c r="G7" s="2"/>
      <c r="H7" s="2"/>
      <c r="I7" s="2"/>
      <c r="J7" s="2"/>
      <c r="K7" s="2"/>
      <c r="L7" s="2"/>
      <c r="M7" s="256"/>
      <c r="N7" s="96">
        <f>B7+D7</f>
        <v>1</v>
      </c>
      <c r="R7" s="296">
        <f>B7-D7</f>
        <v>-0.48656724414798574</v>
      </c>
      <c r="S7" s="297">
        <f>SUM(C7)*B4*F4*POWER(O2,A7-1)</f>
        <v>5.4821584949152227</v>
      </c>
      <c r="T7" s="276">
        <f>SUM(C7)*D4*H4*POWER(O2,A7-1)</f>
        <v>-16.801932379437083</v>
      </c>
      <c r="U7" s="294">
        <f>S7+T7</f>
        <v>-11.319773884521862</v>
      </c>
      <c r="V7" s="109">
        <f>(U7+W7*D7)/B7</f>
        <v>-41.199125462483387</v>
      </c>
      <c r="W7" s="57">
        <f>COUNT(D7:M7)</f>
        <v>1</v>
      </c>
    </row>
    <row r="8" spans="1:23" x14ac:dyDescent="0.2">
      <c r="A8" s="99">
        <v>2</v>
      </c>
      <c r="B8" s="97">
        <f>C8*B4</f>
        <v>0.31725225820741165</v>
      </c>
      <c r="C8" s="97">
        <f>1/(1-B4*D4)</f>
        <v>1.2358084075915585</v>
      </c>
      <c r="D8" s="144">
        <f>C8*D4</f>
        <v>0.91855614938414698</v>
      </c>
      <c r="E8" s="1">
        <f>D8*D4</f>
        <v>0.68274774179258846</v>
      </c>
      <c r="F8" s="1"/>
      <c r="G8" s="1"/>
      <c r="H8" s="1"/>
      <c r="I8" s="1"/>
      <c r="J8" s="1"/>
      <c r="K8" s="1"/>
      <c r="L8" s="1"/>
      <c r="M8" s="257"/>
      <c r="N8" s="97">
        <f>B8+E8</f>
        <v>1</v>
      </c>
      <c r="R8" s="298">
        <f>B8-E8</f>
        <v>-0.36549548358517681</v>
      </c>
      <c r="S8" s="299">
        <f>SUM(C8:D8)*B4*F4*POWER(O2,A8-1)</f>
        <v>118.10567957168637</v>
      </c>
      <c r="T8" s="277">
        <f>SUM(C8:D8)*D4*H4*POWER(O2,A8-1)</f>
        <v>-361.97487606961738</v>
      </c>
      <c r="U8" s="295">
        <f>S8+T8+U7</f>
        <v>-255.18897038245285</v>
      </c>
      <c r="V8" s="93">
        <f>(U8+W8*E8)/B8</f>
        <v>-800.06830001167145</v>
      </c>
      <c r="W8" s="9">
        <f>COUNT(D8:M8)</f>
        <v>2</v>
      </c>
    </row>
    <row r="9" spans="1:23" x14ac:dyDescent="0.2">
      <c r="A9" s="99">
        <v>3</v>
      </c>
      <c r="B9" s="97">
        <f>C9*B4</f>
        <v>0.33593195800144132</v>
      </c>
      <c r="C9" s="97">
        <f>1/(1-D4*B4/(1-D4*B4))</f>
        <v>1.3085723657968809</v>
      </c>
      <c r="D9" s="144">
        <f>C9*D4*C8</f>
        <v>1.2019971935168863</v>
      </c>
      <c r="E9" s="1">
        <f>D9*(D4)</f>
        <v>0.89342482772000542</v>
      </c>
      <c r="F9" s="1">
        <f>E9*D4</f>
        <v>0.66406804199855873</v>
      </c>
      <c r="G9" s="1"/>
      <c r="H9" s="1"/>
      <c r="I9" s="1"/>
      <c r="J9" s="1"/>
      <c r="K9" s="1"/>
      <c r="L9" s="1"/>
      <c r="M9" s="257"/>
      <c r="N9" s="97">
        <f>B9+F9</f>
        <v>1</v>
      </c>
      <c r="R9" s="298">
        <f>B9-F9</f>
        <v>-0.32813608399711741</v>
      </c>
      <c r="S9" s="299">
        <f>SUM(C9:E9)*B4*F4*POWER(O2,A9-1)</f>
        <v>1866.1236745520935</v>
      </c>
      <c r="T9" s="277">
        <f>SUM(C9:E9)*D4*H4*POWER(O2,A9-1)</f>
        <v>-5719.368351092483</v>
      </c>
      <c r="U9" s="295">
        <f t="shared" ref="U9:U16" si="0">S9+T9+U8</f>
        <v>-4108.4336469228419</v>
      </c>
      <c r="V9" s="93">
        <f>(U9+W9*F9)/B9</f>
        <v>-12224.027351334127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0.3421483245985194</v>
      </c>
      <c r="C10" s="97">
        <f>1/(1-D4*B4/(1-D4*B4/(1-D4*B4)))</f>
        <v>1.3327872859640304</v>
      </c>
      <c r="D10" s="144">
        <f>C10*D4*C9</f>
        <v>1.2963227693246318</v>
      </c>
      <c r="E10" s="1">
        <f>D10*D4*C8</f>
        <v>1.1907452513498276</v>
      </c>
      <c r="F10" s="1">
        <f>E10*D4</f>
        <v>0.88506144339070691</v>
      </c>
      <c r="G10" s="1">
        <f>F10*D4</f>
        <v>0.65785167540148082</v>
      </c>
      <c r="H10" s="1"/>
      <c r="I10" s="1"/>
      <c r="J10" s="1"/>
      <c r="K10" s="1"/>
      <c r="L10" s="1"/>
      <c r="M10" s="257"/>
      <c r="N10" s="97">
        <f>B10+G10</f>
        <v>1.0000000000000002</v>
      </c>
      <c r="R10" s="298">
        <f>B10-G10</f>
        <v>-0.31570335080296141</v>
      </c>
      <c r="S10" s="299">
        <f>SUM(C10:F10)*B4*F4*POWER(O2,A10-1)</f>
        <v>25793.099329041481</v>
      </c>
      <c r="T10" s="277">
        <f>SUM(C10:F10)*D4*H4*POWER(O2,A10-1)</f>
        <v>-79051.693084871455</v>
      </c>
      <c r="U10" s="295">
        <f t="shared" si="0"/>
        <v>-57367.027402752821</v>
      </c>
      <c r="V10" s="93">
        <f>(U10+W10*G10)/B10</f>
        <v>-167659.4385296588</v>
      </c>
      <c r="W10" s="9">
        <f t="shared" si="1"/>
        <v>4</v>
      </c>
    </row>
    <row r="11" spans="1:23" x14ac:dyDescent="0.2">
      <c r="A11" s="99">
        <v>5</v>
      </c>
      <c r="B11" s="97">
        <f>C11*B4</f>
        <v>0.34426838957097566</v>
      </c>
      <c r="C11" s="97">
        <f>1/(1-D4*B4/(1-D4*B4/(1-D4*B4/(1-D4*B4))))</f>
        <v>1.3410456798755686</v>
      </c>
      <c r="D11" s="144">
        <f>C11*D4*C10</f>
        <v>1.3284920994556388</v>
      </c>
      <c r="E11" s="1">
        <f>D11*D4*C9</f>
        <v>1.2921450973675521</v>
      </c>
      <c r="F11" s="1">
        <f>E11*D4*C8</f>
        <v>1.1869078250835423</v>
      </c>
      <c r="G11" s="1">
        <f>F11*D4</f>
        <v>0.88220914729606048</v>
      </c>
      <c r="H11" s="1">
        <f>G11*D4</f>
        <v>0.6557316104290245</v>
      </c>
      <c r="I11" s="1"/>
      <c r="J11" s="1"/>
      <c r="K11" s="1"/>
      <c r="L11" s="1"/>
      <c r="M11" s="257"/>
      <c r="N11" s="97">
        <f>B11+H11</f>
        <v>1.0000000000000002</v>
      </c>
      <c r="R11" s="298">
        <f>B11-H11</f>
        <v>-0.31146322085804884</v>
      </c>
      <c r="S11" s="299">
        <f>SUM(C11:G11)*B4*F4*POWER(O2,A11-1)</f>
        <v>330618.00623758388</v>
      </c>
      <c r="T11" s="277">
        <f>SUM(C11:G11)*D4*H4*POWER(O2,A11-1)</f>
        <v>-1013290.9125813399</v>
      </c>
      <c r="U11" s="295">
        <f t="shared" si="0"/>
        <v>-740039.93374650879</v>
      </c>
      <c r="V11" s="93">
        <f>(U11+W11*H11)/B11</f>
        <v>-2149592.2295122249</v>
      </c>
      <c r="W11" s="9">
        <f t="shared" si="1"/>
        <v>5</v>
      </c>
    </row>
    <row r="12" spans="1:23" x14ac:dyDescent="0.2">
      <c r="A12" s="99">
        <v>6</v>
      </c>
      <c r="B12" s="97">
        <f>C12*B4</f>
        <v>0.34499744943442479</v>
      </c>
      <c r="C12" s="97">
        <f>1/(1-D4*B4/(1-D4*B4/(1-D4*B4/(1-D4*B4/(1-D4*B4)))))</f>
        <v>1.3438856228092417</v>
      </c>
      <c r="D12" s="144">
        <f>C12*D4*C11</f>
        <v>1.3395546695830964</v>
      </c>
      <c r="E12" s="1">
        <f>D12*D4*C10</f>
        <v>1.327015046568119</v>
      </c>
      <c r="F12" s="1">
        <f>E12*D4*C9</f>
        <v>1.2907084560446995</v>
      </c>
      <c r="G12" s="1">
        <f>F12*D4*C8</f>
        <v>1.1855881893619769</v>
      </c>
      <c r="H12" s="1">
        <f>G12*D4</f>
        <v>0.88122828367711714</v>
      </c>
      <c r="I12" s="1">
        <f>H12*D4</f>
        <v>0.65500255056557577</v>
      </c>
      <c r="J12" s="1"/>
      <c r="K12" s="1"/>
      <c r="L12" s="1"/>
      <c r="M12" s="257"/>
      <c r="N12" s="97">
        <f>B12+I12</f>
        <v>1.0000000000000004</v>
      </c>
      <c r="R12" s="298">
        <f>B12-I12</f>
        <v>-0.31000510113115098</v>
      </c>
      <c r="S12" s="299">
        <f>SUM(C12:H12)*B4*F4*POWER(O2,A12-1)</f>
        <v>4039243.5616826527</v>
      </c>
      <c r="T12" s="277">
        <f>SUM(C12:H12)*D4*H4*POWER(O2,A12-1)</f>
        <v>-12379630.623670621</v>
      </c>
      <c r="U12" s="295">
        <f t="shared" si="0"/>
        <v>-9080426.9957344774</v>
      </c>
      <c r="V12" s="93">
        <f>(U12+W12*I12)/B12</f>
        <v>-26320261.441367935</v>
      </c>
      <c r="W12" s="9">
        <f t="shared" si="1"/>
        <v>6</v>
      </c>
    </row>
    <row r="13" spans="1:23" x14ac:dyDescent="0.2">
      <c r="A13" s="99">
        <v>7</v>
      </c>
      <c r="B13" s="97">
        <f>C13*B4</f>
        <v>0.34524887667865789</v>
      </c>
      <c r="C13" s="97">
        <f>1/(1-D4*B4/(1-D4*B4/(1-D4*B4/(1-D4*B4/(1-D4*B4/(1-D4*B4))))))</f>
        <v>1.3448650197852521</v>
      </c>
      <c r="D13" s="144">
        <f>C13*D4*C12</f>
        <v>1.3433697630489776</v>
      </c>
      <c r="E13" s="1">
        <f>D13*D4*C11</f>
        <v>1.339040472289083</v>
      </c>
      <c r="F13" s="1">
        <f>E13*D4*C10</f>
        <v>1.3265056626948406</v>
      </c>
      <c r="G13" s="1">
        <f>F13*D4*C9</f>
        <v>1.2902130087064696</v>
      </c>
      <c r="H13" s="1">
        <f>G13*D4*C8</f>
        <v>1.1851330931627497</v>
      </c>
      <c r="I13" s="1">
        <f>H13*D4</f>
        <v>0.88089001812576351</v>
      </c>
      <c r="J13" s="1">
        <f>I13*D4</f>
        <v>0.65475112332134278</v>
      </c>
      <c r="K13" s="1"/>
      <c r="L13" s="1"/>
      <c r="M13" s="257"/>
      <c r="N13" s="97">
        <f>B13+J13</f>
        <v>1.0000000000000007</v>
      </c>
      <c r="R13" s="298">
        <f>B13-J13</f>
        <v>-0.30950224664268489</v>
      </c>
      <c r="S13" s="299">
        <f>SUM(C13:I13)*B4*F4*POWER(O2,A13-1)</f>
        <v>47749693.894703612</v>
      </c>
      <c r="T13" s="277">
        <f>SUM(C13:I13)*D4*H4*POWER(O2,A13-1)</f>
        <v>-146345117.29308122</v>
      </c>
      <c r="U13" s="295">
        <f t="shared" si="0"/>
        <v>-107675850.3941121</v>
      </c>
      <c r="V13" s="93">
        <f>(U13+W13*J13)/B13</f>
        <v>-311878917.16465759</v>
      </c>
      <c r="W13" s="9">
        <f t="shared" si="1"/>
        <v>7</v>
      </c>
    </row>
    <row r="14" spans="1:23" x14ac:dyDescent="0.2">
      <c r="A14" s="99">
        <v>8</v>
      </c>
      <c r="B14" s="97">
        <f>C14*B4</f>
        <v>0.34533567014547373</v>
      </c>
      <c r="C14" s="97">
        <f>1/(1-D4*B4/(1-D4*B4/(1-D4*B4/(1-D4*B4/(1-D4*B4/(1-D4*B4/(1-D4*B4)))))))</f>
        <v>1.3452031106679494</v>
      </c>
      <c r="D14" s="144">
        <f>C14*D4*C13</f>
        <v>1.3446867451808888</v>
      </c>
      <c r="E14" s="1">
        <f>D14*D4*C12</f>
        <v>1.3431916866550659</v>
      </c>
      <c r="F14" s="1">
        <f>E14*D4*C11</f>
        <v>1.3388629697836925</v>
      </c>
      <c r="G14" s="1">
        <f>F14*D4*C10</f>
        <v>1.3263298217972608</v>
      </c>
      <c r="H14" s="1">
        <f>G14*D4*C9</f>
        <v>1.2900419787441404</v>
      </c>
      <c r="I14" s="1">
        <f>H14*D4*C8</f>
        <v>1.1849759925391232</v>
      </c>
      <c r="J14" s="1">
        <f>I14*D4</f>
        <v>0.88077324780520427</v>
      </c>
      <c r="K14" s="1">
        <f>J14*D4</f>
        <v>0.65466432985452672</v>
      </c>
      <c r="L14" s="1"/>
      <c r="M14" s="257"/>
      <c r="N14" s="97">
        <f>B14+K14</f>
        <v>1.0000000000000004</v>
      </c>
      <c r="R14" s="298">
        <f>B14-K14</f>
        <v>-0.30932865970905299</v>
      </c>
      <c r="S14" s="299">
        <f>SUM(C14:J14)*B4*F4*POWER(O2,A14-1)</f>
        <v>551179808.8076365</v>
      </c>
      <c r="T14" s="277">
        <f>SUM(C14:J14)*D4*H4*POWER(O2,A14-1)</f>
        <v>-1689277295.6284587</v>
      </c>
      <c r="U14" s="295">
        <f t="shared" si="0"/>
        <v>-1245773337.2149343</v>
      </c>
      <c r="V14" s="93">
        <f>(U14+W14*K14)/B14</f>
        <v>-3607427322.6766114</v>
      </c>
      <c r="W14" s="9">
        <f t="shared" si="1"/>
        <v>8</v>
      </c>
    </row>
    <row r="15" spans="1:23" x14ac:dyDescent="0.2">
      <c r="A15" s="99">
        <v>9</v>
      </c>
      <c r="B15" s="97">
        <f>C15*B4</f>
        <v>0.34536564165329781</v>
      </c>
      <c r="C15" s="97">
        <f>1/(1-D4*B4/(1-D4*B4/(1-D4*B4/(1-D4*B4/(1-D4*B4/(1-D4*B4/(1-D4*B4/(1-D4*B4))))))))</f>
        <v>1.3453198601642855</v>
      </c>
      <c r="D15" s="144">
        <f>C15*D4*C14</f>
        <v>1.3451415252665191</v>
      </c>
      <c r="E15" s="1">
        <f>D15*D4*C13</f>
        <v>1.3446251834194392</v>
      </c>
      <c r="F15" s="1">
        <f>E15*D4*C12</f>
        <v>1.3431301933396218</v>
      </c>
      <c r="G15" s="1">
        <f>F15*D4*C11</f>
        <v>1.3388016746433522</v>
      </c>
      <c r="H15" s="1">
        <f>G15*D4*C10</f>
        <v>1.3262691004430973</v>
      </c>
      <c r="I15" s="1">
        <f>H15*D4*C9</f>
        <v>1.2899829187014651</v>
      </c>
      <c r="J15" s="1">
        <f>I15*D4*C8</f>
        <v>1.1849217425737408</v>
      </c>
      <c r="K15" s="1">
        <f>J15*D4</f>
        <v>0.88073292469443754</v>
      </c>
      <c r="L15" s="1">
        <f>K15*D4</f>
        <v>0.6546343583467028</v>
      </c>
      <c r="M15" s="257"/>
      <c r="N15" s="97">
        <f>B15+L15</f>
        <v>1.0000000000000007</v>
      </c>
      <c r="R15" s="298">
        <f>B15-L15</f>
        <v>-0.309268716693405</v>
      </c>
      <c r="S15" s="299">
        <f>SUM(C15:K15)*B4*F4*POWER(O2,A15-1)</f>
        <v>6249071419.7305393</v>
      </c>
      <c r="T15" s="277">
        <f>SUM(C15:K15)*D4*H4*POWER(O2,A15-1)</f>
        <v>-19152396911.90451</v>
      </c>
      <c r="U15" s="295">
        <f t="shared" si="0"/>
        <v>-14149098829.388905</v>
      </c>
      <c r="V15" s="93">
        <f>(U15+W15*L15)/B15</f>
        <v>-40968461007.771736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0.34537599261865848</v>
      </c>
      <c r="C16" s="145">
        <f>1/(1-D4*B4/(1-D4*B4/(1-D4*B4/(1-D4*B4/(1-D4*B4/(1-D4*B4/(1-D4*B4/(1-D4*B4/(1-D4*B4)))))))))</f>
        <v>1.3453601807914473</v>
      </c>
      <c r="D16" s="153">
        <f>C16*D4*C15</f>
        <v>1.3452985881991129</v>
      </c>
      <c r="E16" s="111">
        <f>D16*D4*C14</f>
        <v>1.3451202561211471</v>
      </c>
      <c r="F16" s="111">
        <f>E16*D4*C13</f>
        <v>1.3446039224383752</v>
      </c>
      <c r="G16" s="111">
        <f>F16*D4*C12</f>
        <v>1.3431089559970828</v>
      </c>
      <c r="H16" s="111">
        <f>G16*D4*C11</f>
        <v>1.338780505742603</v>
      </c>
      <c r="I16" s="111">
        <f>H16*D4*C10</f>
        <v>1.3262481297052457</v>
      </c>
      <c r="J16" s="111">
        <f>I16*D4*C9</f>
        <v>1.2899625217144493</v>
      </c>
      <c r="K16" s="111">
        <f>J16*D4*C8</f>
        <v>1.1849030067958886</v>
      </c>
      <c r="L16" s="111">
        <f>K16*D4</f>
        <v>0.88071899869761305</v>
      </c>
      <c r="M16" s="259">
        <f>L16*D4</f>
        <v>0.65462400738134208</v>
      </c>
      <c r="N16" s="145">
        <f>B16+M16</f>
        <v>1.0000000000000004</v>
      </c>
      <c r="R16" s="300">
        <f>B16-M16</f>
        <v>-0.3092480147626836</v>
      </c>
      <c r="S16" s="301">
        <f>SUM(C16:L16)*B4*F4*POWER(O2,A16-1)</f>
        <v>69865203848.776718</v>
      </c>
      <c r="T16" s="278">
        <f>SUM(C16:L16)*D4*H4*POWER(O2,A16-1)</f>
        <v>-214125591558.78375</v>
      </c>
      <c r="U16" s="295">
        <f t="shared" si="0"/>
        <v>-158409486539.39594</v>
      </c>
      <c r="V16" s="94">
        <f>(U16+W16*M16)/B16</f>
        <v>-458658070967.18231</v>
      </c>
      <c r="W16" s="10">
        <f t="shared" si="1"/>
        <v>10</v>
      </c>
    </row>
    <row r="18" spans="1:21" x14ac:dyDescent="0.2">
      <c r="A18" s="366" t="s">
        <v>191</v>
      </c>
      <c r="B18" s="366"/>
      <c r="C18" s="366"/>
      <c r="D18" s="366"/>
      <c r="E18" s="366"/>
      <c r="F18" s="366"/>
      <c r="O18" s="366" t="s">
        <v>192</v>
      </c>
      <c r="P18" s="366"/>
      <c r="Q18" s="366"/>
      <c r="R18" s="366"/>
      <c r="S18" s="366"/>
      <c r="T18" s="366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88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10</v>
      </c>
      <c r="D21" s="57">
        <f>SUM($C$21:C21)</f>
        <v>10</v>
      </c>
      <c r="E21" s="57">
        <f t="shared" ref="E21:E30" si="3">D21/R7</f>
        <v>-20.552143861452738</v>
      </c>
      <c r="F21" s="8">
        <f t="shared" ref="F21:F30" si="4">U7/E21</f>
        <v>0.5507831183370141</v>
      </c>
      <c r="G21" s="281">
        <f>E21*U7</f>
        <v>232.64562135380899</v>
      </c>
      <c r="O21" s="101">
        <v>1</v>
      </c>
      <c r="P21" s="109">
        <v>1</v>
      </c>
      <c r="Q21" s="110">
        <f>P21*10+45</f>
        <v>55</v>
      </c>
      <c r="R21" s="57">
        <f>SUM($Q$21)</f>
        <v>55</v>
      </c>
      <c r="S21" s="276">
        <f>R21/R7</f>
        <v>-113.03679123799004</v>
      </c>
      <c r="T21" s="8">
        <f>U7/S21</f>
        <v>0.10014238515218439</v>
      </c>
      <c r="U21" s="281">
        <f>S21*U7</f>
        <v>1279.5509174459494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-300.96131126163442</v>
      </c>
      <c r="F22" s="9">
        <f t="shared" si="4"/>
        <v>0.84791287395943615</v>
      </c>
      <c r="G22" s="282">
        <f t="shared" ref="G22:G30" si="5">E22*U8</f>
        <v>76802.007145809403</v>
      </c>
      <c r="O22" s="99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77">
        <f t="shared" ref="S22:S30" si="7">R22/R8</f>
        <v>-1778.4077483642036</v>
      </c>
      <c r="T22" s="9">
        <f>U8/S22</f>
        <v>0.14349294790082764</v>
      </c>
      <c r="U22" s="282">
        <f t="shared" ref="U22:U30" si="8">S22*U8</f>
        <v>453830.04222523741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-3382.7428744768927</v>
      </c>
      <c r="F23" s="9">
        <f t="shared" si="4"/>
        <v>1.2145273227596911</v>
      </c>
      <c r="G23" s="282">
        <f t="shared" si="5"/>
        <v>13897774.644389357</v>
      </c>
      <c r="O23" s="99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77">
        <f t="shared" si="7"/>
        <v>-20250.744505314371</v>
      </c>
      <c r="T23" s="9">
        <f t="shared" ref="T23:T30" si="11">U9/S23</f>
        <v>0.20287815323751046</v>
      </c>
      <c r="U23" s="282">
        <f t="shared" si="8"/>
        <v>83198840.100871429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-35191.264114691126</v>
      </c>
      <c r="F24" s="9">
        <f t="shared" si="4"/>
        <v>1.6301496648653802</v>
      </c>
      <c r="G24" s="282">
        <f t="shared" si="5"/>
        <v>2018818212.8049979</v>
      </c>
      <c r="O24" s="99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77">
        <f t="shared" si="7"/>
        <v>-211084.23407767926</v>
      </c>
      <c r="T24" s="9">
        <f t="shared" si="11"/>
        <v>0.27177315091017973</v>
      </c>
      <c r="U24" s="282">
        <f t="shared" si="8"/>
        <v>12109275040.623316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-356735.53909159318</v>
      </c>
      <c r="F25" s="9">
        <f t="shared" si="4"/>
        <v>2.0744777367317497</v>
      </c>
      <c r="G25" s="282">
        <f t="shared" si="5"/>
        <v>263998544714.36771</v>
      </c>
      <c r="O25" s="99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77">
        <f t="shared" si="7"/>
        <v>-2140332.9682506006</v>
      </c>
      <c r="T25" s="9">
        <f t="shared" si="11"/>
        <v>0.34575925555703596</v>
      </c>
      <c r="U25" s="282">
        <f t="shared" si="8"/>
        <v>1583931868019.6431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-3584166.8280482036</v>
      </c>
      <c r="F26" s="9">
        <f t="shared" si="4"/>
        <v>2.5334833536973838</v>
      </c>
      <c r="G26" s="282">
        <f t="shared" si="5"/>
        <v>32545765222624.922</v>
      </c>
      <c r="O26" s="99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77">
        <f t="shared" si="7"/>
        <v>-21504904.195688091</v>
      </c>
      <c r="T26" s="9">
        <f t="shared" si="11"/>
        <v>0.4222491257391966</v>
      </c>
      <c r="U26" s="282">
        <f t="shared" si="8"/>
        <v>195273712599209.78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-35899933.265517093</v>
      </c>
      <c r="F27" s="9">
        <f t="shared" si="4"/>
        <v>2.9993328844858276</v>
      </c>
      <c r="G27" s="282">
        <f t="shared" si="5"/>
        <v>3865555843456426.5</v>
      </c>
      <c r="O27" s="99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77">
        <f t="shared" si="7"/>
        <v>-215399486.50830147</v>
      </c>
      <c r="T27" s="9">
        <f t="shared" si="11"/>
        <v>0.49988907652276265</v>
      </c>
      <c r="U27" s="282">
        <f t="shared" si="8"/>
        <v>2.3193322884236436E+16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-359200825.76411903</v>
      </c>
      <c r="F28" s="9">
        <f t="shared" si="4"/>
        <v>3.4681806049995334</v>
      </c>
      <c r="G28" s="282">
        <f t="shared" si="5"/>
        <v>4.4748281144252672E+17</v>
      </c>
      <c r="O28" s="99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77">
        <f t="shared" si="7"/>
        <v>-2155204825.2724156</v>
      </c>
      <c r="T28" s="9">
        <f t="shared" si="11"/>
        <v>0.5780301355150641</v>
      </c>
      <c r="U28" s="282">
        <f t="shared" si="8"/>
        <v>2.6848967075613466E+18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-3592704499.4386072</v>
      </c>
      <c r="F29" s="9">
        <f t="shared" si="4"/>
        <v>3.938286277538225</v>
      </c>
      <c r="G29" s="282">
        <f t="shared" si="5"/>
        <v>5.0833531027347046E+19</v>
      </c>
      <c r="O29" s="99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77">
        <f t="shared" si="7"/>
        <v>-21556226851.12711</v>
      </c>
      <c r="T29" s="9">
        <f t="shared" si="11"/>
        <v>0.65638105068694297</v>
      </c>
      <c r="U29" s="282">
        <f t="shared" si="8"/>
        <v>3.0500118410532428E+20</v>
      </c>
    </row>
    <row r="30" spans="1:21" ht="17" thickBot="1" x14ac:dyDescent="0.25">
      <c r="A30" s="145">
        <v>10</v>
      </c>
      <c r="B30" s="94">
        <f t="shared" si="9"/>
        <v>1000000000</v>
      </c>
      <c r="C30" s="111">
        <f t="shared" si="2"/>
        <v>10000000000</v>
      </c>
      <c r="D30" s="10">
        <f>SUM($C$21:C30)</f>
        <v>11111111110</v>
      </c>
      <c r="E30" s="10">
        <f t="shared" si="3"/>
        <v>-35929450084.026077</v>
      </c>
      <c r="F30" s="10">
        <f t="shared" si="4"/>
        <v>4.4089037313104722</v>
      </c>
      <c r="G30" s="283">
        <f t="shared" si="5"/>
        <v>5.6915657394534272E+21</v>
      </c>
      <c r="O30" s="100">
        <v>10</v>
      </c>
      <c r="P30" s="94">
        <f t="shared" si="10"/>
        <v>5999999995</v>
      </c>
      <c r="Q30" s="111">
        <f t="shared" si="6"/>
        <v>59999999995</v>
      </c>
      <c r="R30" s="10">
        <f>SUM($Q$21:Q30)</f>
        <v>66666666610</v>
      </c>
      <c r="S30" s="278">
        <f t="shared" si="7"/>
        <v>-215576700342.47394</v>
      </c>
      <c r="T30" s="10">
        <f t="shared" si="11"/>
        <v>0.73481728910285837</v>
      </c>
      <c r="U30" s="283">
        <f t="shared" si="8"/>
        <v>3.4149394411108516E+22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5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89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10</v>
      </c>
      <c r="D33" s="57">
        <f>SUM($C$33:C33)</f>
        <v>10</v>
      </c>
      <c r="E33" s="9">
        <f t="shared" ref="E33:E42" si="13">D33/R7</f>
        <v>-20.552143861452738</v>
      </c>
      <c r="F33" s="8">
        <f t="shared" ref="F33:F42" si="14">U7/E33</f>
        <v>0.5507831183370141</v>
      </c>
      <c r="G33" s="284">
        <f>E33*U7</f>
        <v>232.64562135380899</v>
      </c>
      <c r="O33" s="101">
        <v>1</v>
      </c>
      <c r="P33" s="109">
        <v>1</v>
      </c>
      <c r="Q33" s="110">
        <f>P33*10+45</f>
        <v>55</v>
      </c>
      <c r="R33" s="57">
        <f>SUM($Q$21)</f>
        <v>55</v>
      </c>
      <c r="S33" s="276">
        <f>R33/R7</f>
        <v>-113.03679123799004</v>
      </c>
      <c r="T33" s="8">
        <f>U7/S33</f>
        <v>0.10014238515218439</v>
      </c>
      <c r="U33" s="284">
        <f>S33*U7</f>
        <v>1279.5509174459494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-328.32143046723758</v>
      </c>
      <c r="F34" s="9">
        <f t="shared" si="14"/>
        <v>0.77725346779614968</v>
      </c>
      <c r="G34" s="282">
        <f t="shared" ref="G34:G42" si="16">E34*U8</f>
        <v>83784.00779542845</v>
      </c>
      <c r="O34" s="99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77">
        <f>R34/R8</f>
        <v>-1805.7678675698066</v>
      </c>
      <c r="T34" s="9">
        <f t="shared" ref="T34:T42" si="18">U8/S34</f>
        <v>0.14131881232657267</v>
      </c>
      <c r="U34" s="282">
        <f t="shared" ref="U34:U42" si="19">S34*U8</f>
        <v>460812.04287485644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-4053.1964171660065</v>
      </c>
      <c r="F35" s="9">
        <f t="shared" si="14"/>
        <v>1.0136280663633512</v>
      </c>
      <c r="G35" s="282">
        <f t="shared" si="16"/>
        <v>16652288.537871933</v>
      </c>
      <c r="O35" s="99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77">
        <f t="shared" ref="S35:S42" si="21">R35/R9</f>
        <v>-20616.446437690251</v>
      </c>
      <c r="T35" s="9">
        <f t="shared" si="18"/>
        <v>0.199279427681191</v>
      </c>
      <c r="U35" s="282">
        <f t="shared" si="19"/>
        <v>84701302.224589184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-46372.646862203248</v>
      </c>
      <c r="F36" s="9">
        <f t="shared" si="14"/>
        <v>1.2370876213561732</v>
      </c>
      <c r="G36" s="282">
        <f t="shared" si="16"/>
        <v>2660260903.2821932</v>
      </c>
      <c r="O36" s="99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77">
        <f t="shared" si="21"/>
        <v>-214980.29662142994</v>
      </c>
      <c r="T36" s="9">
        <f t="shared" si="18"/>
        <v>0.26684783817083213</v>
      </c>
      <c r="U36" s="282">
        <f t="shared" si="19"/>
        <v>12332780567.333502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-517075.49789128866</v>
      </c>
      <c r="F37" s="9">
        <f t="shared" si="14"/>
        <v>1.431202864503351</v>
      </c>
      <c r="G37" s="282">
        <f t="shared" si="16"/>
        <v>382656517201.41229</v>
      </c>
      <c r="O37" s="99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77">
        <f t="shared" si="21"/>
        <v>-2179952.4134165645</v>
      </c>
      <c r="T37" s="9">
        <f t="shared" si="18"/>
        <v>0.33947526982328463</v>
      </c>
      <c r="U37" s="282">
        <f t="shared" si="19"/>
        <v>1613251839595.3362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-5714615.6419230103</v>
      </c>
      <c r="F38" s="9">
        <f t="shared" si="14"/>
        <v>1.5889829806084468</v>
      </c>
      <c r="G38" s="282">
        <f t="shared" si="16"/>
        <v>51891150145164.211</v>
      </c>
      <c r="O38" s="99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77">
        <f t="shared" si="21"/>
        <v>-21903123.449337643</v>
      </c>
      <c r="T38" s="9">
        <f t="shared" si="18"/>
        <v>0.41457224202464477</v>
      </c>
      <c r="U38" s="282">
        <f t="shared" si="19"/>
        <v>198889713460270.41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-62962935.524334364</v>
      </c>
      <c r="F39" s="9">
        <f t="shared" si="14"/>
        <v>1.7101466044653646</v>
      </c>
      <c r="G39" s="282">
        <f t="shared" si="16"/>
        <v>6779587625892353</v>
      </c>
      <c r="O39" s="99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77">
        <f t="shared" si="21"/>
        <v>-219388342.85229203</v>
      </c>
      <c r="T39" s="9">
        <f t="shared" si="18"/>
        <v>0.49080023575640569</v>
      </c>
      <c r="U39" s="282">
        <f t="shared" si="19"/>
        <v>2.3622826383175568E+16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-692980987.28265512</v>
      </c>
      <c r="F40" s="9">
        <f t="shared" si="14"/>
        <v>1.7977020438899929</v>
      </c>
      <c r="G40" s="282">
        <f t="shared" si="16"/>
        <v>8.6329723715361331E+17</v>
      </c>
      <c r="O40" s="99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77">
        <f t="shared" si="21"/>
        <v>-2195115999.3990288</v>
      </c>
      <c r="T40" s="9">
        <f t="shared" si="18"/>
        <v>0.56752050349776406</v>
      </c>
      <c r="U40" s="282">
        <f t="shared" si="19"/>
        <v>2.7346169841452237E+18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-7624268355.3977509</v>
      </c>
      <c r="F41" s="9">
        <f t="shared" si="14"/>
        <v>1.8557975886790201</v>
      </c>
      <c r="G41" s="282">
        <f t="shared" si="16"/>
        <v>1.0787652646230519E+20</v>
      </c>
      <c r="O41" s="99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77">
        <f t="shared" si="21"/>
        <v>-21955416207.619282</v>
      </c>
      <c r="T41" s="9">
        <f t="shared" si="18"/>
        <v>0.64444685063536544</v>
      </c>
      <c r="U41" s="282">
        <f t="shared" si="19"/>
        <v>3.1064935376197216E+20</v>
      </c>
    </row>
    <row r="42" spans="1:21" ht="17" thickBot="1" x14ac:dyDescent="0.25">
      <c r="A42" s="145">
        <v>10</v>
      </c>
      <c r="B42" s="94">
        <f t="shared" si="15"/>
        <v>2357947691</v>
      </c>
      <c r="C42" s="111">
        <f t="shared" si="12"/>
        <v>23579476910</v>
      </c>
      <c r="D42" s="10">
        <f>SUM($C$33:C42)</f>
        <v>25937424600</v>
      </c>
      <c r="E42" s="9">
        <f t="shared" si="13"/>
        <v>-83872566231.037369</v>
      </c>
      <c r="F42" s="10">
        <f t="shared" si="14"/>
        <v>1.88869249693681</v>
      </c>
      <c r="G42" s="283">
        <f t="shared" si="16"/>
        <v>1.3286210151400109E+22</v>
      </c>
      <c r="O42" s="100">
        <v>10</v>
      </c>
      <c r="P42" s="94">
        <f t="shared" si="20"/>
        <v>6111111106</v>
      </c>
      <c r="Q42" s="111">
        <f t="shared" si="17"/>
        <v>61111111105</v>
      </c>
      <c r="R42" s="10">
        <f>SUM($Q$33:Q42)</f>
        <v>67901234500</v>
      </c>
      <c r="S42" s="278">
        <f t="shared" si="21"/>
        <v>-219568861426.99182</v>
      </c>
      <c r="T42" s="10">
        <f t="shared" si="18"/>
        <v>0.72145697486375227</v>
      </c>
      <c r="U42" s="283">
        <f t="shared" si="19"/>
        <v>3.4781790598689553E+22</v>
      </c>
    </row>
    <row r="43" spans="1:21" ht="17" thickBot="1" x14ac:dyDescent="0.25">
      <c r="U43" s="280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5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89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10</v>
      </c>
      <c r="D45" s="57">
        <f>SUM(C45:C45)</f>
        <v>10</v>
      </c>
      <c r="E45" s="57">
        <f t="shared" ref="E45:E54" si="23">D45/R7</f>
        <v>-20.552143861452738</v>
      </c>
      <c r="F45" s="8">
        <f t="shared" ref="F45:F54" si="24">U7/E45</f>
        <v>0.5507831183370141</v>
      </c>
      <c r="G45" s="281">
        <f>E45*U7</f>
        <v>232.64562135380899</v>
      </c>
      <c r="O45" s="101">
        <v>1</v>
      </c>
      <c r="P45" s="109">
        <v>1</v>
      </c>
      <c r="Q45" s="110">
        <f>P45*10+45</f>
        <v>55</v>
      </c>
      <c r="R45" s="57">
        <f>SUM($Q$21)</f>
        <v>55</v>
      </c>
      <c r="S45" s="276">
        <f>R45/R7</f>
        <v>-113.03679123799004</v>
      </c>
      <c r="T45" s="8">
        <f>U7/S45</f>
        <v>0.10014238515218439</v>
      </c>
      <c r="U45" s="284">
        <f>S45*U7</f>
        <v>1279.5509174459494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-574.5625033176658</v>
      </c>
      <c r="F46" s="9">
        <f t="shared" si="24"/>
        <v>0.44414483874065697</v>
      </c>
      <c r="G46" s="282">
        <f t="shared" ref="G46:G54" si="26">E46*U8</f>
        <v>146622.01364199977</v>
      </c>
      <c r="O46" s="99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77">
        <f t="shared" ref="S46:S54" si="28">R46/R8</f>
        <v>-3283.2143046723759</v>
      </c>
      <c r="T46" s="9">
        <f t="shared" ref="T46:T54" si="29">U8/S46</f>
        <v>7.7725346779614971E-2</v>
      </c>
      <c r="U46" s="282">
        <f t="shared" ref="U46:U54" si="30">S46*U8</f>
        <v>837840.0779542845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-12830.042794187133</v>
      </c>
      <c r="F47" s="9">
        <f t="shared" si="24"/>
        <v>0.32021979293664066</v>
      </c>
      <c r="G47" s="282">
        <f t="shared" si="26"/>
        <v>52711379.507098369</v>
      </c>
      <c r="O47" s="99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77">
        <f t="shared" si="28"/>
        <v>-73582.276310130241</v>
      </c>
      <c r="T47" s="9">
        <f t="shared" si="29"/>
        <v>5.5834554908397477E-2</v>
      </c>
      <c r="U47" s="282">
        <f t="shared" si="30"/>
        <v>302307899.80971265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-266737.74537336989</v>
      </c>
      <c r="F48" s="9">
        <f t="shared" si="24"/>
        <v>0.21506902715419043</v>
      </c>
      <c r="G48" s="282">
        <f t="shared" si="26"/>
        <v>15301951548.182615</v>
      </c>
      <c r="O48" s="99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77">
        <f t="shared" si="28"/>
        <v>-1530202.320537006</v>
      </c>
      <c r="T48" s="9">
        <f t="shared" si="29"/>
        <v>3.7489831660051695E-2</v>
      </c>
      <c r="U48" s="282">
        <f t="shared" si="30"/>
        <v>87783158454.00238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-5407412.1347624166</v>
      </c>
      <c r="F49" s="9">
        <f t="shared" si="24"/>
        <v>0.13685658043133855</v>
      </c>
      <c r="G49" s="282">
        <f t="shared" si="26"/>
        <v>4001700917949.6465</v>
      </c>
      <c r="O49" s="99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77">
        <f t="shared" si="28"/>
        <v>-31021431.594337516</v>
      </c>
      <c r="T49" s="9">
        <f t="shared" si="29"/>
        <v>2.3855763441993815E-2</v>
      </c>
      <c r="U49" s="282">
        <f t="shared" si="30"/>
        <v>22957098181795.391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-108656953.95686258</v>
      </c>
      <c r="F50" s="9">
        <f t="shared" si="24"/>
        <v>8.356968113922518E-2</v>
      </c>
      <c r="G50" s="282">
        <f t="shared" si="26"/>
        <v>986651537984173.12</v>
      </c>
      <c r="O50" s="99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77">
        <f t="shared" si="28"/>
        <v>-623347742.64971638</v>
      </c>
      <c r="T50" s="9">
        <f t="shared" si="29"/>
        <v>1.4567193196426038E-2</v>
      </c>
      <c r="U50" s="282">
        <f t="shared" si="30"/>
        <v>5660263670086632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-2176669853.9599199</v>
      </c>
      <c r="F51" s="9">
        <f t="shared" si="24"/>
        <v>4.9468158985260052E-2</v>
      </c>
      <c r="G51" s="282">
        <f t="shared" si="26"/>
        <v>2.3437477755236218E+17</v>
      </c>
      <c r="O51" s="99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77">
        <f t="shared" si="28"/>
        <v>-12487211213.887793</v>
      </c>
      <c r="T51" s="9">
        <f t="shared" si="29"/>
        <v>8.6228901353377595E-3</v>
      </c>
      <c r="U51" s="282">
        <f t="shared" si="30"/>
        <v>1.3445710865062607E+18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-43557826884.431007</v>
      </c>
      <c r="F52" s="9">
        <f t="shared" si="24"/>
        <v>2.8600447412591525E-2</v>
      </c>
      <c r="G52" s="282">
        <f t="shared" si="26"/>
        <v>5.4263179359648006E+19</v>
      </c>
      <c r="O52" s="99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77">
        <f t="shared" si="28"/>
        <v>-249884375223.1142</v>
      </c>
      <c r="T52" s="9">
        <f t="shared" si="29"/>
        <v>4.9853990914902986E-3</v>
      </c>
      <c r="U52" s="282">
        <f t="shared" si="30"/>
        <v>3.1129929203956784E+20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-871325386838.73413</v>
      </c>
      <c r="F53" s="9">
        <f t="shared" si="24"/>
        <v>1.6238593576073133E-2</v>
      </c>
      <c r="G53" s="282">
        <f t="shared" si="26"/>
        <v>1.2328469010936767E+22</v>
      </c>
      <c r="O53" s="99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77">
        <f t="shared" si="28"/>
        <v>-4998656166532.2363</v>
      </c>
      <c r="T53" s="9">
        <f t="shared" si="29"/>
        <v>2.8305805316481067E-3</v>
      </c>
      <c r="U53" s="282">
        <f t="shared" si="30"/>
        <v>7.0726480114398894E+22</v>
      </c>
    </row>
    <row r="54" spans="1:21" ht="17" thickBot="1" x14ac:dyDescent="0.25">
      <c r="A54" s="145">
        <v>10</v>
      </c>
      <c r="B54" s="94">
        <f t="shared" si="25"/>
        <v>512000000000</v>
      </c>
      <c r="C54" s="111">
        <f t="shared" si="22"/>
        <v>5120000000000</v>
      </c>
      <c r="D54" s="10">
        <f>SUM($C$45:C54)</f>
        <v>5389473684210</v>
      </c>
      <c r="E54" s="10">
        <f t="shared" si="23"/>
        <v>-17427674316182.346</v>
      </c>
      <c r="F54" s="10">
        <f t="shared" si="24"/>
        <v>9.089536771541909E-3</v>
      </c>
      <c r="G54" s="283">
        <f t="shared" si="26"/>
        <v>2.7607089400022633E+24</v>
      </c>
      <c r="O54" s="100">
        <v>10</v>
      </c>
      <c r="P54" s="94">
        <f t="shared" si="31"/>
        <v>2937263157890</v>
      </c>
      <c r="Q54" s="111">
        <f t="shared" si="27"/>
        <v>29372631578945</v>
      </c>
      <c r="R54" s="10">
        <f>SUM($Q$45:Q54)</f>
        <v>30918559556760</v>
      </c>
      <c r="S54" s="278">
        <f t="shared" si="28"/>
        <v>-99979815813811.609</v>
      </c>
      <c r="T54" s="10">
        <f t="shared" si="29"/>
        <v>1.5844146666002621E-3</v>
      </c>
      <c r="U54" s="283">
        <f t="shared" si="30"/>
        <v>1.5837751287369274E+25</v>
      </c>
    </row>
  </sheetData>
  <mergeCells count="2">
    <mergeCell ref="A18:F18"/>
    <mergeCell ref="O18:T18"/>
  </mergeCells>
  <conditionalFormatting sqref="F45:F54">
    <cfRule type="cellIs" dxfId="148" priority="31" operator="equal">
      <formula>MAX($F$45:$F$54)</formula>
    </cfRule>
  </conditionalFormatting>
  <conditionalFormatting sqref="F21:F30">
    <cfRule type="cellIs" dxfId="147" priority="30" operator="equal">
      <formula>MAX($F$21:$F$30)</formula>
    </cfRule>
  </conditionalFormatting>
  <conditionalFormatting sqref="E33:E42">
    <cfRule type="cellIs" dxfId="146" priority="28" stopIfTrue="1" operator="lessThan">
      <formula>0</formula>
    </cfRule>
    <cfRule type="cellIs" dxfId="145" priority="29" operator="equal">
      <formula>MIN($E$33:$E$42)</formula>
    </cfRule>
  </conditionalFormatting>
  <conditionalFormatting sqref="E21:E30">
    <cfRule type="cellIs" dxfId="144" priority="26" stopIfTrue="1" operator="lessThan">
      <formula>0</formula>
    </cfRule>
    <cfRule type="cellIs" dxfId="143" priority="27" operator="equal">
      <formula>MIN($E$21:$E$30)</formula>
    </cfRule>
  </conditionalFormatting>
  <conditionalFormatting sqref="E45:E54">
    <cfRule type="cellIs" dxfId="142" priority="24" stopIfTrue="1" operator="lessThan">
      <formula>0</formula>
    </cfRule>
    <cfRule type="cellIs" dxfId="141" priority="25" operator="equal">
      <formula>MIN($E$45:$E$54)</formula>
    </cfRule>
  </conditionalFormatting>
  <conditionalFormatting sqref="F33:F42">
    <cfRule type="cellIs" dxfId="140" priority="22" operator="lessThanOrEqual">
      <formula>0</formula>
    </cfRule>
    <cfRule type="cellIs" dxfId="139" priority="23" operator="equal">
      <formula>MAX($F$33:$F$42)</formula>
    </cfRule>
  </conditionalFormatting>
  <conditionalFormatting sqref="R7:R16">
    <cfRule type="cellIs" dxfId="138" priority="20" operator="lessThanOrEqual">
      <formula>0</formula>
    </cfRule>
    <cfRule type="cellIs" dxfId="137" priority="21" operator="greaterThan">
      <formula>0</formula>
    </cfRule>
  </conditionalFormatting>
  <conditionalFormatting sqref="T21:T30">
    <cfRule type="cellIs" dxfId="136" priority="17" operator="equal">
      <formula>MAX($T$21:$T$30)</formula>
    </cfRule>
  </conditionalFormatting>
  <conditionalFormatting sqref="S33:S42">
    <cfRule type="cellIs" dxfId="135" priority="15" stopIfTrue="1" operator="lessThan">
      <formula>0</formula>
    </cfRule>
    <cfRule type="cellIs" dxfId="134" priority="16" operator="equal">
      <formula>MIN($E$21:$E$30)</formula>
    </cfRule>
  </conditionalFormatting>
  <conditionalFormatting sqref="T33:T42">
    <cfRule type="cellIs" dxfId="133" priority="14" operator="equal">
      <formula>MAX($T$21:$T$30)</formula>
    </cfRule>
  </conditionalFormatting>
  <conditionalFormatting sqref="S45:S54">
    <cfRule type="cellIs" dxfId="132" priority="12" stopIfTrue="1" operator="lessThan">
      <formula>0</formula>
    </cfRule>
    <cfRule type="cellIs" dxfId="131" priority="13" operator="equal">
      <formula>MIN($E$21:$E$30)</formula>
    </cfRule>
  </conditionalFormatting>
  <conditionalFormatting sqref="T45:T54">
    <cfRule type="cellIs" dxfId="130" priority="11" operator="equal">
      <formula>MAX($T$21:$T$30)</formula>
    </cfRule>
  </conditionalFormatting>
  <conditionalFormatting sqref="S21:S30">
    <cfRule type="cellIs" dxfId="129" priority="9" stopIfTrue="1" operator="lessThan">
      <formula>0</formula>
    </cfRule>
    <cfRule type="cellIs" dxfId="128" priority="10" operator="equal">
      <formula>MIN($E$21:$E$30)</formula>
    </cfRule>
  </conditionalFormatting>
  <conditionalFormatting sqref="U7:U16">
    <cfRule type="cellIs" dxfId="127" priority="5" operator="lessThanOrEqual">
      <formula>0</formula>
    </cfRule>
    <cfRule type="cellIs" dxfId="126" priority="6" operator="greaterThan">
      <formula>0</formula>
    </cfRule>
  </conditionalFormatting>
  <conditionalFormatting sqref="S7:T16">
    <cfRule type="cellIs" dxfId="125" priority="1" operator="lessThanOrEqual">
      <formula>0</formula>
    </cfRule>
    <cfRule type="cellIs" dxfId="12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AA71"/>
  <sheetViews>
    <sheetView topLeftCell="A7" workbookViewId="0">
      <selection activeCell="D29" sqref="D29"/>
    </sheetView>
  </sheetViews>
  <sheetFormatPr baseColWidth="10" defaultColWidth="8.83203125" defaultRowHeight="16" x14ac:dyDescent="0.2"/>
  <cols>
    <col min="1" max="27" width="6.6640625" customWidth="1"/>
  </cols>
  <sheetData>
    <row r="1" spans="1:27" x14ac:dyDescent="0.2">
      <c r="B1" s="367" t="s">
        <v>48</v>
      </c>
      <c r="C1" s="367"/>
      <c r="D1" s="367"/>
      <c r="E1" s="367"/>
      <c r="F1" s="367"/>
      <c r="G1" s="367"/>
      <c r="H1" s="367"/>
      <c r="I1" s="367"/>
      <c r="J1" s="367"/>
      <c r="L1" s="367" t="s">
        <v>48</v>
      </c>
      <c r="M1" s="367"/>
      <c r="N1" s="367"/>
      <c r="O1" s="367"/>
      <c r="P1" s="367"/>
      <c r="Q1" s="367"/>
      <c r="R1" s="367"/>
      <c r="S1" s="367"/>
      <c r="U1" s="367" t="s">
        <v>48</v>
      </c>
      <c r="V1" s="367"/>
      <c r="W1" s="367"/>
      <c r="X1" s="367"/>
      <c r="Y1" s="367"/>
      <c r="Z1" s="367"/>
      <c r="AA1" s="367"/>
    </row>
    <row r="2" spans="1:27" x14ac:dyDescent="0.2">
      <c r="A2" s="31" t="s">
        <v>57</v>
      </c>
      <c r="B2" s="49" t="s">
        <v>141</v>
      </c>
      <c r="C2" s="49" t="s">
        <v>142</v>
      </c>
      <c r="D2" s="49" t="s">
        <v>143</v>
      </c>
      <c r="E2" s="49" t="s">
        <v>144</v>
      </c>
      <c r="F2" s="49" t="s">
        <v>145</v>
      </c>
      <c r="G2" s="49" t="s">
        <v>146</v>
      </c>
      <c r="H2" s="49" t="s">
        <v>147</v>
      </c>
      <c r="I2" s="49" t="s">
        <v>148</v>
      </c>
      <c r="J2" s="49" t="s">
        <v>149</v>
      </c>
      <c r="K2" s="31" t="s">
        <v>57</v>
      </c>
      <c r="L2" s="49" t="s">
        <v>158</v>
      </c>
      <c r="M2" s="49" t="s">
        <v>159</v>
      </c>
      <c r="N2" s="49" t="s">
        <v>160</v>
      </c>
      <c r="O2" s="49" t="s">
        <v>161</v>
      </c>
      <c r="P2" s="49" t="s">
        <v>162</v>
      </c>
      <c r="Q2" s="49" t="s">
        <v>163</v>
      </c>
      <c r="R2" s="49" t="s">
        <v>164</v>
      </c>
      <c r="S2" s="49" t="s">
        <v>165</v>
      </c>
      <c r="T2" s="31" t="s">
        <v>57</v>
      </c>
      <c r="U2" s="49" t="s">
        <v>169</v>
      </c>
      <c r="V2" s="49" t="s">
        <v>170</v>
      </c>
      <c r="W2" s="49" t="s">
        <v>171</v>
      </c>
      <c r="X2" s="49" t="s">
        <v>172</v>
      </c>
      <c r="Y2" s="49" t="s">
        <v>173</v>
      </c>
      <c r="Z2" s="49" t="s">
        <v>174</v>
      </c>
      <c r="AA2" s="49" t="s">
        <v>175</v>
      </c>
    </row>
    <row r="3" spans="1:27" x14ac:dyDescent="0.2">
      <c r="A3" s="274">
        <v>1</v>
      </c>
      <c r="B3" s="1">
        <f>'1x2'!U7</f>
        <v>8.8550719485284368E-2</v>
      </c>
      <c r="C3" s="1">
        <f>'1x3'!U7</f>
        <v>0.3735662319295775</v>
      </c>
      <c r="D3" s="1">
        <f>'1x4'!U7</f>
        <v>0.69910452506149046</v>
      </c>
      <c r="E3" s="1">
        <f>'1x5'!U7</f>
        <v>1.0481326433028733</v>
      </c>
      <c r="F3" s="1">
        <f>'1x6'!U7</f>
        <v>1.4122238931461972</v>
      </c>
      <c r="G3" s="1">
        <f>'1x7'!U7</f>
        <v>1.7864120993682504</v>
      </c>
      <c r="H3" s="1">
        <f>'1x8'!U7</f>
        <v>2.1674692073715383</v>
      </c>
      <c r="I3" s="1">
        <f>'1x9'!U7</f>
        <v>2.5531918611407871</v>
      </c>
      <c r="J3" s="1">
        <f>'1x10'!U7</f>
        <v>2.9420469065609449</v>
      </c>
      <c r="K3" s="274">
        <v>1</v>
      </c>
      <c r="L3" s="1">
        <f>'2x3'!U7</f>
        <v>-0.78189150743510027</v>
      </c>
      <c r="M3" s="1">
        <f>'2x4'!U7</f>
        <v>-0.72599486891678078</v>
      </c>
      <c r="N3" s="1">
        <f>'2x5'!U7</f>
        <v>-0.64384955541173738</v>
      </c>
      <c r="O3" s="1">
        <f>'2x6'!U7</f>
        <v>-0.55486156768717532</v>
      </c>
      <c r="P3" s="1">
        <f>'2x7'!U7</f>
        <v>-0.46888637054718174</v>
      </c>
      <c r="Q3" s="1">
        <f>'2x8'!U7</f>
        <v>-0.39077277531745391</v>
      </c>
      <c r="R3" s="1">
        <f>'2x9'!U7</f>
        <v>-0.32256403400269473</v>
      </c>
      <c r="S3" s="1">
        <f>'2x10'!U7</f>
        <v>-0.26469591349183386</v>
      </c>
      <c r="T3" s="274">
        <v>1</v>
      </c>
      <c r="U3" s="1">
        <f>'3x4'!U7</f>
        <v>-2.7912533943912736</v>
      </c>
      <c r="V3" s="1">
        <f>'3x5'!U7</f>
        <v>-3.2310393152575481</v>
      </c>
      <c r="W3" s="1">
        <f>'3x6'!U7</f>
        <v>-3.675687754442297</v>
      </c>
      <c r="X3" s="1">
        <f>'3x7'!U7</f>
        <v>-4.1368716463621862</v>
      </c>
      <c r="Y3" s="1">
        <f>'3x8'!U7</f>
        <v>-4.6194441632662091</v>
      </c>
      <c r="Z3" s="1">
        <f>'3x9'!U7</f>
        <v>-5.1244559659732136</v>
      </c>
      <c r="AA3" s="1">
        <f>'3x10'!U7</f>
        <v>-5.6508809219950296</v>
      </c>
    </row>
    <row r="4" spans="1:27" x14ac:dyDescent="0.2">
      <c r="A4">
        <v>2</v>
      </c>
      <c r="B4" s="1">
        <f>'1x2'!U8</f>
        <v>0.42935940618750656</v>
      </c>
      <c r="C4" s="1">
        <f>'1x3'!U8</f>
        <v>2.4070313133674213</v>
      </c>
      <c r="D4" s="1">
        <f>'1x4'!U8</f>
        <v>5.5828584017657237</v>
      </c>
      <c r="E4" s="1">
        <f>'1x5'!U8</f>
        <v>9.9730846596842717</v>
      </c>
      <c r="F4" s="1">
        <f>'1x6'!U8</f>
        <v>15.60022756509299</v>
      </c>
      <c r="G4" s="1">
        <f>'1x7'!U8</f>
        <v>22.483727386309575</v>
      </c>
      <c r="H4" s="1">
        <f>'1x8'!U8</f>
        <v>30.637547906855588</v>
      </c>
      <c r="I4" s="1">
        <f>'1x9'!U8</f>
        <v>40.07039245427827</v>
      </c>
      <c r="J4" s="1">
        <f>'1x10'!U8</f>
        <v>50.786776736416925</v>
      </c>
      <c r="K4">
        <v>2</v>
      </c>
      <c r="L4" s="1">
        <f>'2x3'!U8</f>
        <v>-5.7198360245537785</v>
      </c>
      <c r="M4" s="1">
        <f>'2x4'!U8</f>
        <v>-6.7450808860090259</v>
      </c>
      <c r="N4" s="1">
        <f>'2x5'!U8</f>
        <v>-7.2354814230235682</v>
      </c>
      <c r="O4" s="1">
        <f>'2x6'!U8</f>
        <v>-7.309833952555997</v>
      </c>
      <c r="P4" s="1">
        <f>'2x7'!U8</f>
        <v>-7.0844670587980261</v>
      </c>
      <c r="Q4" s="1">
        <f>'2x8'!U8</f>
        <v>-6.6616576431762367</v>
      </c>
      <c r="R4" s="1">
        <f>'2x9'!U8</f>
        <v>-6.1257841314431536</v>
      </c>
      <c r="S4" s="1">
        <f>'2x10'!U8</f>
        <v>-5.5427872624287309</v>
      </c>
      <c r="T4">
        <v>2</v>
      </c>
      <c r="U4" s="1">
        <f>'3x4'!U8</f>
        <v>-26.817078127062754</v>
      </c>
      <c r="V4" s="1">
        <f>'3x5'!U8</f>
        <v>-37.916491825751777</v>
      </c>
      <c r="W4" s="1">
        <f>'3x6'!U8</f>
        <v>-50.922050194874132</v>
      </c>
      <c r="X4" s="1">
        <f>'3x7'!U8</f>
        <v>-66.059389941514965</v>
      </c>
      <c r="Y4" s="1">
        <f>'3x8'!U8</f>
        <v>-83.529274366201051</v>
      </c>
      <c r="Z4" s="1">
        <f>'3x9'!U8</f>
        <v>-103.49528494406357</v>
      </c>
      <c r="AA4" s="1">
        <f>'3x10'!U8</f>
        <v>-126.08203701558193</v>
      </c>
    </row>
    <row r="5" spans="1:27" x14ac:dyDescent="0.2">
      <c r="A5">
        <v>3</v>
      </c>
      <c r="B5" s="1">
        <f>'1x2'!U9</f>
        <v>1.4121674630690029</v>
      </c>
      <c r="C5" s="1">
        <f>'1x3'!U9</f>
        <v>10.684725578250754</v>
      </c>
      <c r="D5" s="1">
        <f>'1x4'!U9</f>
        <v>31.102587955746611</v>
      </c>
      <c r="E5" s="1">
        <f>'1x5'!U9</f>
        <v>66.888098320941396</v>
      </c>
      <c r="F5" s="1">
        <f>'1x6'!U9</f>
        <v>122.49418525120679</v>
      </c>
      <c r="G5" s="1">
        <f>'1x7'!U9</f>
        <v>202.5259789346953</v>
      </c>
      <c r="H5" s="1">
        <f>'1x8'!U9</f>
        <v>311.67587477729876</v>
      </c>
      <c r="I5" s="1">
        <f>'1x9'!U9</f>
        <v>454.67666118380748</v>
      </c>
      <c r="J5" s="1">
        <f>'1x10'!U9</f>
        <v>636.27043104416862</v>
      </c>
      <c r="K5">
        <v>3</v>
      </c>
      <c r="L5" s="1">
        <f>'2x3'!U9</f>
        <v>-28.993553583297505</v>
      </c>
      <c r="M5" s="1">
        <f>'2x4'!U9</f>
        <v>-44.100237810578129</v>
      </c>
      <c r="N5" s="1">
        <f>'2x5'!U9</f>
        <v>-57.812099230180706</v>
      </c>
      <c r="O5" s="1">
        <f>'2x6'!U9</f>
        <v>-68.971875647188014</v>
      </c>
      <c r="P5" s="1">
        <f>'2x7'!U9</f>
        <v>-77.084953844997671</v>
      </c>
      <c r="Q5" s="1">
        <f>'2x8'!U9</f>
        <v>-82.134497785356317</v>
      </c>
      <c r="R5" s="1">
        <f>'2x9'!U9</f>
        <v>-84.429666620502488</v>
      </c>
      <c r="S5" s="1">
        <f>'2x10'!U9</f>
        <v>-84.476778698426045</v>
      </c>
      <c r="T5">
        <v>3</v>
      </c>
      <c r="U5" s="1">
        <f>'3x4'!U9</f>
        <v>-179.27684656403062</v>
      </c>
      <c r="V5" s="1">
        <f>'3x5'!U9</f>
        <v>-313.16592513545686</v>
      </c>
      <c r="W5" s="1">
        <f>'3x6'!U9</f>
        <v>-500.67829823118711</v>
      </c>
      <c r="X5" s="1">
        <f>'3x7'!U9</f>
        <v>-753.37129978445682</v>
      </c>
      <c r="Y5" s="1">
        <f>'3x8'!U9</f>
        <v>-1083.9412487182065</v>
      </c>
      <c r="Z5" s="1">
        <f>'3x9'!U9</f>
        <v>-1505.8342974862501</v>
      </c>
      <c r="AA5" s="1">
        <f>'3x10'!U9</f>
        <v>-2032.9142076220378</v>
      </c>
    </row>
    <row r="6" spans="1:27" x14ac:dyDescent="0.2">
      <c r="A6">
        <v>4</v>
      </c>
      <c r="B6" s="1">
        <f>'1x2'!U10</f>
        <v>3.9292509606000623</v>
      </c>
      <c r="C6" s="1">
        <f>'1x3'!U10</f>
        <v>40.594128007873358</v>
      </c>
      <c r="D6" s="1">
        <f>'1x4'!U10</f>
        <v>149.71847998438395</v>
      </c>
      <c r="E6" s="1">
        <f>'1x5'!U10</f>
        <v>390.60981423998044</v>
      </c>
      <c r="F6" s="1">
        <f>'1x6'!U10</f>
        <v>842.53447940787851</v>
      </c>
      <c r="G6" s="1">
        <f>'1x7'!U10</f>
        <v>1605.4574974494758</v>
      </c>
      <c r="H6" s="1">
        <f>'1x8'!U10</f>
        <v>2800.3658706782348</v>
      </c>
      <c r="I6" s="1">
        <f>'1x9'!U10</f>
        <v>4569.3220713612909</v>
      </c>
      <c r="J6" s="1">
        <f>'1x10'!U10</f>
        <v>7075.3556304241429</v>
      </c>
      <c r="K6">
        <v>4</v>
      </c>
      <c r="L6" s="1">
        <f>'2x3'!U10</f>
        <v>-126.03062367281436</v>
      </c>
      <c r="M6" s="1">
        <f>'2x4'!U10</f>
        <v>-249.76975989257059</v>
      </c>
      <c r="N6" s="1">
        <f>'2x5'!U10</f>
        <v>-402.50725202572937</v>
      </c>
      <c r="O6" s="1">
        <f>'2x6'!U10</f>
        <v>-569.18156723438324</v>
      </c>
      <c r="P6" s="1">
        <f>'2x7'!U10</f>
        <v>-735.42881715814042</v>
      </c>
      <c r="Q6" s="1">
        <f>'2x8'!U10</f>
        <v>-889.54816074724783</v>
      </c>
      <c r="R6" s="1">
        <f>'2x9'!U10</f>
        <v>-1023.6011924573847</v>
      </c>
      <c r="S6" s="1">
        <f>'2x10'!U10</f>
        <v>-1133.7653807261988</v>
      </c>
      <c r="T6">
        <v>4</v>
      </c>
      <c r="U6" s="1">
        <f>'3x4'!U10</f>
        <v>-1027.4026276760885</v>
      </c>
      <c r="V6" s="1">
        <f>'3x5'!U10</f>
        <v>-2231.0473554644827</v>
      </c>
      <c r="W6" s="1">
        <f>'3x6'!U10</f>
        <v>-4264.5679081534336</v>
      </c>
      <c r="X6" s="1">
        <f>'3x7'!U10</f>
        <v>-7466.1501757121041</v>
      </c>
      <c r="Y6" s="1">
        <f>'3x8'!U10</f>
        <v>-12251.336091501464</v>
      </c>
      <c r="Z6" s="1">
        <f>'3x9'!U10</f>
        <v>-19116.108751895852</v>
      </c>
      <c r="AA6" s="1">
        <f>'3x10'!U10</f>
        <v>-28637.456887881133</v>
      </c>
    </row>
    <row r="7" spans="1:27" x14ac:dyDescent="0.2">
      <c r="A7">
        <v>5</v>
      </c>
      <c r="B7" s="1">
        <f>'1x2'!U11</f>
        <v>9.9683132671369954</v>
      </c>
      <c r="C7" s="1">
        <f>'1x3'!U11</f>
        <v>141.90848611539624</v>
      </c>
      <c r="D7" s="1">
        <f>'1x4'!U11</f>
        <v>668.41193340540519</v>
      </c>
      <c r="E7" s="1">
        <f>'1x5'!U11</f>
        <v>2129.1008156248399</v>
      </c>
      <c r="F7" s="1">
        <f>'1x6'!U11</f>
        <v>5435.087962257172</v>
      </c>
      <c r="G7" s="1">
        <f>'1x7'!U11</f>
        <v>11978.599796475646</v>
      </c>
      <c r="H7" s="1">
        <f>'1x8'!U11</f>
        <v>23743.991725151031</v>
      </c>
      <c r="I7" s="1">
        <f>'1x9'!U11</f>
        <v>43418.407327907669</v>
      </c>
      <c r="J7" s="1">
        <f>'1x10'!U11</f>
        <v>74501.089517671702</v>
      </c>
      <c r="K7">
        <v>5</v>
      </c>
      <c r="L7" s="1">
        <f>'2x3'!U11</f>
        <v>-503.58863168868129</v>
      </c>
      <c r="M7" s="1">
        <f>'2x4'!U11</f>
        <v>-1309.2996479465278</v>
      </c>
      <c r="N7" s="1">
        <f>'2x5'!U11</f>
        <v>-2603.2468095608078</v>
      </c>
      <c r="O7" s="1">
        <f>'2x6'!U11</f>
        <v>-4372.3754085329201</v>
      </c>
      <c r="P7" s="1">
        <f>'2x7'!U11</f>
        <v>-6539.6864362195456</v>
      </c>
      <c r="Q7" s="1">
        <f>'2x8'!U11</f>
        <v>-8987.3810736533796</v>
      </c>
      <c r="R7" s="1">
        <f>'2x9'!U11</f>
        <v>-11583.936413861391</v>
      </c>
      <c r="S7" s="1">
        <f>'2x10'!U11</f>
        <v>-14210.32186010457</v>
      </c>
      <c r="T7">
        <v>5</v>
      </c>
      <c r="U7" s="1">
        <f>'3x4'!U11</f>
        <v>-5404.0719364228617</v>
      </c>
      <c r="V7" s="1">
        <f>'3x5'!U11</f>
        <v>-14636.040694842855</v>
      </c>
      <c r="W7" s="1">
        <f>'3x6'!U11</f>
        <v>-33524.24817271049</v>
      </c>
      <c r="X7" s="1">
        <f>'3x7'!U11</f>
        <v>-68400.913530506296</v>
      </c>
      <c r="Y7" s="1">
        <f>'3x8'!U11</f>
        <v>-128162.27929120224</v>
      </c>
      <c r="Z7" s="1">
        <f>'3x9'!U11</f>
        <v>-224807.73178675777</v>
      </c>
      <c r="AA7" s="1">
        <f>'3x10'!U11</f>
        <v>-373969.87439431937</v>
      </c>
    </row>
    <row r="8" spans="1:27" x14ac:dyDescent="0.2">
      <c r="A8">
        <v>6</v>
      </c>
      <c r="B8" s="1">
        <f>'1x2'!U12</f>
        <v>23.86896070508303</v>
      </c>
      <c r="C8" s="1">
        <f>'1x3'!U12</f>
        <v>471.78668919176403</v>
      </c>
      <c r="D8" s="1">
        <f>'1x4'!U12</f>
        <v>2858.2105022978662</v>
      </c>
      <c r="E8" s="1">
        <f>'1x5'!U12</f>
        <v>11176.91930971828</v>
      </c>
      <c r="F8" s="1">
        <f>'1x6'!U12</f>
        <v>33900.444589639759</v>
      </c>
      <c r="G8" s="1">
        <f>'1x7'!U12</f>
        <v>86654.822299382329</v>
      </c>
      <c r="H8" s="1">
        <f>'1x8'!U12</f>
        <v>195578.05472428302</v>
      </c>
      <c r="I8" s="1">
        <f>'1x9'!U12</f>
        <v>401356.80641015159</v>
      </c>
      <c r="J8" s="1">
        <f>'1x10'!U12</f>
        <v>763928.47083671624</v>
      </c>
      <c r="K8">
        <v>6</v>
      </c>
      <c r="L8" s="1">
        <f>'2x3'!U12</f>
        <v>-1907.8215783177034</v>
      </c>
      <c r="M8" s="1">
        <f>'2x4'!U12</f>
        <v>-6539.167752035888</v>
      </c>
      <c r="N8" s="1">
        <f>'2x5'!U12</f>
        <v>-16081.932137102778</v>
      </c>
      <c r="O8" s="1">
        <f>'2x6'!U12</f>
        <v>-32125.099633339014</v>
      </c>
      <c r="P8" s="1">
        <f>'2x7'!U12</f>
        <v>-55662.40723667515</v>
      </c>
      <c r="Q8" s="1">
        <f>'2x8'!U12</f>
        <v>-86954.015035141405</v>
      </c>
      <c r="R8" s="1">
        <f>'2x9'!U12</f>
        <v>-125577.8371417006</v>
      </c>
      <c r="S8" s="1">
        <f>'2x10'!U12</f>
        <v>-170654.48205340863</v>
      </c>
      <c r="T8">
        <v>6</v>
      </c>
      <c r="U8" s="1">
        <f>'3x4'!U12</f>
        <v>-26917.608781026644</v>
      </c>
      <c r="V8" s="1">
        <f>'3x5'!U12</f>
        <v>-91073.807353791053</v>
      </c>
      <c r="W8" s="1">
        <f>'3x6'!U12</f>
        <v>-250272.47256551008</v>
      </c>
      <c r="X8" s="1">
        <f>'3x7'!U12</f>
        <v>-595633.20604321256</v>
      </c>
      <c r="Y8" s="1">
        <f>'3x8'!U12</f>
        <v>-1275192.6029208847</v>
      </c>
      <c r="Z8" s="1">
        <f>'3x9'!U12</f>
        <v>-2515819.7768357689</v>
      </c>
      <c r="AA8" s="1">
        <f>'3x10'!U12</f>
        <v>-4649027.8032740932</v>
      </c>
    </row>
    <row r="9" spans="1:27" x14ac:dyDescent="0.2">
      <c r="A9">
        <v>7</v>
      </c>
      <c r="B9" s="1">
        <f>'1x2'!U13</f>
        <v>54.960395310930437</v>
      </c>
      <c r="C9" s="1">
        <f>'1x3'!U13</f>
        <v>1518.4700058547744</v>
      </c>
      <c r="D9" s="1">
        <f>'1x4'!U13</f>
        <v>11909.522685501061</v>
      </c>
      <c r="E9" s="1">
        <f>'1x5'!U13</f>
        <v>57441.799982402561</v>
      </c>
      <c r="F9" s="1">
        <f>'1x6'!U13</f>
        <v>207650.00197108919</v>
      </c>
      <c r="G9" s="1">
        <f>'1x7'!U13</f>
        <v>616880.76628437836</v>
      </c>
      <c r="H9" s="1">
        <f>'1x8'!U13</f>
        <v>1587496.6032366033</v>
      </c>
      <c r="I9" s="1">
        <f>'1x9'!U13</f>
        <v>3659581.8832118316</v>
      </c>
      <c r="J9" s="1">
        <f>'1x10'!U13</f>
        <v>7731819.3860114962</v>
      </c>
      <c r="K9">
        <v>7</v>
      </c>
      <c r="L9" s="1">
        <f>'2x3'!U13</f>
        <v>-6965.5707327855107</v>
      </c>
      <c r="M9" s="1">
        <f>'2x4'!U13</f>
        <v>-31589.626596276612</v>
      </c>
      <c r="N9" s="1">
        <f>'2x5'!U13</f>
        <v>-96280.221041431607</v>
      </c>
      <c r="O9" s="1">
        <f>'2x6'!U13</f>
        <v>-228966.65126128416</v>
      </c>
      <c r="P9" s="1">
        <f>'2x7'!U13</f>
        <v>-459823.0773481041</v>
      </c>
      <c r="Q9" s="1">
        <f>'2x8'!U13</f>
        <v>-816764.85288700101</v>
      </c>
      <c r="R9" s="1">
        <f>'2x9'!U13</f>
        <v>-1321907.7423882377</v>
      </c>
      <c r="S9" s="1">
        <f>'2x10'!U13</f>
        <v>-1990301.5955877325</v>
      </c>
      <c r="T9">
        <v>7</v>
      </c>
      <c r="U9" s="1">
        <f>'3x4'!U13</f>
        <v>-129150.48523527227</v>
      </c>
      <c r="V9" s="1">
        <f>'3x5'!U13</f>
        <v>-546323.87815186719</v>
      </c>
      <c r="W9" s="1">
        <f>'3x6'!U13</f>
        <v>-1802221.5768886311</v>
      </c>
      <c r="X9" s="1">
        <f>'3x7'!U13</f>
        <v>-5005365.1801047651</v>
      </c>
      <c r="Y9" s="1">
        <f>'3x8'!U13</f>
        <v>-12248624.513099158</v>
      </c>
      <c r="Z9" s="1">
        <f>'3x9'!U13</f>
        <v>-27187295.783271436</v>
      </c>
      <c r="AA9" s="1">
        <f>'3x10'!U13</f>
        <v>-55821506.265364811</v>
      </c>
    </row>
    <row r="10" spans="1:27" x14ac:dyDescent="0.2">
      <c r="A10">
        <v>8</v>
      </c>
      <c r="B10" s="1">
        <f>'1x2'!U14</f>
        <v>123.05604150613158</v>
      </c>
      <c r="C10" s="1">
        <f>'1x3'!U14</f>
        <v>4782.0743348142987</v>
      </c>
      <c r="D10" s="1">
        <f>'1x4'!U14</f>
        <v>48842.042932974509</v>
      </c>
      <c r="E10" s="1">
        <f>'1x5'!U14</f>
        <v>291664.24849290244</v>
      </c>
      <c r="F10" s="1">
        <f>'1x6'!U14</f>
        <v>1259547.3223036486</v>
      </c>
      <c r="G10" s="1">
        <f>'1x7'!U14</f>
        <v>4355051.1143204635</v>
      </c>
      <c r="H10" s="1">
        <f>'1x8'!U14</f>
        <v>12790696.71568189</v>
      </c>
      <c r="I10" s="1">
        <f>'1x9'!U14</f>
        <v>33142976.88182649</v>
      </c>
      <c r="J10" s="1">
        <f>'1x10'!U14</f>
        <v>77759900.999048337</v>
      </c>
      <c r="K10">
        <v>8</v>
      </c>
      <c r="L10" s="1">
        <f>'2x3'!U14</f>
        <v>-24747.858162761695</v>
      </c>
      <c r="M10" s="1">
        <f>'2x4'!U14</f>
        <v>-148915.46992004002</v>
      </c>
      <c r="N10" s="1">
        <f>'2x5'!U14</f>
        <v>-563371.15935656033</v>
      </c>
      <c r="O10" s="1">
        <f>'2x6'!U14</f>
        <v>-1596256.6801464998</v>
      </c>
      <c r="P10" s="1">
        <f>'2x7'!U14</f>
        <v>-3716997.1036175401</v>
      </c>
      <c r="Q10" s="1">
        <f>'2x8'!U14</f>
        <v>-7508719.3544728272</v>
      </c>
      <c r="R10" s="1">
        <f>'2x9'!U14</f>
        <v>-13620781.704985429</v>
      </c>
      <c r="S10" s="1">
        <f>'2x10'!U14</f>
        <v>-22723030.913530651</v>
      </c>
      <c r="T10">
        <v>8</v>
      </c>
      <c r="U10" s="1">
        <f>'3x4'!U14</f>
        <v>-603111.13309487491</v>
      </c>
      <c r="V10" s="1">
        <f>'3x5'!U14</f>
        <v>-3190745.3382729921</v>
      </c>
      <c r="W10" s="1">
        <f>'3x6'!U14</f>
        <v>-12638590.13676377</v>
      </c>
      <c r="X10" s="1">
        <f>'3x7'!U14</f>
        <v>-40971460.330377862</v>
      </c>
      <c r="Y10" s="1">
        <f>'3x8'!U14</f>
        <v>-114621605.55626735</v>
      </c>
      <c r="Z10" s="1">
        <f>'3x9'!U14</f>
        <v>-286276182.52508312</v>
      </c>
      <c r="AA10" s="1">
        <f>'3x10'!U14</f>
        <v>-653170643.06551015</v>
      </c>
    </row>
    <row r="11" spans="1:27" x14ac:dyDescent="0.2">
      <c r="A11">
        <v>9</v>
      </c>
      <c r="B11" s="1">
        <f>'1x2'!U15</f>
        <v>269.82667045501012</v>
      </c>
      <c r="C11" s="1">
        <f>'1x3'!U15</f>
        <v>14836.843664897608</v>
      </c>
      <c r="D11" s="1">
        <f>'1x4'!U15</f>
        <v>198353.06424182811</v>
      </c>
      <c r="E11" s="1">
        <f>'1x5'!U15</f>
        <v>1470822.7273735199</v>
      </c>
      <c r="F11" s="1">
        <f>'1x6'!U15</f>
        <v>7600284.3617242295</v>
      </c>
      <c r="G11" s="1">
        <f>'1x7'!U15</f>
        <v>30614935.47461424</v>
      </c>
      <c r="H11" s="1">
        <f>'1x8'!U15</f>
        <v>102678526.68508072</v>
      </c>
      <c r="I11" s="1">
        <f>'1x9'!U15</f>
        <v>299171868.83128309</v>
      </c>
      <c r="J11" s="1">
        <f>'1x10'!U15</f>
        <v>779667541.58734202</v>
      </c>
      <c r="K11">
        <v>9</v>
      </c>
      <c r="L11" s="1">
        <f>'2x3'!U15</f>
        <v>-86098.141438188119</v>
      </c>
      <c r="M11" s="1">
        <f>'2x4'!U15</f>
        <v>-688888.33320100408</v>
      </c>
      <c r="N11" s="1">
        <f>'2x5'!U15</f>
        <v>-3239295.7352497</v>
      </c>
      <c r="O11" s="1">
        <f>'2x6'!U15</f>
        <v>-10942819.568796411</v>
      </c>
      <c r="P11" s="1">
        <f>'2x7'!U15</f>
        <v>-29554964.839323334</v>
      </c>
      <c r="Q11" s="1">
        <f>'2x8'!U15</f>
        <v>-67910841.931439593</v>
      </c>
      <c r="R11" s="1">
        <f>'2x9'!U15</f>
        <v>-138083765.56909305</v>
      </c>
      <c r="S11" s="1">
        <f>'2x10'!U15</f>
        <v>-255255021.4263671</v>
      </c>
      <c r="T11">
        <v>9</v>
      </c>
      <c r="U11" s="1">
        <f>'3x4'!U15</f>
        <v>-2759704.7648289176</v>
      </c>
      <c r="V11" s="1">
        <f>'3x5'!U15</f>
        <v>-18261710.255075719</v>
      </c>
      <c r="W11" s="1">
        <f>'3x6'!U15</f>
        <v>-86861891.805218816</v>
      </c>
      <c r="X11" s="1">
        <f>'3x7'!U15</f>
        <v>-328701018.25762385</v>
      </c>
      <c r="Y11" s="1">
        <f>'3x8'!U15</f>
        <v>-1051363128.7688334</v>
      </c>
      <c r="Z11" s="1">
        <f>'3x9'!U15</f>
        <v>-2954894235.5599427</v>
      </c>
      <c r="AA11" s="1">
        <f>'3x10'!U15</f>
        <v>-7492313724.7560654</v>
      </c>
    </row>
    <row r="12" spans="1:27" x14ac:dyDescent="0.2">
      <c r="A12">
        <v>10</v>
      </c>
      <c r="B12" s="1">
        <f>'1x2'!U16</f>
        <v>582.21636633623552</v>
      </c>
      <c r="C12" s="1">
        <f>'1x3'!U16</f>
        <v>45558.350872804418</v>
      </c>
      <c r="D12" s="1">
        <f>'1x4'!U16</f>
        <v>800698.66036714078</v>
      </c>
      <c r="E12" s="1">
        <f>'1x5'!U16</f>
        <v>7388640.7989524864</v>
      </c>
      <c r="F12" s="1">
        <f>'1x6'!U16</f>
        <v>45735071.137790188</v>
      </c>
      <c r="G12" s="1">
        <f>'1x7'!U16</f>
        <v>214752694.78307319</v>
      </c>
      <c r="H12" s="1">
        <f>'1x8'!U16</f>
        <v>822780306.09187782</v>
      </c>
      <c r="I12" s="1">
        <f>'1x9'!U16</f>
        <v>2696278455.9707627</v>
      </c>
      <c r="J12" s="1">
        <f>'1x10'!U16</f>
        <v>7806216734.354475</v>
      </c>
      <c r="K12">
        <v>10</v>
      </c>
      <c r="L12" s="1">
        <f>'2x3'!U16</f>
        <v>-294572.73973481648</v>
      </c>
      <c r="M12" s="1">
        <f>'2x4'!U16</f>
        <v>-3139254.658737978</v>
      </c>
      <c r="N12" s="1">
        <f>'2x5'!U16</f>
        <v>-18368984.346977048</v>
      </c>
      <c r="O12" s="1">
        <f>'2x6'!U16</f>
        <v>-74029041.624437109</v>
      </c>
      <c r="P12" s="1">
        <f>'2x7'!U16</f>
        <v>-231973557.61371022</v>
      </c>
      <c r="Q12" s="1">
        <f>'2x8'!U16</f>
        <v>-606369479.19435906</v>
      </c>
      <c r="R12" s="1">
        <f>'2x9'!U16</f>
        <v>-1382082460.1093686</v>
      </c>
      <c r="S12" s="1">
        <f>'2x10'!U16</f>
        <v>-2831044002.5501008</v>
      </c>
      <c r="T12">
        <v>10</v>
      </c>
      <c r="U12" s="1">
        <f>'3x4'!U16</f>
        <v>-12430336.977322426</v>
      </c>
      <c r="V12" s="1">
        <f>'3x5'!U16</f>
        <v>-102882684.60384418</v>
      </c>
      <c r="W12" s="1">
        <f>'3x6'!U16</f>
        <v>-587632241.32789993</v>
      </c>
      <c r="X12" s="1">
        <f>'3x7'!U16</f>
        <v>-2595779555.1348262</v>
      </c>
      <c r="Y12" s="1">
        <f>'3x8'!U16</f>
        <v>-9492776992.537117</v>
      </c>
      <c r="Z12" s="1">
        <f>'3x9'!U16</f>
        <v>-30023606735.8223</v>
      </c>
      <c r="AA12" s="1">
        <f>'3x10'!U16</f>
        <v>-84601908329.521667</v>
      </c>
    </row>
    <row r="13" spans="1:27" x14ac:dyDescent="0.2">
      <c r="B13" s="367" t="s">
        <v>49</v>
      </c>
      <c r="C13" s="367"/>
      <c r="D13" s="367"/>
      <c r="E13" s="367"/>
      <c r="F13" s="367"/>
      <c r="G13" s="367"/>
      <c r="H13" s="367"/>
      <c r="I13" s="367"/>
      <c r="J13" s="367"/>
      <c r="L13" s="367" t="s">
        <v>49</v>
      </c>
      <c r="M13" s="367"/>
      <c r="N13" s="367"/>
      <c r="O13" s="367"/>
      <c r="P13" s="367"/>
      <c r="Q13" s="367"/>
      <c r="R13" s="367"/>
      <c r="S13" s="367"/>
      <c r="U13" s="367" t="s">
        <v>49</v>
      </c>
      <c r="V13" s="367"/>
      <c r="W13" s="367"/>
      <c r="X13" s="367"/>
      <c r="Y13" s="367"/>
      <c r="Z13" s="367"/>
      <c r="AA13" s="367"/>
    </row>
    <row r="14" spans="1:27" x14ac:dyDescent="0.2">
      <c r="A14" s="31" t="s">
        <v>57</v>
      </c>
      <c r="B14" s="49" t="s">
        <v>141</v>
      </c>
      <c r="C14" s="49" t="s">
        <v>142</v>
      </c>
      <c r="D14" s="49" t="s">
        <v>143</v>
      </c>
      <c r="E14" s="49" t="s">
        <v>144</v>
      </c>
      <c r="F14" s="49" t="s">
        <v>145</v>
      </c>
      <c r="G14" s="49" t="s">
        <v>146</v>
      </c>
      <c r="H14" s="49" t="s">
        <v>147</v>
      </c>
      <c r="I14" s="49" t="s">
        <v>148</v>
      </c>
      <c r="J14" s="49" t="s">
        <v>149</v>
      </c>
      <c r="K14" s="31" t="s">
        <v>57</v>
      </c>
      <c r="L14" s="49" t="s">
        <v>158</v>
      </c>
      <c r="M14" s="49" t="s">
        <v>159</v>
      </c>
      <c r="N14" s="49" t="s">
        <v>160</v>
      </c>
      <c r="O14" s="49" t="s">
        <v>161</v>
      </c>
      <c r="P14" s="49" t="s">
        <v>162</v>
      </c>
      <c r="Q14" s="49" t="s">
        <v>163</v>
      </c>
      <c r="R14" s="49" t="s">
        <v>164</v>
      </c>
      <c r="S14" s="49" t="s">
        <v>165</v>
      </c>
      <c r="T14" s="31" t="s">
        <v>57</v>
      </c>
      <c r="U14" s="49" t="s">
        <v>169</v>
      </c>
      <c r="V14" s="49" t="s">
        <v>170</v>
      </c>
      <c r="W14" s="49" t="s">
        <v>171</v>
      </c>
      <c r="X14" s="49" t="s">
        <v>172</v>
      </c>
      <c r="Y14" s="49" t="s">
        <v>173</v>
      </c>
      <c r="Z14" s="49" t="s">
        <v>174</v>
      </c>
      <c r="AA14" s="49" t="s">
        <v>175</v>
      </c>
    </row>
    <row r="15" spans="1:27" x14ac:dyDescent="0.2">
      <c r="A15" s="274">
        <v>1</v>
      </c>
      <c r="B15" s="1">
        <f>'1x2'!R7</f>
        <v>0.10319797996906244</v>
      </c>
      <c r="C15" s="1">
        <f>'1x3'!R7</f>
        <v>0.23022196212840235</v>
      </c>
      <c r="D15" s="1">
        <f>'1x4'!R7</f>
        <v>0.30115588817456668</v>
      </c>
      <c r="E15" s="1">
        <f>'1x5'!R7</f>
        <v>0.34444532557734919</v>
      </c>
      <c r="F15" s="1">
        <f>'1x6'!R7</f>
        <v>0.37230861223628287</v>
      </c>
      <c r="G15" s="1">
        <f>'1x7'!R7</f>
        <v>0.39086201815543437</v>
      </c>
      <c r="H15" s="1">
        <f>'1x8'!R7</f>
        <v>0.40349700080092782</v>
      </c>
      <c r="I15" s="1">
        <f>'1x9'!R7</f>
        <v>0.41223371605271664</v>
      </c>
      <c r="J15" s="1">
        <f>'1x10'!R7</f>
        <v>0.41833877977736161</v>
      </c>
      <c r="K15" s="274">
        <v>1</v>
      </c>
      <c r="L15" s="1">
        <f>'2x3'!R7</f>
        <v>-0.19964472510748005</v>
      </c>
      <c r="M15" s="1">
        <f>'2x4'!R7</f>
        <v>-0.12533352414812982</v>
      </c>
      <c r="N15" s="1">
        <f>'2x5'!R7</f>
        <v>-7.7503050514695249E-2</v>
      </c>
      <c r="O15" s="1">
        <f>'2x6'!R7</f>
        <v>-4.5654037026480077E-2</v>
      </c>
      <c r="P15" s="1">
        <f>'2x7'!R7</f>
        <v>-2.3964664495461085E-2</v>
      </c>
      <c r="Q15" s="1">
        <f>'2x8'!R7</f>
        <v>-8.9671075450314941E-3</v>
      </c>
      <c r="R15" s="1">
        <f>'2x9'!R7</f>
        <v>1.5129227933297074E-3</v>
      </c>
      <c r="S15" s="1">
        <f>'2x10'!R7</f>
        <v>8.8901281862445725E-3</v>
      </c>
      <c r="T15" s="274">
        <v>1</v>
      </c>
      <c r="U15" s="1">
        <f>'3x4'!R7</f>
        <v>-0.39984383117705985</v>
      </c>
      <c r="V15" s="1">
        <f>'3x5'!R7</f>
        <v>-0.35846701554831867</v>
      </c>
      <c r="W15" s="1">
        <f>'3x6'!R7</f>
        <v>-0.3302891516200957</v>
      </c>
      <c r="X15" s="1">
        <f>'3x7'!R7</f>
        <v>-0.31080499557083258</v>
      </c>
      <c r="Y15" s="1">
        <f>'3x8'!R7</f>
        <v>-0.29718980829809533</v>
      </c>
      <c r="Z15" s="1">
        <f>'3x9'!R7</f>
        <v>-0.28760567259131908</v>
      </c>
      <c r="AA15" s="1">
        <f>'3x10'!R7</f>
        <v>-0.28082420804419922</v>
      </c>
    </row>
    <row r="16" spans="1:27" x14ac:dyDescent="0.2">
      <c r="A16">
        <v>2</v>
      </c>
      <c r="B16" s="1">
        <f>'1x2'!R8</f>
        <v>0.46572739415337044</v>
      </c>
      <c r="C16" s="1">
        <f>'1x3'!R8</f>
        <v>0.61181931874426798</v>
      </c>
      <c r="D16" s="1">
        <f>'1x4'!R8</f>
        <v>0.68396550721688909</v>
      </c>
      <c r="E16" s="1">
        <f>'1x5'!R8</f>
        <v>0.72439808678634787</v>
      </c>
      <c r="F16" s="1">
        <f>'1x6'!R8</f>
        <v>0.74893598538226158</v>
      </c>
      <c r="G16" s="1">
        <f>'1x7'!R8</f>
        <v>0.76462049939647958</v>
      </c>
      <c r="H16" s="1">
        <f>'1x8'!R8</f>
        <v>0.7750001756556687</v>
      </c>
      <c r="I16" s="1">
        <f>'1x9'!R8</f>
        <v>0.78203399995387746</v>
      </c>
      <c r="J16" s="1">
        <f>'1x10'!R8</f>
        <v>0.78687937415645604</v>
      </c>
      <c r="K16">
        <v>2</v>
      </c>
      <c r="L16" s="1">
        <f>'2x3'!R8</f>
        <v>5.3148233385400256E-2</v>
      </c>
      <c r="M16" s="1">
        <f>'2x4'!R8</f>
        <v>0.16014724644943829</v>
      </c>
      <c r="N16" s="1">
        <f>'2x5'!R8</f>
        <v>0.22753810558884441</v>
      </c>
      <c r="O16" s="1">
        <f>'2x6'!R8</f>
        <v>0.2715778378425856</v>
      </c>
      <c r="P16" s="1">
        <f>'2x7'!R8</f>
        <v>0.30113136519387018</v>
      </c>
      <c r="Q16" s="1">
        <f>'2x8'!R8</f>
        <v>0.32134177400858271</v>
      </c>
      <c r="R16" s="1">
        <f>'2x9'!R8</f>
        <v>0.33534954488150076</v>
      </c>
      <c r="S16" s="1">
        <f>'2x10'!R8</f>
        <v>0.34515139984640142</v>
      </c>
      <c r="T16">
        <v>2</v>
      </c>
      <c r="U16" s="1">
        <f>'3x4'!R8</f>
        <v>-0.24027861626628133</v>
      </c>
      <c r="V16" s="1">
        <f>'3x5'!R8</f>
        <v>-0.17975608594077486</v>
      </c>
      <c r="W16" s="1">
        <f>'3x6'!R8</f>
        <v>-0.13838370788119014</v>
      </c>
      <c r="X16" s="1">
        <f>'3x7'!R8</f>
        <v>-0.10973963557091548</v>
      </c>
      <c r="Y16" s="1">
        <f>'3x8'!R8</f>
        <v>-8.9718958998884712E-2</v>
      </c>
      <c r="Z16" s="1">
        <f>'3x9'!R8</f>
        <v>-7.5627996841614975E-2</v>
      </c>
      <c r="AA16" s="1">
        <f>'3x10'!R8</f>
        <v>-6.5660316219496973E-2</v>
      </c>
    </row>
    <row r="17" spans="1:27" x14ac:dyDescent="0.2">
      <c r="A17">
        <v>3</v>
      </c>
      <c r="B17" s="1">
        <f>'1x2'!R9</f>
        <v>0.64317191147208108</v>
      </c>
      <c r="C17" s="1">
        <f>'1x3'!R9</f>
        <v>0.78341055193537878</v>
      </c>
      <c r="D17" s="1">
        <f>'1x4'!R9</f>
        <v>0.84353843668476636</v>
      </c>
      <c r="E17" s="1">
        <f>'1x5'!R9</f>
        <v>0.87407689830200419</v>
      </c>
      <c r="F17" s="1">
        <f>'1x6'!R9</f>
        <v>0.8913994291370505</v>
      </c>
      <c r="G17" s="1">
        <f>'1x7'!R9</f>
        <v>0.90196679427164039</v>
      </c>
      <c r="H17" s="1">
        <f>'1x8'!R9</f>
        <v>0.90873606191507839</v>
      </c>
      <c r="I17" s="1">
        <f>'1x9'!R9</f>
        <v>0.91321959488546556</v>
      </c>
      <c r="J17" s="1">
        <f>'1x10'!R9</f>
        <v>0.91625868876611938</v>
      </c>
      <c r="K17">
        <v>3</v>
      </c>
      <c r="L17" s="1">
        <f>'2x3'!R9</f>
        <v>0.1698550956906259</v>
      </c>
      <c r="M17" s="1">
        <f>'2x4'!R9</f>
        <v>0.29847251410983566</v>
      </c>
      <c r="N17" s="1">
        <f>'2x5'!R9</f>
        <v>0.37823732634982349</v>
      </c>
      <c r="O17" s="1">
        <f>'2x6'!R9</f>
        <v>0.42953394697895014</v>
      </c>
      <c r="P17" s="1">
        <f>'2x7'!R9</f>
        <v>0.46349278287997575</v>
      </c>
      <c r="Q17" s="1">
        <f>'2x8'!R9</f>
        <v>0.48646965710815515</v>
      </c>
      <c r="R17" s="1">
        <f>'2x9'!R9</f>
        <v>0.50226709179688034</v>
      </c>
      <c r="S17" s="1">
        <f>'2x10'!R9</f>
        <v>0.5132554615759034</v>
      </c>
      <c r="T17">
        <v>3</v>
      </c>
      <c r="U17" s="1">
        <f>'3x4'!R9</f>
        <v>-0.18249019010036643</v>
      </c>
      <c r="V17" s="1">
        <f>'3x5'!R9</f>
        <v>-0.11074987496418687</v>
      </c>
      <c r="W17" s="1">
        <f>'3x6'!R9</f>
        <v>-6.130693357325423E-2</v>
      </c>
      <c r="X17" s="1">
        <f>'3x7'!R9</f>
        <v>-2.691885331917121E-2</v>
      </c>
      <c r="Y17" s="1">
        <f>'3x8'!R9</f>
        <v>-2.8206458139363177E-3</v>
      </c>
      <c r="Z17" s="1">
        <f>'3x9'!R9</f>
        <v>1.416624734926103E-2</v>
      </c>
      <c r="AA17" s="1">
        <f>'3x10'!R9</f>
        <v>2.6193666460495868E-2</v>
      </c>
    </row>
    <row r="18" spans="1:27" x14ac:dyDescent="0.2">
      <c r="A18">
        <v>4</v>
      </c>
      <c r="B18" s="1">
        <f>'1x2'!R10</f>
        <v>0.74667183613445132</v>
      </c>
      <c r="C18" s="1">
        <f>'1x3'!R10</f>
        <v>0.87307572952522516</v>
      </c>
      <c r="D18" s="1">
        <f>'1x4'!R10</f>
        <v>0.91935383975987739</v>
      </c>
      <c r="E18" s="1">
        <f>'1x5'!R10</f>
        <v>0.94042846022944293</v>
      </c>
      <c r="F18" s="1">
        <f>'1x6'!R10</f>
        <v>0.95153014094728505</v>
      </c>
      <c r="G18" s="1">
        <f>'1x7'!R10</f>
        <v>0.95796796441162091</v>
      </c>
      <c r="H18" s="1">
        <f>'1x8'!R10</f>
        <v>0.96194968835013461</v>
      </c>
      <c r="I18" s="1">
        <f>'1x9'!R10</f>
        <v>0.96452299987346923</v>
      </c>
      <c r="J18" s="1">
        <f>'1x10'!R10</f>
        <v>0.96623740283459492</v>
      </c>
      <c r="K18">
        <v>4</v>
      </c>
      <c r="L18" s="1">
        <f>'2x3'!R10</f>
        <v>0.23293308126582651</v>
      </c>
      <c r="M18" s="1">
        <f>'2x4'!R10</f>
        <v>0.37808653411302123</v>
      </c>
      <c r="N18" s="1">
        <f>'2x5'!R10</f>
        <v>0.46722400913822176</v>
      </c>
      <c r="O18" s="1">
        <f>'2x6'!R10</f>
        <v>0.52378281855887199</v>
      </c>
      <c r="P18" s="1">
        <f>'2x7'!R10</f>
        <v>0.56076059555574931</v>
      </c>
      <c r="Q18" s="1">
        <f>'2x8'!R10</f>
        <v>0.58552514560886471</v>
      </c>
      <c r="R18" s="1">
        <f>'2x9'!R10</f>
        <v>0.60241700864706127</v>
      </c>
      <c r="S18" s="1">
        <f>'2x10'!R10</f>
        <v>0.61409664403705244</v>
      </c>
      <c r="T18">
        <v>4</v>
      </c>
      <c r="U18" s="1">
        <f>'3x4'!R10</f>
        <v>-0.15933150301156573</v>
      </c>
      <c r="V18" s="1">
        <f>'3x5'!R10</f>
        <v>-8.0892718831715837E-2</v>
      </c>
      <c r="W18" s="1">
        <f>'3x6'!R10</f>
        <v>-2.6323657011389334E-2</v>
      </c>
      <c r="X18" s="1">
        <f>'3x7'!R10</f>
        <v>1.1855341743548797E-2</v>
      </c>
      <c r="Y18" s="1">
        <f>'3x8'!R10</f>
        <v>3.871156774741541E-2</v>
      </c>
      <c r="Z18" s="1">
        <f>'3x9'!R10</f>
        <v>5.7689179966047277E-2</v>
      </c>
      <c r="AA18" s="1">
        <f>'3x10'!R10</f>
        <v>7.1147969196691419E-2</v>
      </c>
    </row>
    <row r="19" spans="1:27" x14ac:dyDescent="0.2">
      <c r="A19">
        <v>5</v>
      </c>
      <c r="B19" s="1">
        <f>'1x2'!R11</f>
        <v>0.81329144720780766</v>
      </c>
      <c r="C19" s="1">
        <f>'1x3'!R11</f>
        <v>0.92361385090535297</v>
      </c>
      <c r="D19" s="1">
        <f>'1x4'!R11</f>
        <v>0.95760355683818343</v>
      </c>
      <c r="E19" s="1">
        <f>'1x5'!R11</f>
        <v>0.97136860952932558</v>
      </c>
      <c r="F19" s="1">
        <f>'1x6'!R11</f>
        <v>0.97807303791719757</v>
      </c>
      <c r="G19" s="1">
        <f>'1x7'!R11</f>
        <v>0.98175965523160669</v>
      </c>
      <c r="H19" s="1">
        <f>'1x8'!R11</f>
        <v>0.98395787808353219</v>
      </c>
      <c r="I19" s="1">
        <f>'1x9'!R11</f>
        <v>0.98534281744092678</v>
      </c>
      <c r="J19" s="1">
        <f>'1x10'!R11</f>
        <v>0.98624914485083315</v>
      </c>
      <c r="K19">
        <v>5</v>
      </c>
      <c r="L19" s="1">
        <f>'2x3'!R11</f>
        <v>0.26994240872772768</v>
      </c>
      <c r="M19" s="1">
        <f>'2x4'!R11</f>
        <v>0.42849741492166565</v>
      </c>
      <c r="N19" s="1">
        <f>'2x5'!R11</f>
        <v>0.52537980637355175</v>
      </c>
      <c r="O19" s="1">
        <f>'2x6'!R11</f>
        <v>0.5861813333451269</v>
      </c>
      <c r="P19" s="1">
        <f>'2x7'!R11</f>
        <v>0.6254818620840944</v>
      </c>
      <c r="Q19" s="1">
        <f>'2x8'!R11</f>
        <v>0.65154444193295258</v>
      </c>
      <c r="R19" s="1">
        <f>'2x9'!R11</f>
        <v>0.66918311046884016</v>
      </c>
      <c r="S19" s="1">
        <f>'2x10'!R11</f>
        <v>0.68130639190241016</v>
      </c>
      <c r="T19">
        <v>5</v>
      </c>
      <c r="U19" s="1">
        <f>'3x4'!R11</f>
        <v>-0.14967816842119031</v>
      </c>
      <c r="V19" s="1">
        <f>'3x5'!R11</f>
        <v>-6.7343746105097801E-2</v>
      </c>
      <c r="W19" s="1">
        <f>'3x6'!R11</f>
        <v>-9.5704711797064412E-3</v>
      </c>
      <c r="X19" s="1">
        <f>'3x7'!R11</f>
        <v>3.1090419523758905E-2</v>
      </c>
      <c r="Y19" s="1">
        <f>'3x8'!R11</f>
        <v>5.9808183915856516E-2</v>
      </c>
      <c r="Z19" s="1">
        <f>'3x9'!R11</f>
        <v>8.0157242911769844E-2</v>
      </c>
      <c r="AA19" s="1">
        <f>'3x10'!R11</f>
        <v>9.461601947897974E-2</v>
      </c>
    </row>
    <row r="20" spans="1:27" x14ac:dyDescent="0.2">
      <c r="A20">
        <v>6</v>
      </c>
      <c r="B20" s="1">
        <f>'1x2'!R12</f>
        <v>0.85892827702471075</v>
      </c>
      <c r="C20" s="1">
        <f>'1x3'!R12</f>
        <v>0.95331903311483202</v>
      </c>
      <c r="D20" s="1">
        <f>'1x4'!R12</f>
        <v>0.97748542785739079</v>
      </c>
      <c r="E20" s="1">
        <f>'1x5'!R12</f>
        <v>0.98613604277235201</v>
      </c>
      <c r="F20" s="1">
        <f>'1x6'!R12</f>
        <v>0.9900206916257811</v>
      </c>
      <c r="G20" s="1">
        <f>'1x7'!R12</f>
        <v>0.99204329141803282</v>
      </c>
      <c r="H20" s="1">
        <f>'1x8'!R12</f>
        <v>0.99320507069031005</v>
      </c>
      <c r="I20" s="1">
        <f>'1x9'!R12</f>
        <v>0.99391828657354186</v>
      </c>
      <c r="J20" s="1">
        <f>'1x10'!R12</f>
        <v>0.99437662533808335</v>
      </c>
      <c r="K20">
        <v>6</v>
      </c>
      <c r="L20" s="1">
        <f>'2x3'!R12</f>
        <v>0.29270941766581132</v>
      </c>
      <c r="M20" s="1">
        <f>'2x4'!R12</f>
        <v>0.46236931779436985</v>
      </c>
      <c r="N20" s="1">
        <f>'2x5'!R12</f>
        <v>0.56594380484866935</v>
      </c>
      <c r="O20" s="1">
        <f>'2x6'!R12</f>
        <v>0.63038302794130252</v>
      </c>
      <c r="P20" s="1">
        <f>'2x7'!R12</f>
        <v>0.67160537007501686</v>
      </c>
      <c r="Q20" s="1">
        <f>'2x8'!R12</f>
        <v>0.69868591952081205</v>
      </c>
      <c r="R20" s="1">
        <f>'2x9'!R12</f>
        <v>0.7168727465645014</v>
      </c>
      <c r="S20" s="1">
        <f>'2x10'!R12</f>
        <v>0.72929818241792388</v>
      </c>
      <c r="T20">
        <v>6</v>
      </c>
      <c r="U20" s="1">
        <f>'3x4'!R12</f>
        <v>-0.14558854732945747</v>
      </c>
      <c r="V20" s="1">
        <f>'3x5'!R12</f>
        <v>-6.106266065686361E-2</v>
      </c>
      <c r="W20" s="1">
        <f>'3x6'!R12</f>
        <v>-1.3416686687729995E-3</v>
      </c>
      <c r="X20" s="1">
        <f>'3x7'!R12</f>
        <v>4.0906506487252137E-2</v>
      </c>
      <c r="Y20" s="1">
        <f>'3x8'!R12</f>
        <v>7.0856005002224443E-2</v>
      </c>
      <c r="Z20" s="1">
        <f>'3x9'!R12</f>
        <v>9.2133769622284145E-2</v>
      </c>
      <c r="AA20" s="1">
        <f>'3x10'!R12</f>
        <v>0.10728060492158725</v>
      </c>
    </row>
    <row r="21" spans="1:27" x14ac:dyDescent="0.2">
      <c r="A21">
        <v>7</v>
      </c>
      <c r="B21" s="1">
        <f>'1x2'!R13</f>
        <v>0.89154023043208019</v>
      </c>
      <c r="C21" s="1">
        <f>'1x3'!R13</f>
        <v>0.9712111031034274</v>
      </c>
      <c r="D21" s="1">
        <f>'1x4'!R13</f>
        <v>0.98798021390191526</v>
      </c>
      <c r="E21" s="1">
        <f>'1x5'!R13</f>
        <v>0.99326267463069684</v>
      </c>
      <c r="F21" s="1">
        <f>'1x6'!R13</f>
        <v>0.99544587673557872</v>
      </c>
      <c r="G21" s="1">
        <f>'1x7'!R13</f>
        <v>0.99652136349062881</v>
      </c>
      <c r="H21" s="1">
        <f>'1x8'!R13</f>
        <v>0.99711623787999848</v>
      </c>
      <c r="I21" s="1">
        <f>'1x9'!R13</f>
        <v>0.99747201347990611</v>
      </c>
      <c r="J21" s="1">
        <f>'1x10'!R13</f>
        <v>0.99769650821809508</v>
      </c>
      <c r="K21">
        <v>7</v>
      </c>
      <c r="L21" s="1">
        <f>'2x3'!R13</f>
        <v>0.30712505594124656</v>
      </c>
      <c r="M21" s="1">
        <f>'2x4'!R13</f>
        <v>0.4860452717313154</v>
      </c>
      <c r="N21" s="1">
        <f>'2x5'!R13</f>
        <v>0.59553877261791111</v>
      </c>
      <c r="O21" s="1">
        <f>'2x6'!R13</f>
        <v>0.66321516776752598</v>
      </c>
      <c r="P21" s="1">
        <f>'2x7'!R13</f>
        <v>0.70610555503721706</v>
      </c>
      <c r="Q21" s="1">
        <f>'2x8'!R13</f>
        <v>0.73402876594356747</v>
      </c>
      <c r="R21" s="1">
        <f>'2x9'!R13</f>
        <v>0.75263959158588634</v>
      </c>
      <c r="S21" s="1">
        <f>'2x10'!R13</f>
        <v>0.76527875504351939</v>
      </c>
      <c r="T21">
        <v>7</v>
      </c>
      <c r="U21" s="1">
        <f>'3x4'!R13</f>
        <v>-0.14384409819795463</v>
      </c>
      <c r="V21" s="1">
        <f>'3x5'!R13</f>
        <v>-5.812205997754144E-2</v>
      </c>
      <c r="W21" s="1">
        <f>'3x6'!R13</f>
        <v>2.7504210418695108E-3</v>
      </c>
      <c r="X21" s="1">
        <f>'3x7'!R13</f>
        <v>4.5988251889570286E-2</v>
      </c>
      <c r="Y21" s="1">
        <f>'3x8'!R13</f>
        <v>7.6733896702680437E-2</v>
      </c>
      <c r="Z21" s="1">
        <f>'3x9'!R13</f>
        <v>9.8626979201158038E-2</v>
      </c>
      <c r="AA21" s="1">
        <f>'3x10'!R13</f>
        <v>0.11423758807936368</v>
      </c>
    </row>
    <row r="22" spans="1:27" x14ac:dyDescent="0.2">
      <c r="A22">
        <v>8</v>
      </c>
      <c r="B22" s="1">
        <f>'1x2'!R14</f>
        <v>0.91555453671228548</v>
      </c>
      <c r="C22" s="1">
        <f>'1x3'!R14</f>
        <v>0.98214692977657303</v>
      </c>
      <c r="D22" s="1">
        <f>'1x4'!R14</f>
        <v>0.99356500632867029</v>
      </c>
      <c r="E22" s="1">
        <f>'1x5'!R14</f>
        <v>0.99672025165532652</v>
      </c>
      <c r="F22" s="1">
        <f>'1x6'!R14</f>
        <v>0.99791911983856119</v>
      </c>
      <c r="G22" s="1">
        <f>'1x7'!R14</f>
        <v>0.99847766586091768</v>
      </c>
      <c r="H22" s="1">
        <f>'1x8'!R14</f>
        <v>0.99877511726236601</v>
      </c>
      <c r="I22" s="1">
        <f>'1x9'!R14</f>
        <v>0.99894841486292152</v>
      </c>
      <c r="J22" s="1">
        <f>'1x10'!R14</f>
        <v>0.99905578321312893</v>
      </c>
      <c r="K22">
        <v>8</v>
      </c>
      <c r="L22" s="1">
        <f>'2x3'!R14</f>
        <v>0.31642018436098718</v>
      </c>
      <c r="M22" s="1">
        <f>'2x4'!R14</f>
        <v>0.5030548339256099</v>
      </c>
      <c r="N22" s="1">
        <f>'2x5'!R14</f>
        <v>0.61784654152293639</v>
      </c>
      <c r="O22" s="1">
        <f>'2x6'!R14</f>
        <v>0.68847110236741393</v>
      </c>
      <c r="P22" s="1">
        <f>'2x7'!R14</f>
        <v>0.7328571400362085</v>
      </c>
      <c r="Q22" s="1">
        <f>'2x8'!R14</f>
        <v>0.76150586394042519</v>
      </c>
      <c r="R22" s="1">
        <f>'2x9'!R14</f>
        <v>0.78045790922908442</v>
      </c>
      <c r="S22" s="1">
        <f>'2x10'!R14</f>
        <v>0.79325185466646375</v>
      </c>
      <c r="T22">
        <v>8</v>
      </c>
      <c r="U22" s="1">
        <f>'3x4'!R14</f>
        <v>-0.14309782519365788</v>
      </c>
      <c r="V22" s="1">
        <f>'3x5'!R14</f>
        <v>-5.6739026601595022E-2</v>
      </c>
      <c r="W22" s="1">
        <f>'3x6'!R14</f>
        <v>4.79788107928103E-3</v>
      </c>
      <c r="X22" s="1">
        <f>'3x7'!R14</f>
        <v>4.8638591465562986E-2</v>
      </c>
      <c r="Y22" s="1">
        <f>'3x8'!R14</f>
        <v>7.9887550281691366E-2</v>
      </c>
      <c r="Z22" s="1">
        <f>'3x9'!R14</f>
        <v>0.10217972829157329</v>
      </c>
      <c r="AA22" s="1">
        <f>'3x10'!R14</f>
        <v>0.11809656825225617</v>
      </c>
    </row>
    <row r="23" spans="1:27" x14ac:dyDescent="0.2">
      <c r="A23">
        <v>9</v>
      </c>
      <c r="B23" s="1">
        <f>'1x2'!R15</f>
        <v>0.93363132904892476</v>
      </c>
      <c r="C23" s="1">
        <f>'1x3'!R15</f>
        <v>0.98889097522931713</v>
      </c>
      <c r="D23" s="1">
        <f>'1x4'!R15</f>
        <v>0.99654976047452548</v>
      </c>
      <c r="E23" s="1">
        <f>'1x5'!R15</f>
        <v>0.99840206478194393</v>
      </c>
      <c r="F23" s="1">
        <f>'1x6'!R15</f>
        <v>0.99904866205067366</v>
      </c>
      <c r="G23" s="1">
        <f>'1x7'!R15</f>
        <v>0.99933350504303153</v>
      </c>
      <c r="H23" s="1">
        <f>'1x8'!R15</f>
        <v>0.99947954566895936</v>
      </c>
      <c r="I23" s="1">
        <f>'1x9'!R15</f>
        <v>0.99956243003317879</v>
      </c>
      <c r="J23" s="1">
        <f>'1x10'!R15</f>
        <v>0.99961285132829714</v>
      </c>
      <c r="K23">
        <v>9</v>
      </c>
      <c r="L23" s="1">
        <f>'2x3'!R15</f>
        <v>0.32248405905853061</v>
      </c>
      <c r="M23" s="1">
        <f>'2x4'!R15</f>
        <v>0.51551740571698379</v>
      </c>
      <c r="N23" s="1">
        <f>'2x5'!R15</f>
        <v>0.63507813943814373</v>
      </c>
      <c r="O23" s="1">
        <f>'2x6'!R15</f>
        <v>0.7084272055893176</v>
      </c>
      <c r="P23" s="1">
        <f>'2x7'!R15</f>
        <v>0.7541849915055262</v>
      </c>
      <c r="Q23" s="1">
        <f>'2x8'!R15</f>
        <v>0.78347694383346023</v>
      </c>
      <c r="R23" s="1">
        <f>'2x9'!R15</f>
        <v>0.80271225771230836</v>
      </c>
      <c r="S23" s="1">
        <f>'2x10'!R15</f>
        <v>0.81561972888656153</v>
      </c>
      <c r="T23">
        <v>9</v>
      </c>
      <c r="U23" s="1">
        <f>'3x4'!R15</f>
        <v>-0.14277817312491009</v>
      </c>
      <c r="V23" s="1">
        <f>'3x5'!R15</f>
        <v>-5.6087148274541754E-2</v>
      </c>
      <c r="W23" s="1">
        <f>'3x6'!R15</f>
        <v>5.8254607256805202E-3</v>
      </c>
      <c r="X23" s="1">
        <f>'3x7'!R15</f>
        <v>5.0026188824961126E-2</v>
      </c>
      <c r="Y23" s="1">
        <f>'3x8'!R15</f>
        <v>8.1587200462392095E-2</v>
      </c>
      <c r="Z23" s="1">
        <f>'3x9'!R15</f>
        <v>0.10413335202189899</v>
      </c>
      <c r="AA23" s="1">
        <f>'3x10'!R15</f>
        <v>0.12024865994215517</v>
      </c>
    </row>
    <row r="24" spans="1:27" x14ac:dyDescent="0.2">
      <c r="A24">
        <v>10</v>
      </c>
      <c r="B24" s="1">
        <f>'1x2'!R16</f>
        <v>0.94746533337197159</v>
      </c>
      <c r="C24" s="1">
        <f>'1x3'!R16</f>
        <v>0.99307290466033071</v>
      </c>
      <c r="D24" s="1">
        <f>'1x4'!R16</f>
        <v>0.998148609569951</v>
      </c>
      <c r="E24" s="1">
        <f>'1x5'!R16</f>
        <v>0.99922114648772176</v>
      </c>
      <c r="F24" s="1">
        <f>'1x6'!R16</f>
        <v>0.99956495445752502</v>
      </c>
      <c r="G24" s="1">
        <f>'1x7'!R16</f>
        <v>0.99970814635582217</v>
      </c>
      <c r="H24" s="1">
        <f>'1x8'!R16</f>
        <v>0.99977882515097305</v>
      </c>
      <c r="I24" s="1">
        <f>'1x9'!R16</f>
        <v>0.99981790163086648</v>
      </c>
      <c r="J24" s="1">
        <f>'1x10'!R16</f>
        <v>0.99984124279982733</v>
      </c>
      <c r="K24">
        <v>10</v>
      </c>
      <c r="L24" s="1">
        <f>'2x3'!R16</f>
        <v>0.32647015726176731</v>
      </c>
      <c r="M24" s="1">
        <f>'2x4'!R16</f>
        <v>0.52478047061775746</v>
      </c>
      <c r="N24" s="1">
        <f>'2x5'!R16</f>
        <v>0.64864202159259776</v>
      </c>
      <c r="O24" s="1">
        <f>'2x6'!R16</f>
        <v>0.72453239226090949</v>
      </c>
      <c r="P24" s="1">
        <f>'2x7'!R16</f>
        <v>0.7715685991147837</v>
      </c>
      <c r="Q24" s="1">
        <f>'2x8'!R16</f>
        <v>0.80144365280692342</v>
      </c>
      <c r="R24" s="1">
        <f>'2x9'!R16</f>
        <v>0.82092008317493026</v>
      </c>
      <c r="S24" s="1">
        <f>'2x10'!R16</f>
        <v>0.83391108132747005</v>
      </c>
      <c r="T24">
        <v>10</v>
      </c>
      <c r="U24" s="1">
        <f>'3x4'!R16</f>
        <v>-0.14264118318330898</v>
      </c>
      <c r="V24" s="1">
        <f>'3x5'!R16</f>
        <v>-5.5779579709749783E-2</v>
      </c>
      <c r="W24" s="1">
        <f>'3x6'!R16</f>
        <v>6.3419751214394693E-3</v>
      </c>
      <c r="X24" s="1">
        <f>'3x7'!R16</f>
        <v>5.0754137366238461E-2</v>
      </c>
      <c r="Y24" s="1">
        <f>'3x8'!R16</f>
        <v>8.2505441414793546E-2</v>
      </c>
      <c r="Z24" s="1">
        <f>'3x9'!R16</f>
        <v>0.10521058570321357</v>
      </c>
      <c r="AA24" s="1">
        <f>'3x10'!R16</f>
        <v>0.12145244942068623</v>
      </c>
    </row>
    <row r="25" spans="1:27" x14ac:dyDescent="0.2">
      <c r="B25" s="367" t="s">
        <v>153</v>
      </c>
      <c r="C25" s="367"/>
      <c r="D25" s="367"/>
      <c r="E25" s="367"/>
      <c r="F25" s="367"/>
      <c r="G25" s="367"/>
      <c r="H25" s="367"/>
      <c r="I25" s="367"/>
      <c r="J25" s="367"/>
      <c r="L25" s="367" t="s">
        <v>153</v>
      </c>
      <c r="M25" s="367"/>
      <c r="N25" s="367"/>
      <c r="O25" s="367"/>
      <c r="P25" s="367"/>
      <c r="Q25" s="367"/>
      <c r="R25" s="367"/>
      <c r="S25" s="367"/>
      <c r="U25" s="367" t="s">
        <v>168</v>
      </c>
      <c r="V25" s="367"/>
      <c r="W25" s="367"/>
      <c r="X25" s="367"/>
      <c r="Y25" s="367"/>
      <c r="Z25" s="367"/>
      <c r="AA25" s="367"/>
    </row>
    <row r="26" spans="1:27" x14ac:dyDescent="0.2">
      <c r="A26" s="31" t="s">
        <v>57</v>
      </c>
      <c r="B26" s="49" t="s">
        <v>141</v>
      </c>
      <c r="C26" s="49" t="s">
        <v>142</v>
      </c>
      <c r="D26" s="49" t="s">
        <v>143</v>
      </c>
      <c r="E26" s="49" t="s">
        <v>144</v>
      </c>
      <c r="F26" s="49" t="s">
        <v>145</v>
      </c>
      <c r="G26" s="49" t="s">
        <v>146</v>
      </c>
      <c r="H26" s="49" t="s">
        <v>147</v>
      </c>
      <c r="I26" s="49" t="s">
        <v>148</v>
      </c>
      <c r="J26" s="49" t="s">
        <v>149</v>
      </c>
      <c r="K26" s="31" t="s">
        <v>57</v>
      </c>
      <c r="L26" s="49" t="s">
        <v>158</v>
      </c>
      <c r="M26" s="49" t="s">
        <v>159</v>
      </c>
      <c r="N26" s="49" t="s">
        <v>160</v>
      </c>
      <c r="O26" s="49" t="s">
        <v>161</v>
      </c>
      <c r="P26" s="49" t="s">
        <v>162</v>
      </c>
      <c r="Q26" s="49" t="s">
        <v>163</v>
      </c>
      <c r="R26" s="49" t="s">
        <v>164</v>
      </c>
      <c r="S26" s="49" t="s">
        <v>165</v>
      </c>
      <c r="T26" s="31" t="s">
        <v>57</v>
      </c>
      <c r="U26" s="49" t="s">
        <v>169</v>
      </c>
      <c r="V26" s="49" t="s">
        <v>170</v>
      </c>
      <c r="W26" s="49" t="s">
        <v>171</v>
      </c>
      <c r="X26" s="49" t="s">
        <v>172</v>
      </c>
      <c r="Y26" s="49" t="s">
        <v>173</v>
      </c>
      <c r="Z26" s="49" t="s">
        <v>174</v>
      </c>
      <c r="AA26" s="49" t="s">
        <v>175</v>
      </c>
    </row>
    <row r="27" spans="1:27" x14ac:dyDescent="0.2">
      <c r="A27" s="274">
        <v>1</v>
      </c>
      <c r="B27" s="1">
        <f>'1x2'!E21</f>
        <v>19.380224308650003</v>
      </c>
      <c r="C27" s="1">
        <f>'1x3'!E21</f>
        <v>13.030902752565376</v>
      </c>
      <c r="D27" s="1">
        <f>'1x4'!E21</f>
        <v>13.282157703260239</v>
      </c>
      <c r="E27" s="1">
        <f>'1x5'!E21</f>
        <v>14.516091898240006</v>
      </c>
      <c r="F27" s="1">
        <f>'1x6'!E21</f>
        <v>16.115662659428747</v>
      </c>
      <c r="G27" s="1">
        <f>'1x7'!E21</f>
        <v>17.909133338241897</v>
      </c>
      <c r="H27" s="1">
        <f>'1x8'!E21</f>
        <v>19.826665338578159</v>
      </c>
      <c r="I27" s="1">
        <f>'1x9'!E21</f>
        <v>21.832275356266774</v>
      </c>
      <c r="J27" s="1">
        <f>'1x10'!E21</f>
        <v>23.90407125373833</v>
      </c>
      <c r="K27" s="274">
        <v>1</v>
      </c>
      <c r="L27" s="1">
        <f>'2x4'!D33</f>
        <v>4</v>
      </c>
      <c r="M27" s="1">
        <f>'2x4'!E21</f>
        <v>-31.914845027994744</v>
      </c>
      <c r="N27" s="1">
        <f>'2x5'!E21</f>
        <v>-64.513589681892029</v>
      </c>
      <c r="O27" s="1">
        <f>'2x6'!E21</f>
        <v>-131.42320790864352</v>
      </c>
      <c r="P27" s="1">
        <f>'2x7'!E21</f>
        <v>-292.09672438042276</v>
      </c>
      <c r="Q27" s="1">
        <f>'2x8'!E21</f>
        <v>-892.14944281923442</v>
      </c>
      <c r="R27" s="1">
        <f>'2x9'!E21</f>
        <v>5948.7503524171261</v>
      </c>
      <c r="S27" s="1">
        <f>'2x10'!E21</f>
        <v>1124.8431732933502</v>
      </c>
      <c r="T27" s="274">
        <v>1</v>
      </c>
      <c r="U27" s="1">
        <f>'3x4'!E21</f>
        <v>-10.003905745462683</v>
      </c>
      <c r="V27" s="1">
        <f>'3x5'!E21</f>
        <v>-13.948284732283932</v>
      </c>
      <c r="W27" s="1">
        <f>'3x6'!E21</f>
        <v>-18.165900910064718</v>
      </c>
      <c r="X27" s="1">
        <f>'3x7'!E21</f>
        <v>-22.522160517863032</v>
      </c>
      <c r="Y27" s="1">
        <f>'3x8'!E21</f>
        <v>-26.918823514888587</v>
      </c>
      <c r="Z27" s="1">
        <f>'3x9'!E21</f>
        <v>-31.292845926543283</v>
      </c>
      <c r="AA27" s="1">
        <f>'3x10'!E21</f>
        <v>-35.609465685472848</v>
      </c>
    </row>
    <row r="28" spans="1:27" x14ac:dyDescent="0.2">
      <c r="A28">
        <v>2</v>
      </c>
      <c r="B28" s="1">
        <f>'1x2'!E22</f>
        <v>12.883072963545962</v>
      </c>
      <c r="C28" s="1">
        <f>'1x3'!E22</f>
        <v>19.613633686215511</v>
      </c>
      <c r="D28" s="1">
        <f>'1x4'!E22</f>
        <v>29.241240660485374</v>
      </c>
      <c r="E28" s="1">
        <f>'1x5'!E22</f>
        <v>41.413693033190086</v>
      </c>
      <c r="F28" s="1">
        <f>'1x6'!E22</f>
        <v>56.079559294460843</v>
      </c>
      <c r="G28" s="1">
        <f>'1x7'!E22</f>
        <v>73.238946698657955</v>
      </c>
      <c r="H28" s="1">
        <f>'1x8'!E22</f>
        <v>92.903204749710255</v>
      </c>
      <c r="I28" s="1">
        <f>'1x9'!E22</f>
        <v>115.08451039891871</v>
      </c>
      <c r="J28" s="1">
        <f>'1x10'!E22</f>
        <v>139.79270980119577</v>
      </c>
      <c r="K28">
        <v>2</v>
      </c>
      <c r="L28" s="1">
        <f>'2x4'!D34</f>
        <v>24</v>
      </c>
      <c r="M28" s="1">
        <f>'2x4'!E22</f>
        <v>124.88506948081935</v>
      </c>
      <c r="N28" s="1">
        <f>'2x5'!E22</f>
        <v>131.8460480382536</v>
      </c>
      <c r="O28" s="1">
        <f>'2x6'!E22</f>
        <v>154.65179461493622</v>
      </c>
      <c r="P28" s="1">
        <f>'2x7'!E22</f>
        <v>185.96535091569376</v>
      </c>
      <c r="Q28" s="1">
        <f>'2x8'!E22</f>
        <v>224.06050449599172</v>
      </c>
      <c r="R28" s="1">
        <f>'2x9'!E22</f>
        <v>268.37668747038981</v>
      </c>
      <c r="S28" s="1">
        <f>'2x10'!E22</f>
        <v>318.70072104285822</v>
      </c>
      <c r="T28">
        <v>2</v>
      </c>
      <c r="U28" s="1">
        <f>'3x4'!E22</f>
        <v>-83.236703751596522</v>
      </c>
      <c r="V28" s="1">
        <f>'3x5'!E22</f>
        <v>-166.89281947251706</v>
      </c>
      <c r="W28" s="1">
        <f>'3x6'!E22</f>
        <v>-303.50393585391754</v>
      </c>
      <c r="X28" s="1">
        <f>'3x7'!E22</f>
        <v>-510.29876041288577</v>
      </c>
      <c r="Y28" s="1">
        <f>'3x8'!E22</f>
        <v>-802.5059675613827</v>
      </c>
      <c r="Z28" s="1">
        <f>'3x9'!E22</f>
        <v>-1190.0354863091745</v>
      </c>
      <c r="AA28" s="1">
        <f>'3x10'!E22</f>
        <v>-1675.2889162501008</v>
      </c>
    </row>
    <row r="29" spans="1:27" x14ac:dyDescent="0.2">
      <c r="A29">
        <v>3</v>
      </c>
      <c r="B29" s="1">
        <f>'1x2'!E23</f>
        <v>21.767119723802981</v>
      </c>
      <c r="C29" s="1">
        <f>'1x3'!E23</f>
        <v>49.782326653186303</v>
      </c>
      <c r="D29" s="1">
        <f>'1x4'!E23</f>
        <v>99.580524546258616</v>
      </c>
      <c r="E29" s="1">
        <f>'1x5'!E23</f>
        <v>177.3299355023631</v>
      </c>
      <c r="F29" s="1">
        <f>'1x6'!E23</f>
        <v>289.43253895704834</v>
      </c>
      <c r="G29" s="1">
        <f>'1x7'!E23</f>
        <v>442.36661763385865</v>
      </c>
      <c r="H29" s="1">
        <f>'1x8'!E23</f>
        <v>642.65084712196108</v>
      </c>
      <c r="I29" s="1">
        <f>'1x9'!E23</f>
        <v>896.82701136380854</v>
      </c>
      <c r="J29" s="1">
        <f>'1x10'!E23</f>
        <v>1211.4482663130677</v>
      </c>
      <c r="K29">
        <v>3</v>
      </c>
      <c r="L29" s="1">
        <f>'2x4'!D35</f>
        <v>124</v>
      </c>
      <c r="M29" s="1">
        <f>'2x4'!E23</f>
        <v>281.43294953145545</v>
      </c>
      <c r="N29" s="1">
        <f>'2x5'!E23</f>
        <v>409.79562090242746</v>
      </c>
      <c r="O29" s="1">
        <f>'2x6'!E23</f>
        <v>600.65101213675109</v>
      </c>
      <c r="P29" s="1">
        <f>'2x7'!E23</f>
        <v>860.85482824729002</v>
      </c>
      <c r="Q29" s="1">
        <f>'2x8'!E23</f>
        <v>1200.485973722635</v>
      </c>
      <c r="R29" s="1">
        <f>'2x9'!E23</f>
        <v>1630.6065306209794</v>
      </c>
      <c r="S29" s="1">
        <f>'2x10'!E23</f>
        <v>2162.6657348990457</v>
      </c>
      <c r="T29">
        <v>3</v>
      </c>
      <c r="U29" s="1">
        <f>'3x4'!E23</f>
        <v>-460.29871498189277</v>
      </c>
      <c r="V29" s="1">
        <f>'3x5'!E23</f>
        <v>-1399.5501128116152</v>
      </c>
      <c r="W29" s="1">
        <f>'3x6'!E23</f>
        <v>-4208.33313562685</v>
      </c>
      <c r="X29" s="1">
        <f>'3x7'!E23</f>
        <v>-14822.325277720432</v>
      </c>
      <c r="Y29" s="1">
        <f>'3x8'!E23</f>
        <v>-207044.78283468209</v>
      </c>
      <c r="Z29" s="1">
        <f>'3x9'!E23</f>
        <v>57813.475919769429</v>
      </c>
      <c r="AA29" s="1">
        <f>'3x10'!E23</f>
        <v>42376.656268188075</v>
      </c>
    </row>
    <row r="30" spans="1:27" x14ac:dyDescent="0.2">
      <c r="A30">
        <v>4</v>
      </c>
      <c r="B30" s="1">
        <f>'1x2'!E24</f>
        <v>40.178293258402711</v>
      </c>
      <c r="C30" s="1">
        <f>'1x3'!E24</f>
        <v>137.44512181693045</v>
      </c>
      <c r="D30" s="1">
        <f>'1x4'!E24</f>
        <v>369.8249632467988</v>
      </c>
      <c r="E30" s="1">
        <f>'1x5'!E24</f>
        <v>829.4091820761123</v>
      </c>
      <c r="F30" s="1">
        <f>'1x6'!E24</f>
        <v>1633.1589858550701</v>
      </c>
      <c r="G30" s="1">
        <f>'1x7'!E24</f>
        <v>2922.8534815563962</v>
      </c>
      <c r="H30" s="1">
        <f>'1x8'!E24</f>
        <v>4865.119305799446</v>
      </c>
      <c r="I30" s="1">
        <f>'1x9'!E24</f>
        <v>7651.4505107375808</v>
      </c>
      <c r="J30" s="1">
        <f>'1x10'!E24</f>
        <v>11498.209412518325</v>
      </c>
      <c r="K30">
        <v>4</v>
      </c>
      <c r="L30" s="1">
        <f>'2x4'!D36</f>
        <v>624</v>
      </c>
      <c r="M30" s="1">
        <f>'2x4'!E24</f>
        <v>899.265034121432</v>
      </c>
      <c r="N30" s="1">
        <f>'2x5'!E24</f>
        <v>1669.4347566570532</v>
      </c>
      <c r="O30" s="1">
        <f>'2x6'!E24</f>
        <v>2966.8785323574602</v>
      </c>
      <c r="P30" s="1">
        <f>'2x7'!E24</f>
        <v>4993.2181793640875</v>
      </c>
      <c r="Q30" s="1">
        <f>'2x8'!E24</f>
        <v>7992.8249625102799</v>
      </c>
      <c r="R30" s="1">
        <f>'2x9'!E24</f>
        <v>12250.650121208197</v>
      </c>
      <c r="S30" s="1">
        <f>'2x10'!E24</f>
        <v>18091.614907652322</v>
      </c>
      <c r="T30">
        <v>4</v>
      </c>
      <c r="U30" s="1">
        <f>'3x4'!E24</f>
        <v>-2133.9157264795253</v>
      </c>
      <c r="V30" s="1">
        <f>'3x5'!E24</f>
        <v>-9642.4005926004702</v>
      </c>
      <c r="W30" s="1">
        <f>'3x6'!E24</f>
        <v>-59034.350710755651</v>
      </c>
      <c r="X30" s="1">
        <f>'3x7'!E24</f>
        <v>236180.45439505344</v>
      </c>
      <c r="Y30" s="1">
        <f>'3x8'!E24</f>
        <v>120894.09632118198</v>
      </c>
      <c r="Z30" s="1">
        <f>'3x9'!E24</f>
        <v>127926.93542087906</v>
      </c>
      <c r="AA30" s="1">
        <f>'3x10'!E24</f>
        <v>156153.43804523721</v>
      </c>
    </row>
    <row r="31" spans="1:27" x14ac:dyDescent="0.2">
      <c r="A31">
        <v>5</v>
      </c>
      <c r="B31" s="1">
        <f>'1x2'!E25</f>
        <v>76.233434167860011</v>
      </c>
      <c r="C31" s="1">
        <f>'1x3'!E25</f>
        <v>393.02139053477481</v>
      </c>
      <c r="D31" s="1">
        <f>'1x4'!E25</f>
        <v>1424.3890284865449</v>
      </c>
      <c r="E31" s="1">
        <f>'1x5'!E25</f>
        <v>4020.1010838636826</v>
      </c>
      <c r="F31" s="1">
        <f>'1x6'!E25</f>
        <v>9539.1649072222626</v>
      </c>
      <c r="G31" s="1">
        <f>'1x7'!E25</f>
        <v>19971.28308901074</v>
      </c>
      <c r="H31" s="1">
        <f>'1x8'!E25</f>
        <v>38058.539734381688</v>
      </c>
      <c r="I31" s="1">
        <f>'1x9'!E25</f>
        <v>67417.145407854507</v>
      </c>
      <c r="J31" s="1">
        <f>'1x10'!E25</f>
        <v>112659.15978746426</v>
      </c>
      <c r="K31">
        <v>5</v>
      </c>
      <c r="L31" s="1">
        <f>'2x4'!D37</f>
        <v>3124</v>
      </c>
      <c r="M31" s="1">
        <f>'2x4'!E25</f>
        <v>3183.2164034160046</v>
      </c>
      <c r="N31" s="1">
        <f>'2x5'!E25</f>
        <v>7432.7181072191706</v>
      </c>
      <c r="O31" s="1">
        <f>'2x6'!E25</f>
        <v>15916.576440189645</v>
      </c>
      <c r="P31" s="1">
        <f>'2x7'!E25</f>
        <v>31347.03208606214</v>
      </c>
      <c r="Q31" s="1">
        <f>'2x8'!E25</f>
        <v>57475.741622324516</v>
      </c>
      <c r="R31" s="1">
        <f>'2x9'!E25</f>
        <v>99268.793489809992</v>
      </c>
      <c r="S31" s="1">
        <f>'2x10'!E25</f>
        <v>163083.74810597009</v>
      </c>
      <c r="T31">
        <v>5</v>
      </c>
      <c r="U31" s="1">
        <f>'3x4'!E25</f>
        <v>-9112.8854287002032</v>
      </c>
      <c r="V31" s="1">
        <f>'3x5'!E25</f>
        <v>-57986.082240001771</v>
      </c>
      <c r="W31" s="1">
        <f>'3x6'!E25</f>
        <v>-974873.63211370981</v>
      </c>
      <c r="X31" s="1">
        <f>'3x7'!E25</f>
        <v>630644.43324788776</v>
      </c>
      <c r="Y31" s="1">
        <f>'3x8'!E25</f>
        <v>626135.04621182254</v>
      </c>
      <c r="Z31" s="1">
        <f>'3x9'!E25</f>
        <v>828733.59395755781</v>
      </c>
      <c r="AA31" s="1">
        <f>'3x10'!E25</f>
        <v>1174325.4536794864</v>
      </c>
    </row>
    <row r="32" spans="1:27" x14ac:dyDescent="0.2">
      <c r="A32">
        <v>6</v>
      </c>
      <c r="B32" s="1">
        <f>'1x2'!E26</f>
        <v>146.69443697494555</v>
      </c>
      <c r="C32" s="1">
        <f>'1x3'!E26</f>
        <v>1145.4717277930013</v>
      </c>
      <c r="D32" s="1">
        <f>'1x4'!E26</f>
        <v>5585.7610194436384</v>
      </c>
      <c r="E32" s="1">
        <f>'1x5'!E26</f>
        <v>19804.569707334456</v>
      </c>
      <c r="F32" s="1">
        <f>'1x6'!E26</f>
        <v>56550.333213805396</v>
      </c>
      <c r="G32" s="1">
        <f>'1x7'!E26</f>
        <v>138356.86525716577</v>
      </c>
      <c r="H32" s="1">
        <f>'1x8'!E26</f>
        <v>301641.63357701519</v>
      </c>
      <c r="I32" s="1">
        <f>'1x9'!E26</f>
        <v>601528.32287763979</v>
      </c>
      <c r="J32" s="1">
        <f>'1x10'!E26</f>
        <v>1117393.5224213742</v>
      </c>
      <c r="K32">
        <v>6</v>
      </c>
      <c r="L32" s="1">
        <f>'2x4'!D38</f>
        <v>15624</v>
      </c>
      <c r="M32" s="1">
        <f>'2x4'!E26</f>
        <v>11808.742037740993</v>
      </c>
      <c r="N32" s="1">
        <f>'2x5'!E26</f>
        <v>34508.726542597688</v>
      </c>
      <c r="O32" s="1">
        <f>'2x6'!E26</f>
        <v>88812.67026309135</v>
      </c>
      <c r="P32" s="1">
        <f>'2x7'!E26</f>
        <v>204370.01566063834</v>
      </c>
      <c r="Q32" s="1">
        <f>'2x8'!E26</f>
        <v>428793.52743429079</v>
      </c>
      <c r="R32" s="1">
        <f>'2x9'!E26</f>
        <v>833997.39056226762</v>
      </c>
      <c r="S32" s="1">
        <f>'2x10'!E26</f>
        <v>1523533.2087572366</v>
      </c>
      <c r="T32">
        <v>6</v>
      </c>
      <c r="U32" s="1">
        <f>'3x4'!E26</f>
        <v>-37502.949923968765</v>
      </c>
      <c r="V32" s="1">
        <f>'3x5'!E26</f>
        <v>-319835.39187306562</v>
      </c>
      <c r="W32" s="1">
        <f>'3x6'!E26</f>
        <v>-41728633.382488579</v>
      </c>
      <c r="X32" s="1">
        <f>'3x7'!E26</f>
        <v>3355358.6406302787</v>
      </c>
      <c r="Y32" s="1">
        <f>'3x8'!E26</f>
        <v>4228180.8011980727</v>
      </c>
      <c r="Z32" s="1">
        <f>'3x9'!E26</f>
        <v>6489151.6156459833</v>
      </c>
      <c r="AA32" s="1">
        <f>'3x10'!E26</f>
        <v>10357044.507831814</v>
      </c>
    </row>
    <row r="33" spans="1:27" x14ac:dyDescent="0.2">
      <c r="A33">
        <v>7</v>
      </c>
      <c r="B33" s="1">
        <f>'1x2'!E27</f>
        <v>284.90021126348978</v>
      </c>
      <c r="C33" s="1">
        <f>'1x3'!E27</f>
        <v>3376.1969869601139</v>
      </c>
      <c r="D33" s="1">
        <f>'1x4'!E27</f>
        <v>22109.754520011702</v>
      </c>
      <c r="E33" s="1">
        <f>'1x5'!E27</f>
        <v>98317.396288256699</v>
      </c>
      <c r="F33" s="1">
        <f>'1x6'!E27</f>
        <v>337458.82910440874</v>
      </c>
      <c r="G33" s="1">
        <f>'1x7'!E27</f>
        <v>964152.93760938547</v>
      </c>
      <c r="H33" s="1">
        <f>'1x8'!E27</f>
        <v>2403675.6287268936</v>
      </c>
      <c r="I33" s="1">
        <f>'1x9'!E27</f>
        <v>5394476.16302309</v>
      </c>
      <c r="J33" s="1">
        <f>'1x10'!E27</f>
        <v>11136763.443068126</v>
      </c>
      <c r="K33">
        <v>7</v>
      </c>
      <c r="L33" s="1">
        <f>'2x4'!D39</f>
        <v>78124</v>
      </c>
      <c r="M33" s="1">
        <f>'2x4'!E27</f>
        <v>44942.315604039672</v>
      </c>
      <c r="N33" s="1">
        <f>'2x5'!E27</f>
        <v>163977.56869921551</v>
      </c>
      <c r="O33" s="1">
        <f>'2x6'!E27</f>
        <v>506505.30374743982</v>
      </c>
      <c r="P33" s="1">
        <f>'2x7'!E27</f>
        <v>1360701.6587617111</v>
      </c>
      <c r="Q33" s="1">
        <f>'2x8'!E27</f>
        <v>3265190.8361099064</v>
      </c>
      <c r="R33" s="1">
        <f>'2x9'!E27</f>
        <v>7149290.3909851965</v>
      </c>
      <c r="S33" s="1">
        <f>'2x10'!E27</f>
        <v>14519036.268513869</v>
      </c>
      <c r="T33">
        <v>7</v>
      </c>
      <c r="U33" s="1">
        <f>'3x4'!E27</f>
        <v>-151858.85464649956</v>
      </c>
      <c r="V33" s="1">
        <f>'3x5'!E27</f>
        <v>-1680171.0062880465</v>
      </c>
      <c r="W33" s="1">
        <f>'3x6'!E27</f>
        <v>122134754.96524988</v>
      </c>
      <c r="X33" s="1">
        <f>'3x7'!E27</f>
        <v>20892270.536986869</v>
      </c>
      <c r="Y33" s="1">
        <f>'3x8'!E27</f>
        <v>31234488.315986667</v>
      </c>
      <c r="Z33" s="1">
        <f>'3x9'!E27</f>
        <v>54557475.485742345</v>
      </c>
      <c r="AA33" s="1">
        <f>'3x10'!E27</f>
        <v>97263170.439845398</v>
      </c>
    </row>
    <row r="34" spans="1:27" x14ac:dyDescent="0.2">
      <c r="A34">
        <v>8</v>
      </c>
      <c r="B34" s="1">
        <f>'1x2'!E28</f>
        <v>557.03945483290022</v>
      </c>
      <c r="C34" s="1">
        <f>'1x3'!E28</f>
        <v>10018.86754585537</v>
      </c>
      <c r="D34" s="1">
        <f>'1x4'!E28</f>
        <v>87945.93151270345</v>
      </c>
      <c r="E34" s="1">
        <f>'1x5'!E28</f>
        <v>489886.70511016261</v>
      </c>
      <c r="F34" s="1">
        <f>'1x6'!E28</f>
        <v>2019740.8386423788</v>
      </c>
      <c r="G34" s="1">
        <f>'1x7'!E28</f>
        <v>6735854.2208362604</v>
      </c>
      <c r="H34" s="1">
        <f>'1x8'!E28</f>
        <v>19197474.655311458</v>
      </c>
      <c r="I34" s="1">
        <f>'1x9'!E28</f>
        <v>48478539.311407149</v>
      </c>
      <c r="J34" s="1">
        <f>'1x10'!E28</f>
        <v>111216122.12948537</v>
      </c>
      <c r="K34">
        <v>8</v>
      </c>
      <c r="L34" s="1">
        <f>'2x4'!D40</f>
        <v>390624</v>
      </c>
      <c r="M34" s="1">
        <f>'2x4'!E28</f>
        <v>173698.7582807354</v>
      </c>
      <c r="N34" s="1">
        <f>'2x5'!E28</f>
        <v>790293.32881986117</v>
      </c>
      <c r="O34" s="1">
        <f>'2x6'!E28</f>
        <v>2927556.426216383</v>
      </c>
      <c r="P34" s="1">
        <f>'2x7'!E28</f>
        <v>9177232.0041361768</v>
      </c>
      <c r="Q34" s="1">
        <f>'2x8'!E28</f>
        <v>25179005.058193531</v>
      </c>
      <c r="R34" s="1">
        <f>'2x9'!E28</f>
        <v>62050188.008006036</v>
      </c>
      <c r="S34" s="1">
        <f>'2x10'!E28</f>
        <v>140070406.82775152</v>
      </c>
      <c r="T34">
        <v>8</v>
      </c>
      <c r="U34" s="1">
        <f>'3x4'!E28</f>
        <v>-610631.22295357357</v>
      </c>
      <c r="V34" s="1">
        <f>'3x5'!E28</f>
        <v>-8605716.8979750127</v>
      </c>
      <c r="W34" s="1">
        <f>'3x6'!E28</f>
        <v>420089194.93728501</v>
      </c>
      <c r="X34" s="1">
        <f>'3x7'!E28</f>
        <v>138277030.59127131</v>
      </c>
      <c r="Y34" s="1">
        <f>'3x8'!E28</f>
        <v>240011865.83379674</v>
      </c>
      <c r="Z34" s="1">
        <f>'3x9'!E28</f>
        <v>473944889.16441751</v>
      </c>
      <c r="AA34" s="1">
        <f>'3x10'!E28</f>
        <v>940849608.45487797</v>
      </c>
    </row>
    <row r="35" spans="1:27" x14ac:dyDescent="0.2">
      <c r="A35">
        <v>9</v>
      </c>
      <c r="B35" s="1">
        <f>'1x2'!E29</f>
        <v>1094.6504987585356</v>
      </c>
      <c r="C35" s="1">
        <f>'1x3'!E29</f>
        <v>29854.65611429391</v>
      </c>
      <c r="D35" s="1">
        <f>'1x4'!E29</f>
        <v>350734.11671241355</v>
      </c>
      <c r="E35" s="1">
        <f>'1x5'!E29</f>
        <v>2445312.450884419</v>
      </c>
      <c r="F35" s="1">
        <f>'1x6'!E29</f>
        <v>12104749.707764093</v>
      </c>
      <c r="G35" s="1">
        <f>'1x7'!E29</f>
        <v>47110605.98130627</v>
      </c>
      <c r="H35" s="1">
        <f>'1x8'!E29</f>
        <v>153471562.9396235</v>
      </c>
      <c r="I35" s="1">
        <f>'1x9'!E29</f>
        <v>436038846.50359732</v>
      </c>
      <c r="J35" s="1">
        <f>'1x10'!E29</f>
        <v>1111541441.7927327</v>
      </c>
      <c r="K35">
        <v>9</v>
      </c>
      <c r="L35" s="1">
        <f>'2x4'!D41</f>
        <v>1953124</v>
      </c>
      <c r="M35" s="1">
        <f>'2x4'!E29</f>
        <v>678006.20526843425</v>
      </c>
      <c r="N35" s="1">
        <f>'2x5'!E29</f>
        <v>3844259.2310922891</v>
      </c>
      <c r="O35" s="1">
        <f>'2x6'!E29</f>
        <v>17070538.658859141</v>
      </c>
      <c r="P35" s="1">
        <f>'2x7'!E29</f>
        <v>62423951.060096152</v>
      </c>
      <c r="Q35" s="1">
        <f>'2x8'!E29</f>
        <v>195783282.72108757</v>
      </c>
      <c r="R35" s="1">
        <f>'2x9'!E29</f>
        <v>542969220.67958212</v>
      </c>
      <c r="S35" s="1">
        <f>'2x10'!E29</f>
        <v>1362290624.7214334</v>
      </c>
      <c r="T35">
        <v>9</v>
      </c>
      <c r="U35" s="1">
        <f>'3x4'!E29</f>
        <v>-2448021.2370711416</v>
      </c>
      <c r="V35" s="1">
        <f>'3x5'!E29</f>
        <v>-43528777.538296886</v>
      </c>
      <c r="W35" s="1">
        <f>'3x6'!E29</f>
        <v>2075927479.2960327</v>
      </c>
      <c r="X35" s="1">
        <f>'3x7'!E29</f>
        <v>941091218.53610611</v>
      </c>
      <c r="Y35" s="1">
        <f>'3x8'!E29</f>
        <v>1880095004.2489376</v>
      </c>
      <c r="Z35" s="1">
        <f>'3x9'!E29</f>
        <v>4185479873.0414653</v>
      </c>
      <c r="AA35" s="1">
        <f>'3x10'!E29</f>
        <v>9240112201.9529591</v>
      </c>
    </row>
    <row r="36" spans="1:27" x14ac:dyDescent="0.2">
      <c r="A36">
        <v>10</v>
      </c>
      <c r="B36" s="1">
        <f>'1x2'!E30</f>
        <v>2159.4457632749582</v>
      </c>
      <c r="C36" s="1">
        <f>'1x3'!E30</f>
        <v>89189.826431016205</v>
      </c>
      <c r="D36" s="1">
        <f>'1x4'!E30</f>
        <v>1400693.2300415332</v>
      </c>
      <c r="E36" s="1">
        <f>'1x5'!E30</f>
        <v>12216544.898902414</v>
      </c>
      <c r="F36" s="1">
        <f>'1x6'!E30</f>
        <v>72590990.386791617</v>
      </c>
      <c r="G36" s="1">
        <f>'1x7'!E30</f>
        <v>329650665.74810421</v>
      </c>
      <c r="H36" s="1">
        <f>'1x8'!E30</f>
        <v>1227404983.1118348</v>
      </c>
      <c r="I36" s="1">
        <f>'1x9'!E30</f>
        <v>3923346885.0693164</v>
      </c>
      <c r="J36" s="1">
        <f>'1x10'!E30</f>
        <v>11112875358.977859</v>
      </c>
      <c r="K36">
        <v>10</v>
      </c>
      <c r="L36" s="1">
        <f>'2x4'!D42</f>
        <v>9765624</v>
      </c>
      <c r="M36" s="1">
        <f>'2x4'!E30</f>
        <v>2664161.6414463636</v>
      </c>
      <c r="N36" s="1">
        <f>'2x5'!E30</f>
        <v>18819363.522006057</v>
      </c>
      <c r="O36" s="1">
        <f>'2x6'!E30</f>
        <v>100146536.95962128</v>
      </c>
      <c r="P36" s="1">
        <f>'2x7'!E30</f>
        <v>427122690.55285037</v>
      </c>
      <c r="Q36" s="1">
        <f>'2x8'!E30</f>
        <v>1531153821.8590522</v>
      </c>
      <c r="R36" s="1">
        <f>'2x9'!E30</f>
        <v>4778336564.5400152</v>
      </c>
      <c r="S36" s="1">
        <f>'2x10'!E30</f>
        <v>13324095768.475294</v>
      </c>
      <c r="T36">
        <v>10</v>
      </c>
      <c r="U36" s="1">
        <f>'3x4'!E30</f>
        <v>-9801517.1270929091</v>
      </c>
      <c r="V36" s="1">
        <f>'3x5'!E30</f>
        <v>-218844065.57954609</v>
      </c>
      <c r="W36" s="1">
        <f>'3x6'!E30</f>
        <v>11441137596.820284</v>
      </c>
      <c r="X36" s="1">
        <f>'3x7'!E30</f>
        <v>6493154511.1673775</v>
      </c>
      <c r="Y36" s="1">
        <f>'3x8'!E30</f>
        <v>14873364604.288635</v>
      </c>
      <c r="Z36" s="1">
        <f>'3x9'!E30</f>
        <v>37283629054.829857</v>
      </c>
      <c r="AA36" s="1">
        <f>'3x10'!E30</f>
        <v>91485278090.303497</v>
      </c>
    </row>
    <row r="37" spans="1:27" x14ac:dyDescent="0.2">
      <c r="B37" s="367" t="s">
        <v>154</v>
      </c>
      <c r="C37" s="367"/>
      <c r="D37" s="367"/>
      <c r="E37" s="367"/>
      <c r="F37" s="367"/>
      <c r="G37" s="367"/>
      <c r="H37" s="367"/>
      <c r="I37" s="367"/>
      <c r="J37" s="367"/>
      <c r="L37" s="367" t="s">
        <v>166</v>
      </c>
      <c r="M37" s="367"/>
      <c r="N37" s="367"/>
      <c r="O37" s="367"/>
      <c r="P37" s="367"/>
      <c r="Q37" s="367"/>
      <c r="R37" s="367"/>
      <c r="S37" s="367"/>
      <c r="U37" s="367" t="s">
        <v>166</v>
      </c>
      <c r="V37" s="367"/>
      <c r="W37" s="367"/>
      <c r="X37" s="367"/>
      <c r="Y37" s="367"/>
      <c r="Z37" s="367"/>
      <c r="AA37" s="367"/>
    </row>
    <row r="38" spans="1:27" x14ac:dyDescent="0.2">
      <c r="A38" s="31" t="s">
        <v>57</v>
      </c>
      <c r="B38" s="49" t="s">
        <v>141</v>
      </c>
      <c r="C38" s="49" t="s">
        <v>142</v>
      </c>
      <c r="D38" s="49" t="s">
        <v>143</v>
      </c>
      <c r="E38" s="49" t="s">
        <v>144</v>
      </c>
      <c r="F38" s="49" t="s">
        <v>145</v>
      </c>
      <c r="G38" s="49" t="s">
        <v>146</v>
      </c>
      <c r="H38" s="49" t="s">
        <v>147</v>
      </c>
      <c r="I38" s="49" t="s">
        <v>148</v>
      </c>
      <c r="J38" s="49" t="s">
        <v>149</v>
      </c>
      <c r="K38" s="31" t="s">
        <v>57</v>
      </c>
      <c r="L38" s="49" t="s">
        <v>158</v>
      </c>
      <c r="M38" s="49" t="s">
        <v>159</v>
      </c>
      <c r="N38" s="49" t="s">
        <v>160</v>
      </c>
      <c r="O38" s="49" t="s">
        <v>161</v>
      </c>
      <c r="P38" s="49" t="s">
        <v>162</v>
      </c>
      <c r="Q38" s="49" t="s">
        <v>163</v>
      </c>
      <c r="R38" s="49" t="s">
        <v>164</v>
      </c>
      <c r="S38" s="49" t="s">
        <v>165</v>
      </c>
      <c r="T38" s="31" t="s">
        <v>57</v>
      </c>
      <c r="U38" s="49" t="s">
        <v>169</v>
      </c>
      <c r="V38" s="49" t="s">
        <v>170</v>
      </c>
      <c r="W38" s="49" t="s">
        <v>171</v>
      </c>
      <c r="X38" s="49" t="s">
        <v>172</v>
      </c>
      <c r="Y38" s="49" t="s">
        <v>173</v>
      </c>
      <c r="Z38" s="49" t="s">
        <v>174</v>
      </c>
      <c r="AA38" s="49" t="s">
        <v>175</v>
      </c>
    </row>
    <row r="39" spans="1:27" x14ac:dyDescent="0.2">
      <c r="A39" s="274">
        <v>1</v>
      </c>
      <c r="B39" s="1">
        <f>'1x2'!E33</f>
        <v>19.380224308650003</v>
      </c>
      <c r="C39" s="1">
        <f>'1x3'!E33</f>
        <v>13.030902752565376</v>
      </c>
      <c r="D39" s="1">
        <f>'1x4'!E33</f>
        <v>13.282157703260239</v>
      </c>
      <c r="E39" s="1">
        <f>'1x5'!E33</f>
        <v>14.516091898240006</v>
      </c>
      <c r="F39" s="1">
        <f>'1x6'!E33</f>
        <v>16.115662659428747</v>
      </c>
      <c r="G39" s="1">
        <f>'1x7'!E33</f>
        <v>17.909133338241897</v>
      </c>
      <c r="H39" s="1">
        <f>'1x8'!E33</f>
        <v>19.826665338578159</v>
      </c>
      <c r="I39" s="1">
        <f>'1x9'!E33</f>
        <v>21.832275356266774</v>
      </c>
      <c r="J39" s="1">
        <f>'1x10'!E33</f>
        <v>23.90407125373833</v>
      </c>
      <c r="K39" s="274">
        <v>1</v>
      </c>
      <c r="L39" s="1">
        <f>'2x3'!E21</f>
        <v>-15.026693033762502</v>
      </c>
      <c r="M39" s="1">
        <f>'2x4'!E21</f>
        <v>-31.914845027994744</v>
      </c>
      <c r="N39" s="1">
        <f>'2x5'!E21</f>
        <v>-64.513589681892029</v>
      </c>
      <c r="O39" s="1">
        <f>'2x6'!E21</f>
        <v>-131.42320790864352</v>
      </c>
      <c r="P39" s="1">
        <f>'2x7'!E21</f>
        <v>-292.09672438042276</v>
      </c>
      <c r="Q39" s="1">
        <f>'2x8'!E21</f>
        <v>-892.14944281923442</v>
      </c>
      <c r="R39" s="1">
        <f>'2x9'!E21</f>
        <v>5948.7503524171261</v>
      </c>
      <c r="S39" s="1">
        <f>'2x10'!E21</f>
        <v>1124.8431732933502</v>
      </c>
      <c r="T39" s="274">
        <v>1</v>
      </c>
      <c r="U39" s="1">
        <f>'3x4'!E21</f>
        <v>-10.003905745462683</v>
      </c>
      <c r="V39" s="1">
        <f>'3x5'!E33</f>
        <v>-13.948284732283932</v>
      </c>
      <c r="W39" s="1">
        <f>'3x6'!E33</f>
        <v>-18.165900910064718</v>
      </c>
      <c r="X39" s="1">
        <f>'3x7'!E33</f>
        <v>-22.522160517863032</v>
      </c>
      <c r="Y39" s="1">
        <f>'3x8'!E33</f>
        <v>-26.918823514888587</v>
      </c>
      <c r="Z39" s="1">
        <f>'3x9'!E33</f>
        <v>-31.292845926543283</v>
      </c>
      <c r="AA39" s="1">
        <f>'3x10'!E33</f>
        <v>-35.609465685472848</v>
      </c>
    </row>
    <row r="40" spans="1:27" x14ac:dyDescent="0.2">
      <c r="A40">
        <v>2</v>
      </c>
      <c r="B40" s="1">
        <f>'1x2'!E34</f>
        <v>17.17743061806128</v>
      </c>
      <c r="C40" s="1">
        <f>'1x3'!E34</f>
        <v>24.517042107769388</v>
      </c>
      <c r="D40" s="1">
        <f>'1x4'!E34</f>
        <v>35.089488792582451</v>
      </c>
      <c r="E40" s="1">
        <f>'1x5'!E34</f>
        <v>48.315975205388433</v>
      </c>
      <c r="F40" s="1">
        <f>'1x6'!E34</f>
        <v>64.090924907955255</v>
      </c>
      <c r="G40" s="1">
        <f>'1x7'!E34</f>
        <v>82.393815035990201</v>
      </c>
      <c r="H40" s="1">
        <f>'1x8'!E34</f>
        <v>103.22578305523362</v>
      </c>
      <c r="I40" s="1">
        <f>'1x9'!E34</f>
        <v>126.59296143881058</v>
      </c>
      <c r="J40" s="1">
        <f>'1x10'!E34</f>
        <v>152.50113796494082</v>
      </c>
      <c r="K40">
        <v>2</v>
      </c>
      <c r="L40" s="1">
        <f>'2x3'!E22</f>
        <v>225.78361002110717</v>
      </c>
      <c r="M40" s="1">
        <f>'2x4'!E22</f>
        <v>124.88506948081935</v>
      </c>
      <c r="N40" s="1">
        <f>'2x5'!E22</f>
        <v>131.8460480382536</v>
      </c>
      <c r="O40" s="1">
        <f>'2x6'!E22</f>
        <v>154.65179461493622</v>
      </c>
      <c r="P40" s="1">
        <f>'2x7'!E22</f>
        <v>185.96535091569376</v>
      </c>
      <c r="Q40" s="1">
        <f>'2x8'!E22</f>
        <v>224.06050449599172</v>
      </c>
      <c r="R40" s="1">
        <f>'2x9'!E22</f>
        <v>268.37668747038981</v>
      </c>
      <c r="S40" s="1">
        <f>'2x10'!E22</f>
        <v>318.70072104285822</v>
      </c>
      <c r="T40">
        <v>2</v>
      </c>
      <c r="U40" s="1">
        <f>'3x4'!E22</f>
        <v>-83.236703751596522</v>
      </c>
      <c r="V40" s="1">
        <f>'3x5'!E34</f>
        <v>-194.70828938460323</v>
      </c>
      <c r="W40" s="1">
        <f>'3x6'!E34</f>
        <v>-346.8616409759058</v>
      </c>
      <c r="X40" s="1">
        <f>'3x7'!E34</f>
        <v>-574.08610546449654</v>
      </c>
      <c r="Y40" s="1">
        <f>'3x8'!E34</f>
        <v>-891.67329729042524</v>
      </c>
      <c r="Z40" s="1">
        <f>'3x9'!E34</f>
        <v>-1309.0390349400921</v>
      </c>
      <c r="AA40" s="1">
        <f>'3x10'!E34</f>
        <v>-1827.5879086364737</v>
      </c>
    </row>
    <row r="41" spans="1:27" x14ac:dyDescent="0.2">
      <c r="A41">
        <v>3</v>
      </c>
      <c r="B41" s="1">
        <f>'1x2'!E35</f>
        <v>40.424650915634103</v>
      </c>
      <c r="C41" s="1">
        <f>'1x3'!E35</f>
        <v>80.417604593608644</v>
      </c>
      <c r="D41" s="1">
        <f>'1x4'!E35</f>
        <v>146.99982194923891</v>
      </c>
      <c r="E41" s="1">
        <f>'1x5'!E35</f>
        <v>245.97378150327785</v>
      </c>
      <c r="F41" s="1">
        <f>'1x6'!E35</f>
        <v>383.66638885004079</v>
      </c>
      <c r="G41" s="1">
        <f>'1x7'!E35</f>
        <v>566.53970328546814</v>
      </c>
      <c r="H41" s="1">
        <f>'1x8'!E35</f>
        <v>801.11269983696513</v>
      </c>
      <c r="I41" s="1">
        <f>'1x9'!E35</f>
        <v>1093.931849026184</v>
      </c>
      <c r="J41" s="1">
        <f>'1x10'!E35</f>
        <v>1451.5551299066487</v>
      </c>
      <c r="K41">
        <v>3</v>
      </c>
      <c r="L41" s="1">
        <f>'2x3'!E23</f>
        <v>229.60747713471375</v>
      </c>
      <c r="M41" s="1">
        <f>'2x4'!E23</f>
        <v>281.43294953145545</v>
      </c>
      <c r="N41" s="1">
        <f>'2x5'!E23</f>
        <v>409.79562090242746</v>
      </c>
      <c r="O41" s="1">
        <f>'2x6'!E23</f>
        <v>600.65101213675109</v>
      </c>
      <c r="P41" s="1">
        <f>'2x7'!E23</f>
        <v>860.85482824729002</v>
      </c>
      <c r="Q41" s="1">
        <f>'2x8'!E23</f>
        <v>1200.485973722635</v>
      </c>
      <c r="R41" s="1">
        <f>'2x9'!E23</f>
        <v>1630.6065306209794</v>
      </c>
      <c r="S41" s="1">
        <f>'2x10'!E23</f>
        <v>2162.6657348990457</v>
      </c>
      <c r="T41">
        <v>3</v>
      </c>
      <c r="U41" s="1">
        <f>'3x4'!E23</f>
        <v>-460.29871498189277</v>
      </c>
      <c r="V41" s="1">
        <f>'3x5'!E35</f>
        <v>-1941.3114468032081</v>
      </c>
      <c r="W41" s="1">
        <f>'3x6'!E35</f>
        <v>-5578.4881100169878</v>
      </c>
      <c r="X41" s="1">
        <f>'3x7'!E35</f>
        <v>-18982.977987255992</v>
      </c>
      <c r="Y41" s="1">
        <f>'3x8'!E35</f>
        <v>-258096.92106789138</v>
      </c>
      <c r="Z41" s="1">
        <f>'3x9'!E35</f>
        <v>70519.734363674797</v>
      </c>
      <c r="AA41" s="1">
        <f>'3x10'!E35</f>
        <v>50775.633186207335</v>
      </c>
    </row>
    <row r="42" spans="1:27" x14ac:dyDescent="0.2">
      <c r="A42">
        <v>4</v>
      </c>
      <c r="B42" s="1">
        <f>'1x2'!E36</f>
        <v>107.14211535574057</v>
      </c>
      <c r="C42" s="1">
        <f>'1x3'!E36</f>
        <v>292.07088386097723</v>
      </c>
      <c r="D42" s="1">
        <f>'1x4'!E36</f>
        <v>678.73757960588955</v>
      </c>
      <c r="E42" s="1">
        <f>'1x5'!E36</f>
        <v>1377.0319112673917</v>
      </c>
      <c r="F42" s="1">
        <f>'1x6'!E36</f>
        <v>2522.2532600078302</v>
      </c>
      <c r="G42" s="1">
        <f>'1x7'!E36</f>
        <v>4274.6732167762293</v>
      </c>
      <c r="H42" s="1">
        <f>'1x8'!E36</f>
        <v>6819.4834713770006</v>
      </c>
      <c r="I42" s="1">
        <f>'1x9'!E36</f>
        <v>10366.782338328601</v>
      </c>
      <c r="J42" s="1">
        <f>'1x10'!E36</f>
        <v>15151.555877521898</v>
      </c>
      <c r="K42">
        <v>4</v>
      </c>
      <c r="L42" s="1">
        <f>'2x3'!E24</f>
        <v>515.16941839211881</v>
      </c>
      <c r="M42" s="1">
        <f>'2x4'!E24</f>
        <v>899.265034121432</v>
      </c>
      <c r="N42" s="1">
        <f>'2x5'!E24</f>
        <v>1669.4347566570532</v>
      </c>
      <c r="O42" s="1">
        <f>'2x6'!E24</f>
        <v>2966.8785323574602</v>
      </c>
      <c r="P42" s="1">
        <f>'2x7'!E24</f>
        <v>4993.2181793640875</v>
      </c>
      <c r="Q42" s="1">
        <f>'2x8'!E24</f>
        <v>7992.8249625102799</v>
      </c>
      <c r="R42" s="1">
        <f>'2x9'!E24</f>
        <v>12250.650121208197</v>
      </c>
      <c r="S42" s="1">
        <f>'2x10'!E24</f>
        <v>18091.614907652322</v>
      </c>
      <c r="T42">
        <v>4</v>
      </c>
      <c r="U42" s="1">
        <f>'3x4'!E24</f>
        <v>-2133.9157264795253</v>
      </c>
      <c r="V42" s="1">
        <f>'3x5'!E36</f>
        <v>-16008.85739412514</v>
      </c>
      <c r="W42" s="1">
        <f>'3x6'!E36</f>
        <v>-91172.74241043345</v>
      </c>
      <c r="X42" s="1">
        <f>'3x7'!E36</f>
        <v>345413.91455276567</v>
      </c>
      <c r="Y42" s="1">
        <f>'3x8'!E36</f>
        <v>169458.39142456275</v>
      </c>
      <c r="Z42" s="1">
        <f>'3x9'!E36</f>
        <v>173325.3966495081</v>
      </c>
      <c r="AA42" s="1">
        <f>'3x10'!E36</f>
        <v>205768.34680308489</v>
      </c>
    </row>
    <row r="43" spans="1:27" x14ac:dyDescent="0.2">
      <c r="A43">
        <v>5</v>
      </c>
      <c r="B43" s="1">
        <f>'1x2'!E37</f>
        <v>297.55630755842134</v>
      </c>
      <c r="C43" s="1">
        <f>'1x3'!E37</f>
        <v>1107.6057369616381</v>
      </c>
      <c r="D43" s="1">
        <f>'1x4'!E37</f>
        <v>3262.3103555659577</v>
      </c>
      <c r="E43" s="1">
        <f>'1x5'!E37</f>
        <v>8004.1705318924796</v>
      </c>
      <c r="F43" s="1">
        <f>'1x6'!E37</f>
        <v>17182.765855388781</v>
      </c>
      <c r="G43" s="1">
        <f>'1x7'!E37</f>
        <v>33375.785840649507</v>
      </c>
      <c r="H43" s="1">
        <f>'1x8'!E37</f>
        <v>60010.698948829573</v>
      </c>
      <c r="I43" s="1">
        <f>'1x9'!E37</f>
        <v>101486.50624937969</v>
      </c>
      <c r="J43" s="1">
        <f>'1x10'!E37</f>
        <v>163295.45210846115</v>
      </c>
      <c r="K43">
        <v>5</v>
      </c>
      <c r="L43" s="1">
        <f>'2x3'!E25</f>
        <v>1344.7312769818732</v>
      </c>
      <c r="M43" s="1">
        <f>'2x4'!E25</f>
        <v>3183.2164034160046</v>
      </c>
      <c r="N43" s="1">
        <f>'2x5'!E25</f>
        <v>7432.7181072191706</v>
      </c>
      <c r="O43" s="1">
        <f>'2x6'!E25</f>
        <v>15916.576440189645</v>
      </c>
      <c r="P43" s="1">
        <f>'2x7'!E25</f>
        <v>31347.03208606214</v>
      </c>
      <c r="Q43" s="1">
        <f>'2x8'!E25</f>
        <v>57475.741622324516</v>
      </c>
      <c r="R43" s="1">
        <f>'2x9'!E25</f>
        <v>99268.793489809992</v>
      </c>
      <c r="S43" s="1">
        <f>'2x10'!E25</f>
        <v>163083.74810597009</v>
      </c>
      <c r="T43">
        <v>5</v>
      </c>
      <c r="U43" s="1">
        <f>'3x4'!E25</f>
        <v>-9112.8854287002032</v>
      </c>
      <c r="V43" s="1">
        <f>'3x5'!E37</f>
        <v>-115452.44287221863</v>
      </c>
      <c r="W43" s="1">
        <f>'3x6'!E37</f>
        <v>-1756026.3945662389</v>
      </c>
      <c r="X43" s="1">
        <f>'3x7'!E37</f>
        <v>1053925.952171854</v>
      </c>
      <c r="Y43" s="1">
        <f>'3x8'!E37</f>
        <v>987289.63385803509</v>
      </c>
      <c r="Z43" s="1">
        <f>'3x9'!E37</f>
        <v>1247535.4237179819</v>
      </c>
      <c r="AA43" s="1">
        <f>'3x10'!E37</f>
        <v>1702143.0502662342</v>
      </c>
    </row>
    <row r="44" spans="1:27" x14ac:dyDescent="0.2">
      <c r="A44">
        <v>6</v>
      </c>
      <c r="B44" s="1">
        <f>'1x2'!E38</f>
        <v>847.56785807746314</v>
      </c>
      <c r="C44" s="1">
        <f>'1x3'!E38</f>
        <v>4295.5189792237543</v>
      </c>
      <c r="D44" s="1">
        <f>'1x4'!E38</f>
        <v>15983.869994100258</v>
      </c>
      <c r="E44" s="1">
        <f>'1x5'!E38</f>
        <v>47310.916523076761</v>
      </c>
      <c r="F44" s="1">
        <f>'1x6'!E38</f>
        <v>118833.87993315789</v>
      </c>
      <c r="G44" s="1">
        <f>'1x7'!E38</f>
        <v>264245.52463359857</v>
      </c>
      <c r="H44" s="1">
        <f>'1x8'!E38</f>
        <v>535075.80225162546</v>
      </c>
      <c r="I44" s="1">
        <f>'1x9'!E38</f>
        <v>1006117.9208679427</v>
      </c>
      <c r="J44" s="1">
        <f>'1x10'!E38</f>
        <v>1781578.4833012118</v>
      </c>
      <c r="K44">
        <v>6</v>
      </c>
      <c r="L44" s="1">
        <f>'2x3'!E26</f>
        <v>3730.6623364156499</v>
      </c>
      <c r="M44" s="1">
        <f>'2x4'!E26</f>
        <v>11808.742037740993</v>
      </c>
      <c r="N44" s="1">
        <f>'2x5'!E26</f>
        <v>34508.726542597688</v>
      </c>
      <c r="O44" s="1">
        <f>'2x6'!E26</f>
        <v>88812.67026309135</v>
      </c>
      <c r="P44" s="1">
        <f>'2x7'!E26</f>
        <v>204370.01566063834</v>
      </c>
      <c r="Q44" s="1">
        <f>'2x8'!E26</f>
        <v>428793.52743429079</v>
      </c>
      <c r="R44" s="1">
        <f>'2x9'!E26</f>
        <v>833997.39056226762</v>
      </c>
      <c r="S44" s="1">
        <f>'2x10'!E26</f>
        <v>1523533.2087572366</v>
      </c>
      <c r="T44">
        <v>6</v>
      </c>
      <c r="U44" s="1">
        <f>'3x4'!E26</f>
        <v>-37502.949923968765</v>
      </c>
      <c r="V44" s="1">
        <f>'3x5'!E38</f>
        <v>-764051.21391899011</v>
      </c>
      <c r="W44" s="1">
        <f>'3x6'!E38</f>
        <v>-87687819.458132684</v>
      </c>
      <c r="X44" s="1">
        <f>'3x7'!E38</f>
        <v>6408344.8456223635</v>
      </c>
      <c r="Y44" s="1">
        <f>'3x8'!E38</f>
        <v>7500281.7331193881</v>
      </c>
      <c r="Z44" s="1">
        <f>'3x9'!E38</f>
        <v>10853772.770827049</v>
      </c>
      <c r="AA44" s="1">
        <f>'3x10'!E38</f>
        <v>16513329.704794781</v>
      </c>
    </row>
    <row r="45" spans="1:27" x14ac:dyDescent="0.2">
      <c r="A45">
        <v>7</v>
      </c>
      <c r="B45" s="1">
        <f>'1x2'!E39</f>
        <v>2451.9364638660968</v>
      </c>
      <c r="C45" s="1">
        <f>'1x3'!E39</f>
        <v>16868.629227620477</v>
      </c>
      <c r="D45" s="1">
        <f>'1x4'!E39</f>
        <v>79074.458071845555</v>
      </c>
      <c r="E45" s="1">
        <f>'1x5'!E39</f>
        <v>281833.80605143763</v>
      </c>
      <c r="F45" s="1">
        <f>'1x6'!E39</f>
        <v>827309.67021601147</v>
      </c>
      <c r="G45" s="1">
        <f>'1x7'!E39</f>
        <v>2104471.6920609414</v>
      </c>
      <c r="H45" s="1">
        <f>'1x8'!E39</f>
        <v>4796800.8325380646</v>
      </c>
      <c r="I45" s="1">
        <f>'1x9'!E39</f>
        <v>10025342.931790886</v>
      </c>
      <c r="J45" s="1">
        <f>'1x10'!E39</f>
        <v>19532162.175053068</v>
      </c>
      <c r="K45">
        <v>7</v>
      </c>
      <c r="L45" s="1">
        <f>'2x3'!E27</f>
        <v>10676.432731777108</v>
      </c>
      <c r="M45" s="1">
        <f>'2x4'!E27</f>
        <v>44942.315604039672</v>
      </c>
      <c r="N45" s="1">
        <f>'2x5'!E27</f>
        <v>163977.56869921551</v>
      </c>
      <c r="O45" s="1">
        <f>'2x6'!E27</f>
        <v>506505.30374743982</v>
      </c>
      <c r="P45" s="1">
        <f>'2x7'!E27</f>
        <v>1360701.6587617111</v>
      </c>
      <c r="Q45" s="1">
        <f>'2x8'!E27</f>
        <v>3265190.8361099064</v>
      </c>
      <c r="R45" s="1">
        <f>'2x9'!E27</f>
        <v>7149290.3909851965</v>
      </c>
      <c r="S45" s="1">
        <f>'2x10'!E27</f>
        <v>14519036.268513869</v>
      </c>
      <c r="T45">
        <v>7</v>
      </c>
      <c r="U45" s="1">
        <f>'3x4'!E27</f>
        <v>-151858.85464649956</v>
      </c>
      <c r="V45" s="1">
        <f>'3x5'!E39</f>
        <v>-4816329.6364266481</v>
      </c>
      <c r="W45" s="1">
        <f>'3x6'!E39</f>
        <v>299423974.53454024</v>
      </c>
      <c r="X45" s="1">
        <f>'3x7'!E39</f>
        <v>45601885.564943917</v>
      </c>
      <c r="Y45" s="1">
        <f>'3x8'!E39</f>
        <v>62331879.463029057</v>
      </c>
      <c r="Z45" s="1">
        <f>'3x9'!E39</f>
        <v>101392124.96414556</v>
      </c>
      <c r="AA45" s="1">
        <f>'3x10'!E39</f>
        <v>170584571.39747891</v>
      </c>
    </row>
    <row r="46" spans="1:27" x14ac:dyDescent="0.2">
      <c r="A46">
        <v>8</v>
      </c>
      <c r="B46" s="1">
        <f>'1x2'!E40</f>
        <v>7165.056517066324</v>
      </c>
      <c r="C46" s="1">
        <f>'1x3'!E40</f>
        <v>66726.26876195443</v>
      </c>
      <c r="D46" s="1">
        <f>'1x4'!E40</f>
        <v>393153.94313593808</v>
      </c>
      <c r="E46" s="1">
        <f>'1x5'!E40</f>
        <v>1685141.8411640979</v>
      </c>
      <c r="F46" s="1">
        <f>'1x6'!E40</f>
        <v>5776820.8719486231</v>
      </c>
      <c r="G46" s="1">
        <f>'1x7'!E40</f>
        <v>16802794.467650086</v>
      </c>
      <c r="H46" s="1">
        <f>'1x8'!E40</f>
        <v>43099511.848063141</v>
      </c>
      <c r="I46" s="1">
        <f>'1x9'!E40</f>
        <v>100105268.2121952</v>
      </c>
      <c r="J46" s="1">
        <f>'1x10'!E40</f>
        <v>214561472.54419202</v>
      </c>
      <c r="K46">
        <v>8</v>
      </c>
      <c r="L46" s="1">
        <f>'2x3'!E28</f>
        <v>31097.889724930003</v>
      </c>
      <c r="M46" s="1">
        <f>'2x4'!E28</f>
        <v>173698.7582807354</v>
      </c>
      <c r="N46" s="1">
        <f>'2x5'!E28</f>
        <v>790293.32881986117</v>
      </c>
      <c r="O46" s="1">
        <f>'2x6'!E28</f>
        <v>2927556.426216383</v>
      </c>
      <c r="P46" s="1">
        <f>'2x7'!E28</f>
        <v>9177232.0041361768</v>
      </c>
      <c r="Q46" s="1">
        <f>'2x8'!E28</f>
        <v>25179005.058193531</v>
      </c>
      <c r="R46" s="1">
        <f>'2x9'!E28</f>
        <v>62050188.008006036</v>
      </c>
      <c r="S46" s="1">
        <f>'2x10'!E28</f>
        <v>140070406.82775152</v>
      </c>
      <c r="T46">
        <v>8</v>
      </c>
      <c r="U46" s="1">
        <f>'3x4'!E28</f>
        <v>-610631.22295357357</v>
      </c>
      <c r="V46" s="1">
        <f>'3x5'!E40</f>
        <v>-29602464.134497214</v>
      </c>
      <c r="W46" s="1">
        <f>'3x6'!E40</f>
        <v>1201530405.7648432</v>
      </c>
      <c r="X46" s="1">
        <f>'3x7'!E40</f>
        <v>344936284.01798141</v>
      </c>
      <c r="Y46" s="1">
        <f>'3x8'!E40</f>
        <v>538841407.05545521</v>
      </c>
      <c r="Z46" s="1">
        <f>'3x9'!E40</f>
        <v>978667693.4063344</v>
      </c>
      <c r="AA46" s="1">
        <f>'3x10'!E40</f>
        <v>1815115233.002588</v>
      </c>
    </row>
    <row r="47" spans="1:27" x14ac:dyDescent="0.2">
      <c r="A47">
        <v>9</v>
      </c>
      <c r="B47" s="1">
        <f>'1x2'!E41</f>
        <v>21081.126337148238</v>
      </c>
      <c r="C47" s="1">
        <f>'1x3'!E41</f>
        <v>265087.86768855969</v>
      </c>
      <c r="D47" s="1">
        <f>'1x4'!E41</f>
        <v>1959886.076406244</v>
      </c>
      <c r="E47" s="1">
        <f>'1x5'!E41</f>
        <v>10093824.277297564</v>
      </c>
      <c r="F47" s="1">
        <f>'1x6'!E41</f>
        <v>40392032.473342314</v>
      </c>
      <c r="G47" s="1">
        <f>'1x7'!E41</f>
        <v>134307242.09954369</v>
      </c>
      <c r="H47" s="1">
        <f>'1x8'!E41</f>
        <v>387622227.66719699</v>
      </c>
      <c r="I47" s="1">
        <f>'1x9'!E41</f>
        <v>1000437760.5176764</v>
      </c>
      <c r="J47" s="1">
        <f>'1x10'!E41</f>
        <v>2358860919.87186</v>
      </c>
      <c r="K47">
        <v>9</v>
      </c>
      <c r="L47" s="1">
        <f>'2x3'!E29</f>
        <v>91548.711233015085</v>
      </c>
      <c r="M47" s="1">
        <f>'2x4'!E29</f>
        <v>678006.20526843425</v>
      </c>
      <c r="N47" s="1">
        <f>'2x5'!E29</f>
        <v>3844259.2310922891</v>
      </c>
      <c r="O47" s="1">
        <f>'2x6'!E29</f>
        <v>17070538.658859141</v>
      </c>
      <c r="P47" s="1">
        <f>'2x7'!E29</f>
        <v>62423951.060096152</v>
      </c>
      <c r="Q47" s="1">
        <f>'2x8'!E29</f>
        <v>195783282.72108757</v>
      </c>
      <c r="R47" s="1">
        <f>'2x9'!E29</f>
        <v>542969220.67958212</v>
      </c>
      <c r="S47" s="1">
        <f>'2x10'!E29</f>
        <v>1362290624.7214334</v>
      </c>
      <c r="T47">
        <v>9</v>
      </c>
      <c r="U47" s="1">
        <f>'3x4'!E29</f>
        <v>-2448021.2370711416</v>
      </c>
      <c r="V47" s="1">
        <f>'3x5'!E41</f>
        <v>-179679219.03731942</v>
      </c>
      <c r="W47" s="1">
        <f>'3x6'!E41</f>
        <v>6927109785.8592052</v>
      </c>
      <c r="X47" s="1">
        <f>'3x7'!E41</f>
        <v>2682949274.2215567</v>
      </c>
      <c r="Y47" s="1">
        <f>'3x8'!E41</f>
        <v>4748544940.925909</v>
      </c>
      <c r="Z47" s="1">
        <f>'3x9'!E41</f>
        <v>9603071250.3108749</v>
      </c>
      <c r="AA47" s="1">
        <f>'3x10'!E41</f>
        <v>19608931119.351147</v>
      </c>
    </row>
    <row r="48" spans="1:27" x14ac:dyDescent="0.2">
      <c r="A48">
        <v>10</v>
      </c>
      <c r="B48" s="1">
        <f>'1x2'!E42</f>
        <v>62322.069125053633</v>
      </c>
      <c r="C48" s="1">
        <f>'1x3'!E42</f>
        <v>1055889.2454715127</v>
      </c>
      <c r="D48" s="1">
        <f>'1x4'!E42</f>
        <v>9783737.5180109572</v>
      </c>
      <c r="E48" s="1">
        <f>'1x5'!E42</f>
        <v>60513306.000918381</v>
      </c>
      <c r="F48" s="1">
        <f>'1x6'!E42</f>
        <v>282598191.08334231</v>
      </c>
      <c r="G48" s="1">
        <f>'1x7'!E42</f>
        <v>1074055289.9504206</v>
      </c>
      <c r="H48" s="1">
        <f>'1x8'!E42</f>
        <v>3487555759.6186066</v>
      </c>
      <c r="I48" s="1">
        <f>'1x9'!E42</f>
        <v>10001821314.349709</v>
      </c>
      <c r="J48" s="1">
        <f>'1x10'!E42</f>
        <v>25941543006.735909</v>
      </c>
      <c r="K48">
        <v>10</v>
      </c>
      <c r="L48" s="1">
        <f>'2x3'!E30</f>
        <v>271301.97976711852</v>
      </c>
      <c r="M48" s="1">
        <f>'2x4'!E30</f>
        <v>2664161.6414463636</v>
      </c>
      <c r="N48" s="1">
        <f>'2x5'!E30</f>
        <v>18819363.522006057</v>
      </c>
      <c r="O48" s="1">
        <f>'2x6'!E30</f>
        <v>100146536.95962128</v>
      </c>
      <c r="P48" s="1">
        <f>'2x7'!E30</f>
        <v>427122690.55285037</v>
      </c>
      <c r="Q48" s="1">
        <f>'2x8'!E30</f>
        <v>1531153821.8590522</v>
      </c>
      <c r="R48" s="1">
        <f>'2x9'!E30</f>
        <v>4778336564.5400152</v>
      </c>
      <c r="S48" s="1">
        <f>'2x10'!E30</f>
        <v>13324095768.475294</v>
      </c>
      <c r="T48">
        <v>10</v>
      </c>
      <c r="U48" s="1">
        <f>'3x4'!E30</f>
        <v>-9801517.1270929091</v>
      </c>
      <c r="V48" s="1">
        <f>'3x5'!E42</f>
        <v>-1084019910.4159088</v>
      </c>
      <c r="W48" s="1">
        <f>'3x6'!E42</f>
        <v>44540579644.51384</v>
      </c>
      <c r="X48" s="1">
        <f>'3x7'!E42</f>
        <v>21155749633.807205</v>
      </c>
      <c r="Y48" s="1">
        <f>'3x8'!E42</f>
        <v>42261265926.332054</v>
      </c>
      <c r="Z48" s="1">
        <f>'3x9'!E42</f>
        <v>95047470101.618866</v>
      </c>
      <c r="AA48" s="1">
        <f>'3x10'!E42</f>
        <v>213560325244.31116</v>
      </c>
    </row>
    <row r="49" spans="1:27" x14ac:dyDescent="0.2">
      <c r="B49" s="367" t="s">
        <v>156</v>
      </c>
      <c r="C49" s="367"/>
      <c r="D49" s="367"/>
      <c r="E49" s="367"/>
      <c r="F49" s="367"/>
      <c r="G49" s="367"/>
      <c r="H49" s="367"/>
      <c r="I49" s="367"/>
      <c r="J49" s="367"/>
      <c r="L49" s="367" t="s">
        <v>167</v>
      </c>
      <c r="M49" s="367"/>
      <c r="N49" s="367"/>
      <c r="O49" s="367"/>
      <c r="P49" s="367"/>
      <c r="Q49" s="367"/>
      <c r="R49" s="367"/>
      <c r="S49" s="367"/>
      <c r="U49" s="367" t="s">
        <v>156</v>
      </c>
      <c r="V49" s="367"/>
      <c r="W49" s="367"/>
      <c r="X49" s="367"/>
      <c r="Y49" s="367"/>
      <c r="Z49" s="367"/>
      <c r="AA49" s="367"/>
    </row>
    <row r="50" spans="1:27" x14ac:dyDescent="0.2">
      <c r="A50" s="31" t="s">
        <v>57</v>
      </c>
      <c r="B50" s="49" t="s">
        <v>141</v>
      </c>
      <c r="C50" s="49" t="s">
        <v>142</v>
      </c>
      <c r="D50" s="49" t="s">
        <v>143</v>
      </c>
      <c r="E50" s="49" t="s">
        <v>144</v>
      </c>
      <c r="F50" s="49" t="s">
        <v>145</v>
      </c>
      <c r="G50" s="49" t="s">
        <v>146</v>
      </c>
      <c r="H50" s="49" t="s">
        <v>147</v>
      </c>
      <c r="I50" s="49" t="s">
        <v>148</v>
      </c>
      <c r="J50" s="49" t="s">
        <v>149</v>
      </c>
      <c r="K50" s="31" t="s">
        <v>57</v>
      </c>
      <c r="L50" s="49" t="s">
        <v>158</v>
      </c>
      <c r="M50" s="49" t="s">
        <v>159</v>
      </c>
      <c r="N50" s="49" t="s">
        <v>160</v>
      </c>
      <c r="O50" s="49" t="s">
        <v>161</v>
      </c>
      <c r="P50" s="49" t="s">
        <v>162</v>
      </c>
      <c r="Q50" s="49" t="s">
        <v>163</v>
      </c>
      <c r="R50" s="49" t="s">
        <v>164</v>
      </c>
      <c r="S50" s="49" t="s">
        <v>165</v>
      </c>
      <c r="T50" s="31" t="s">
        <v>57</v>
      </c>
      <c r="U50" s="49" t="s">
        <v>169</v>
      </c>
      <c r="V50" s="49" t="s">
        <v>170</v>
      </c>
      <c r="W50" s="49" t="s">
        <v>171</v>
      </c>
      <c r="X50" s="49" t="s">
        <v>172</v>
      </c>
      <c r="Y50" s="49" t="s">
        <v>173</v>
      </c>
      <c r="Z50" s="49" t="s">
        <v>174</v>
      </c>
      <c r="AA50" s="49" t="s">
        <v>175</v>
      </c>
    </row>
    <row r="51" spans="1:27" x14ac:dyDescent="0.2">
      <c r="A51" s="274">
        <v>1</v>
      </c>
      <c r="B51" s="1">
        <f>'1x2'!E45</f>
        <v>19.380224308650003</v>
      </c>
      <c r="C51" s="1">
        <f>'1x3'!E45</f>
        <v>13.030902752565376</v>
      </c>
      <c r="D51" s="1">
        <f>'1x4'!E45</f>
        <v>13.282157703260239</v>
      </c>
      <c r="E51" s="1">
        <f>'1x5'!E45</f>
        <v>14.516091898240006</v>
      </c>
      <c r="F51" s="1">
        <f>'1x6'!E45</f>
        <v>16.115662659428747</v>
      </c>
      <c r="G51" s="1">
        <f>'1x7'!E45</f>
        <v>17.909133338241897</v>
      </c>
      <c r="H51" s="1">
        <f>'1x8'!E45</f>
        <v>19.826665338578159</v>
      </c>
      <c r="I51" s="1">
        <f>'1x9'!E45</f>
        <v>21.832275356266774</v>
      </c>
      <c r="J51" s="1">
        <f>'1x10'!E45</f>
        <v>23.90407125373833</v>
      </c>
      <c r="K51" s="274">
        <v>1</v>
      </c>
      <c r="L51" s="1">
        <f>'2x3'!E45</f>
        <v>-15.026693033762502</v>
      </c>
      <c r="M51" s="1">
        <f>'2x4'!E45</f>
        <v>-31.914845027994744</v>
      </c>
      <c r="N51" s="1">
        <f>'2x5'!E45</f>
        <v>-64.513589681892029</v>
      </c>
      <c r="O51" s="1">
        <f>'2x6'!E45</f>
        <v>-131.42320790864352</v>
      </c>
      <c r="P51" s="1">
        <f>'2x7'!E45</f>
        <v>-292.09672438042276</v>
      </c>
      <c r="Q51" s="1">
        <f>'2x8'!E45</f>
        <v>-892.14944281923442</v>
      </c>
      <c r="R51" s="1">
        <f>'2x9'!E45</f>
        <v>5948.7503524171261</v>
      </c>
      <c r="S51" s="1">
        <f>'2x10'!E45</f>
        <v>1124.8431732933502</v>
      </c>
      <c r="T51" s="274">
        <v>1</v>
      </c>
      <c r="U51" s="1">
        <f>'3x4'!E45</f>
        <v>-10.003905745462683</v>
      </c>
      <c r="V51" s="1">
        <f>'3x5'!E45</f>
        <v>-13.948284732283932</v>
      </c>
      <c r="W51" s="1">
        <f>'3x6'!E45</f>
        <v>-18.165900910064718</v>
      </c>
      <c r="X51" s="1">
        <f>'3x7'!E45</f>
        <v>-22.522160517863032</v>
      </c>
      <c r="Y51" s="1">
        <f>'3x8'!E45</f>
        <v>-26.918823514888587</v>
      </c>
      <c r="Z51" s="1">
        <f>'3x9'!E45</f>
        <v>-31.292845926543283</v>
      </c>
      <c r="AA51" s="1">
        <f>'3x10'!E21</f>
        <v>-35.609465685472848</v>
      </c>
    </row>
    <row r="52" spans="1:27" x14ac:dyDescent="0.2">
      <c r="A52">
        <v>2</v>
      </c>
      <c r="B52" s="1">
        <f>'1x2'!E46</f>
        <v>21.471788272576603</v>
      </c>
      <c r="C52" s="1">
        <f>'1x3'!E46</f>
        <v>34.323858950877145</v>
      </c>
      <c r="D52" s="1">
        <f>'1x4'!E46</f>
        <v>52.634233188873672</v>
      </c>
      <c r="E52" s="1">
        <f>'1x5'!E46</f>
        <v>75.925103894181817</v>
      </c>
      <c r="F52" s="1">
        <f>'1x6'!E46</f>
        <v>104.14775297542728</v>
      </c>
      <c r="G52" s="1">
        <f>'1x7'!E46</f>
        <v>137.32302505998368</v>
      </c>
      <c r="H52" s="1">
        <f>'1x8'!E46</f>
        <v>175.48383119389715</v>
      </c>
      <c r="I52" s="1">
        <f>'1x9'!E46</f>
        <v>218.66056975794555</v>
      </c>
      <c r="J52" s="1">
        <f>'1x10'!E46</f>
        <v>266.87699143864648</v>
      </c>
      <c r="K52">
        <v>2</v>
      </c>
      <c r="L52" s="1">
        <f>'2x3'!E46</f>
        <v>395.12131753693757</v>
      </c>
      <c r="M52" s="1">
        <f>'2x4'!E46</f>
        <v>224.79312506547484</v>
      </c>
      <c r="N52" s="1">
        <f>'2x5'!E46</f>
        <v>241.71775473679827</v>
      </c>
      <c r="O52" s="1">
        <f>'2x6'!E46</f>
        <v>287.21047571345298</v>
      </c>
      <c r="P52" s="1">
        <f>'2x7'!E46</f>
        <v>348.6850329669258</v>
      </c>
      <c r="Q52" s="1">
        <f>'2x8'!E46</f>
        <v>423.22539738131769</v>
      </c>
      <c r="R52" s="1">
        <f>'2x9'!E46</f>
        <v>509.91570619374068</v>
      </c>
      <c r="S52" s="1">
        <f>'2x10'!E46</f>
        <v>608.42864926363848</v>
      </c>
      <c r="T52">
        <v>2</v>
      </c>
      <c r="U52" s="1">
        <f>'3x4'!E46</f>
        <v>-149.82606675287374</v>
      </c>
      <c r="V52" s="1">
        <f>'3x5'!E46</f>
        <v>-305.97016903294792</v>
      </c>
      <c r="W52" s="1">
        <f>'3x6'!E46</f>
        <v>-563.65016658584693</v>
      </c>
      <c r="X52" s="1">
        <f>'3x7'!E46</f>
        <v>-956.81017577416083</v>
      </c>
      <c r="Y52" s="1">
        <f>'3x8'!E46</f>
        <v>-1515.844605393723</v>
      </c>
      <c r="Z52" s="1">
        <f>'3x9'!E46</f>
        <v>-2261.067423987432</v>
      </c>
      <c r="AA52" s="1">
        <f>'3x10'!E22</f>
        <v>-1675.2889162501008</v>
      </c>
    </row>
    <row r="53" spans="1:27" x14ac:dyDescent="0.2">
      <c r="A53">
        <v>3</v>
      </c>
      <c r="B53" s="1">
        <f>'1x2'!E47</f>
        <v>65.301359171408933</v>
      </c>
      <c r="C53" s="1">
        <f>'1x3'!E47</f>
        <v>164.66461892977009</v>
      </c>
      <c r="D53" s="1">
        <f>'1x4'!E47</f>
        <v>346.16087104175614</v>
      </c>
      <c r="E53" s="1">
        <f>'1x5'!E47</f>
        <v>634.95557550846149</v>
      </c>
      <c r="F53" s="1">
        <f>'1x6'!E47</f>
        <v>1056.7653166571299</v>
      </c>
      <c r="G53" s="1">
        <f>'1x7'!E47</f>
        <v>1637.5325670305997</v>
      </c>
      <c r="H53" s="1">
        <f>'1x8'!E47</f>
        <v>2403.3380995108955</v>
      </c>
      <c r="I53" s="1">
        <f>'1x9'!E47</f>
        <v>3380.3479659097397</v>
      </c>
      <c r="J53" s="1">
        <f>'1x10'!E47</f>
        <v>4594.7722533135275</v>
      </c>
      <c r="K53">
        <v>3</v>
      </c>
      <c r="L53" s="1">
        <f>'2x3'!E47</f>
        <v>759.47088590713008</v>
      </c>
      <c r="M53" s="1">
        <f>'2x4'!E47</f>
        <v>978.3145388474403</v>
      </c>
      <c r="N53" s="1">
        <f>'2x5'!E47</f>
        <v>1467.3327071022402</v>
      </c>
      <c r="O53" s="1">
        <f>'2x6'!E47</f>
        <v>2193.074625708603</v>
      </c>
      <c r="P53" s="1">
        <f>'2x7'!E47</f>
        <v>3186.6731361434772</v>
      </c>
      <c r="Q53" s="1">
        <f>'2x8'!E47</f>
        <v>4489.4886414558814</v>
      </c>
      <c r="R53" s="1">
        <f>'2x9'!E47</f>
        <v>6146.13230772523</v>
      </c>
      <c r="S53" s="1">
        <f>'2x10'!E47</f>
        <v>8202.5430125450293</v>
      </c>
      <c r="T53">
        <v>3</v>
      </c>
      <c r="U53" s="1">
        <f>'3x4'!E47</f>
        <v>-1600.0860092227701</v>
      </c>
      <c r="V53" s="1">
        <f>'3x5'!E47</f>
        <v>-5011.2923394222344</v>
      </c>
      <c r="W53" s="1">
        <f>'3x6'!E47</f>
        <v>-15365.309355660826</v>
      </c>
      <c r="X53" s="1">
        <f>'3x7'!E47</f>
        <v>-54868.607607000202</v>
      </c>
      <c r="Y53" s="1">
        <f>'3x8'!E47</f>
        <v>-774290.76320367411</v>
      </c>
      <c r="Z53" s="1">
        <f>'3x9'!E47</f>
        <v>217912.33231297706</v>
      </c>
      <c r="AA53" s="1">
        <f>'3x10'!E23</f>
        <v>42376.656268188075</v>
      </c>
    </row>
    <row r="54" spans="1:27" x14ac:dyDescent="0.2">
      <c r="A54">
        <v>4</v>
      </c>
      <c r="B54" s="1">
        <f>'1x2'!E48</f>
        <v>227.67699513094871</v>
      </c>
      <c r="C54" s="1">
        <f>'1x3'!E48</f>
        <v>889.95716376462474</v>
      </c>
      <c r="D54" s="1">
        <f>'1x4'!E48</f>
        <v>2545.2659235220858</v>
      </c>
      <c r="E54" s="1">
        <f>'1x5'!E48</f>
        <v>5906.8820595292364</v>
      </c>
      <c r="F54" s="1">
        <f>'1x6'!E48</f>
        <v>11886.1184877869</v>
      </c>
      <c r="G54" s="1">
        <f>'1x7'!E48</f>
        <v>21592.580094997877</v>
      </c>
      <c r="H54" s="1">
        <f>'1x8'!E48</f>
        <v>36334.540593226971</v>
      </c>
      <c r="I54" s="1">
        <f>'1x9'!E48</f>
        <v>57619.15476073727</v>
      </c>
      <c r="J54" s="1">
        <f>'1x10'!E48</f>
        <v>87152.494565991728</v>
      </c>
      <c r="K54">
        <v>4</v>
      </c>
      <c r="L54" s="1">
        <f>'2x3'!E48</f>
        <v>3335.7219840889697</v>
      </c>
      <c r="M54" s="1">
        <f>'2x4'!E48</f>
        <v>6189.0593524827964</v>
      </c>
      <c r="N54" s="1">
        <f>'2x5'!E48</f>
        <v>11889.371888756321</v>
      </c>
      <c r="O54" s="1">
        <f>'2x6'!E48</f>
        <v>21592.919048238658</v>
      </c>
      <c r="P54" s="1">
        <f>'2x7'!E48</f>
        <v>36887.399300052195</v>
      </c>
      <c r="Q54" s="1">
        <f>'2x8'!E48</f>
        <v>59693.422668730615</v>
      </c>
      <c r="R54" s="1">
        <f>'2x9'!E48</f>
        <v>92253.371339586112</v>
      </c>
      <c r="S54" s="1">
        <f>'2x10'!E48</f>
        <v>137128.25304891108</v>
      </c>
      <c r="T54">
        <v>4</v>
      </c>
      <c r="U54" s="1">
        <f>'3x4'!E48</f>
        <v>-14686.361176359087</v>
      </c>
      <c r="V54" s="1">
        <f>'3x5'!E48</f>
        <v>-68671.199092173862</v>
      </c>
      <c r="W54" s="1">
        <f>'3x6'!E48</f>
        <v>-429651.54860916757</v>
      </c>
      <c r="X54" s="1">
        <f>'3x7'!E48</f>
        <v>1744783.1068434573</v>
      </c>
      <c r="Y54" s="1">
        <f>'3x8'!E48</f>
        <v>902882.57577306672</v>
      </c>
      <c r="Z54" s="1">
        <f>'3x9'!E48</f>
        <v>963352.22710235149</v>
      </c>
      <c r="AA54" s="1">
        <f>'3x10'!E24</f>
        <v>156153.43804523721</v>
      </c>
    </row>
    <row r="55" spans="1:27" x14ac:dyDescent="0.2">
      <c r="A55">
        <v>5</v>
      </c>
      <c r="B55" s="1">
        <f>'1x2'!E49</f>
        <v>838.56777584646011</v>
      </c>
      <c r="C55" s="1">
        <f>'1x3'!E49</f>
        <v>5050.8120849716925</v>
      </c>
      <c r="D55" s="1">
        <f>'1x4'!E49</f>
        <v>19552.976663769845</v>
      </c>
      <c r="E55" s="1">
        <f>'1x5'!E49</f>
        <v>57192.500823059381</v>
      </c>
      <c r="F55" s="1">
        <f>'1x6'!E49</f>
        <v>138768.7777275079</v>
      </c>
      <c r="G55" s="1">
        <f>'1x7'!E49</f>
        <v>294977.49113725929</v>
      </c>
      <c r="H55" s="1">
        <f>'1x8'!E49</f>
        <v>568357.6629207331</v>
      </c>
      <c r="I55" s="1">
        <f>'1x9'!E49</f>
        <v>1015239.5514467466</v>
      </c>
      <c r="J55" s="1">
        <f>'1x10'!E49</f>
        <v>1707692.2284730915</v>
      </c>
      <c r="K55">
        <v>5</v>
      </c>
      <c r="L55" s="1">
        <f>'2x3'!E49</f>
        <v>17281.463931461265</v>
      </c>
      <c r="M55" s="1">
        <f>'2x4'!E49</f>
        <v>43696.879719619697</v>
      </c>
      <c r="N55" s="1">
        <f>'2x5'!E49</f>
        <v>105742.54915404892</v>
      </c>
      <c r="O55" s="1">
        <f>'2x6'!E49</f>
        <v>231542.68530773633</v>
      </c>
      <c r="P55" s="1">
        <f>'2x7'!E49</f>
        <v>462998.23792662501</v>
      </c>
      <c r="Q55" s="1">
        <f>'2x8'!E49</f>
        <v>858329.78383007797</v>
      </c>
      <c r="R55" s="1">
        <f>'2x9'!E49</f>
        <v>1494895.7682137745</v>
      </c>
      <c r="S55" s="1">
        <f>'2x10'!E49</f>
        <v>2472030.2348803519</v>
      </c>
      <c r="T55">
        <v>5</v>
      </c>
      <c r="U55" s="1">
        <f>'3x4'!E49</f>
        <v>-125095.06361215733</v>
      </c>
      <c r="V55" s="1">
        <f>'3x5'!E49</f>
        <v>-824946.68344258599</v>
      </c>
      <c r="W55" s="1">
        <f>'3x6'!E49</f>
        <v>-14181746.901636161</v>
      </c>
      <c r="X55" s="1">
        <f>'3x7'!E49</f>
        <v>9314670.0635124482</v>
      </c>
      <c r="Y55" s="1">
        <f>'3x8'!E49</f>
        <v>9350559.7960772179</v>
      </c>
      <c r="Z55" s="1">
        <f>'3x9'!E49</f>
        <v>12479957.688927857</v>
      </c>
      <c r="AA55" s="1">
        <f>'3x10'!E25</f>
        <v>1174325.4536794864</v>
      </c>
    </row>
    <row r="56" spans="1:27" x14ac:dyDescent="0.2">
      <c r="A56">
        <v>6</v>
      </c>
      <c r="B56" s="1">
        <f>'1x2'!E50</f>
        <v>3178.3794677904866</v>
      </c>
      <c r="C56" s="1">
        <f>'1x3'!E50</f>
        <v>29363.727175924436</v>
      </c>
      <c r="D56" s="1">
        <f>'1x4'!E50</f>
        <v>153246.27429827457</v>
      </c>
      <c r="E56" s="1">
        <f>'1x5'!E50</f>
        <v>563365.47484680975</v>
      </c>
      <c r="F56" s="1">
        <f>'1x6'!E50</f>
        <v>1645135.31260177</v>
      </c>
      <c r="G56" s="1">
        <f>'1x7'!E50</f>
        <v>4086883.1381387254</v>
      </c>
      <c r="H56" s="1">
        <f>'1x8'!E50</f>
        <v>9009063.9527051076</v>
      </c>
      <c r="I56" s="1">
        <f>'1x9'!E50</f>
        <v>18116651.281340186</v>
      </c>
      <c r="J56" s="1">
        <f>'1x10'!E50</f>
        <v>33874700.130393282</v>
      </c>
      <c r="K56">
        <v>6</v>
      </c>
      <c r="L56" s="1">
        <f>'2x3'!E50</f>
        <v>95634.094123885792</v>
      </c>
      <c r="M56" s="1">
        <f>'2x4'!E50</f>
        <v>323974.78430136445</v>
      </c>
      <c r="N56" s="1">
        <f>'2x5'!E50</f>
        <v>981643.39858539973</v>
      </c>
      <c r="O56" s="1">
        <f>'2x6'!E50</f>
        <v>2583695.8290565787</v>
      </c>
      <c r="P56" s="1">
        <f>'2x7'!E50</f>
        <v>6036826.3576378729</v>
      </c>
      <c r="Q56" s="1">
        <f>'2x8'!E50</f>
        <v>12806681.442982001</v>
      </c>
      <c r="R56" s="1">
        <f>'2x9'!E50</f>
        <v>25118085.582543273</v>
      </c>
      <c r="S56" s="1">
        <f>'2x10'!E50</f>
        <v>46187157.478334814</v>
      </c>
      <c r="T56">
        <v>6</v>
      </c>
      <c r="U56" s="1">
        <f>'3x4'!E50</f>
        <v>-1028899.6129690156</v>
      </c>
      <c r="V56" s="1">
        <f>'3x5'!E50</f>
        <v>-9098113.2172063999</v>
      </c>
      <c r="W56" s="1">
        <f>'3x6'!E50</f>
        <v>-1213949492.8278503</v>
      </c>
      <c r="X56" s="1">
        <f>'3x7'!E50</f>
        <v>99112961.437161073</v>
      </c>
      <c r="Y56" s="1">
        <f>'3x8'!E50</f>
        <v>126282140.79694577</v>
      </c>
      <c r="Z56" s="1">
        <f>'3x9'!E50</f>
        <v>195438340.07682699</v>
      </c>
      <c r="AA56" s="1">
        <f>'3x10'!E26</f>
        <v>10357044.507831814</v>
      </c>
    </row>
    <row r="57" spans="1:27" x14ac:dyDescent="0.2">
      <c r="A57">
        <v>7</v>
      </c>
      <c r="B57" s="1">
        <f>'1x2'!E51</f>
        <v>12250.709084330059</v>
      </c>
      <c r="C57" s="1">
        <f>'1x3'!E51</f>
        <v>172939.7444729514</v>
      </c>
      <c r="D57" s="1">
        <f>'1x4'!E51</f>
        <v>1212951.4165745955</v>
      </c>
      <c r="E57" s="1">
        <f>'1x5'!E51</f>
        <v>5593238.4674231326</v>
      </c>
      <c r="F57" s="1">
        <f>'1x6'!E51</f>
        <v>19634037.828449067</v>
      </c>
      <c r="G57" s="1">
        <f>'1x7'!E51</f>
        <v>56959257.552870087</v>
      </c>
      <c r="H57" s="1">
        <f>'1x8'!E51</f>
        <v>143579625.48517817</v>
      </c>
      <c r="I57" s="1">
        <f>'1x9'!E51</f>
        <v>324937925.6960268</v>
      </c>
      <c r="J57" s="1">
        <f>'1x10'!E51</f>
        <v>675239618.9129827</v>
      </c>
      <c r="K57">
        <v>7</v>
      </c>
      <c r="L57" s="1">
        <f>'2x3'!E51</f>
        <v>546881.46326990391</v>
      </c>
      <c r="M57" s="1">
        <f>'2x4'!E51</f>
        <v>2465556.337440223</v>
      </c>
      <c r="N57" s="1">
        <f>'2x5'!E51</f>
        <v>9328620.1594876889</v>
      </c>
      <c r="O57" s="1">
        <f>'2x6'!E51</f>
        <v>29469503.940613877</v>
      </c>
      <c r="P57" s="1">
        <f>'2x7'!E51</f>
        <v>80386164.072888881</v>
      </c>
      <c r="Q57" s="1">
        <f>'2x8'!E51</f>
        <v>195040824.88642773</v>
      </c>
      <c r="R57" s="1">
        <f>'2x9'!E51</f>
        <v>430639698.76611775</v>
      </c>
      <c r="S57" s="1">
        <f>'2x10'!E51</f>
        <v>880312181.09757841</v>
      </c>
      <c r="T57">
        <v>7</v>
      </c>
      <c r="U57" s="1">
        <f>'3x4'!E51</f>
        <v>-8331047.3979323823</v>
      </c>
      <c r="V57" s="1">
        <f>'3x5'!E51</f>
        <v>-95584275.611474976</v>
      </c>
      <c r="W57" s="1">
        <f>'3x6'!E51</f>
        <v>7106047293.2955637</v>
      </c>
      <c r="X57" s="1">
        <f>'3x7'!E51</f>
        <v>1234252546.4176841</v>
      </c>
      <c r="Y57" s="1">
        <f>'3x8'!E51</f>
        <v>1865740984.7791426</v>
      </c>
      <c r="Z57" s="1">
        <f>'3x9'!E51</f>
        <v>3286286263.913012</v>
      </c>
      <c r="AA57" s="1">
        <f>'3x10'!E27</f>
        <v>97263170.439845398</v>
      </c>
    </row>
    <row r="58" spans="1:27" x14ac:dyDescent="0.2">
      <c r="A58">
        <v>8</v>
      </c>
      <c r="B58" s="1">
        <f>'1x2'!E52</f>
        <v>47719.71329735178</v>
      </c>
      <c r="C58" s="1">
        <f>'1x3'!E52</f>
        <v>1026087.8178677968</v>
      </c>
      <c r="D58" s="1">
        <f>'1x4'!E52</f>
        <v>9649071.7154229525</v>
      </c>
      <c r="E58" s="1">
        <f>'1x5'!E52</f>
        <v>55738362.803138405</v>
      </c>
      <c r="F58" s="1">
        <f>'1x6'!E52</f>
        <v>235024527.87751183</v>
      </c>
      <c r="G58" s="1">
        <f>'1x7'!E52</f>
        <v>795867220.84046197</v>
      </c>
      <c r="H58" s="1">
        <f>'1x8'!E52</f>
        <v>2293458441.6546636</v>
      </c>
      <c r="I58" s="1">
        <f>'1x9'!E52</f>
        <v>5840238282.7751627</v>
      </c>
      <c r="J58" s="1">
        <f>'1x10'!E52</f>
        <v>13486418312.565489</v>
      </c>
      <c r="K58">
        <v>8</v>
      </c>
      <c r="L58" s="1">
        <f>'2x3'!E52</f>
        <v>3184907.4420937989</v>
      </c>
      <c r="M58" s="1">
        <f>'2x4'!E52</f>
        <v>19057524.853081308</v>
      </c>
      <c r="N58" s="1">
        <f>'2x5'!E52</f>
        <v>89918048.036751211</v>
      </c>
      <c r="O58" s="1">
        <f>'2x6'!E52</f>
        <v>340661313.44295156</v>
      </c>
      <c r="P58" s="1">
        <f>'2x7'!E52</f>
        <v>1084325445.694284</v>
      </c>
      <c r="Q58" s="1">
        <f>'2x8'!E52</f>
        <v>3008051982.8790236</v>
      </c>
      <c r="R58" s="1">
        <f>'2x9'!E52</f>
        <v>7475222822.4104557</v>
      </c>
      <c r="S58" s="1">
        <f>'2x10'!E52</f>
        <v>16985380028.723967</v>
      </c>
      <c r="T58">
        <v>8</v>
      </c>
      <c r="U58" s="1">
        <f>'3x4'!E52</f>
        <v>-66995986.745610557</v>
      </c>
      <c r="V58" s="1">
        <f>'3x5'!E52</f>
        <v>-979141841.64798915</v>
      </c>
      <c r="W58" s="1">
        <f>'3x6'!E52</f>
        <v>48883135310.045135</v>
      </c>
      <c r="X58" s="1">
        <f>'3x7'!E52</f>
        <v>16337965822.11125</v>
      </c>
      <c r="Y58" s="1">
        <f>'3x8'!E52</f>
        <v>28673419274.003838</v>
      </c>
      <c r="Z58" s="1">
        <f>'3x9'!E52</f>
        <v>57096420909.95005</v>
      </c>
      <c r="AA58" s="1">
        <f>'3x10'!E28</f>
        <v>940849608.45487797</v>
      </c>
    </row>
    <row r="59" spans="1:27" x14ac:dyDescent="0.2">
      <c r="A59">
        <v>9</v>
      </c>
      <c r="B59" s="1">
        <f>'1x2'!E53</f>
        <v>187185.2352877096</v>
      </c>
      <c r="C59" s="1">
        <f>'1x3'!E53</f>
        <v>6114543.6164970873</v>
      </c>
      <c r="D59" s="1">
        <f>'1x4'!E53</f>
        <v>76961379.192424729</v>
      </c>
      <c r="E59" s="1">
        <f>'1x5'!E53</f>
        <v>556444717.6111722</v>
      </c>
      <c r="F59" s="1">
        <f>'1x6'!E53</f>
        <v>2817105665.5268779</v>
      </c>
      <c r="G59" s="1">
        <f>'1x7'!E53</f>
        <v>11132598857.996807</v>
      </c>
      <c r="H59" s="1">
        <f>'1x8'!E53</f>
        <v>36669472377.715958</v>
      </c>
      <c r="I59" s="1">
        <f>'1x9'!E53</f>
        <v>105059712934.10281</v>
      </c>
      <c r="J59" s="1">
        <f>'1x10'!E53</f>
        <v>269578050994.3627</v>
      </c>
      <c r="K59">
        <v>9</v>
      </c>
      <c r="L59" s="1">
        <f>'2x3'!E53</f>
        <v>18750126.805190526</v>
      </c>
      <c r="M59" s="1">
        <f>'2x4'!E53</f>
        <v>148774499.4629834</v>
      </c>
      <c r="N59" s="1">
        <f>'2x5'!E53</f>
        <v>874782992.04488802</v>
      </c>
      <c r="O59" s="1">
        <f>'2x6'!E53</f>
        <v>3972780299.5069489</v>
      </c>
      <c r="P59" s="1">
        <f>'2x7'!E53</f>
        <v>14751260184.575659</v>
      </c>
      <c r="Q59" s="1">
        <f>'2x8'!E53</f>
        <v>46779152699.342979</v>
      </c>
      <c r="R59" s="1">
        <f>'2x9'!E53</f>
        <v>130823643154.87614</v>
      </c>
      <c r="S59" s="1">
        <f>'2x10'!E53</f>
        <v>330391326577.97577</v>
      </c>
      <c r="T59">
        <v>9</v>
      </c>
      <c r="U59" s="1">
        <f>'3x4'!E53</f>
        <v>-537167848.00784862</v>
      </c>
      <c r="V59" s="1">
        <f>'3x5'!E53</f>
        <v>-9905220216.9488716</v>
      </c>
      <c r="W59" s="1">
        <f>'3x6'!E53</f>
        <v>483124988482.55884</v>
      </c>
      <c r="X59" s="1">
        <f>'3x7'!E53</f>
        <v>222387099603.49744</v>
      </c>
      <c r="Y59" s="1">
        <f>'3x8'!E53</f>
        <v>449217369688.93945</v>
      </c>
      <c r="Z59" s="1">
        <f>'3x9'!E53</f>
        <v>1008454447302.4921</v>
      </c>
      <c r="AA59" s="1">
        <f>'3x10'!E29</f>
        <v>9240112201.9529591</v>
      </c>
    </row>
    <row r="60" spans="1:27" x14ac:dyDescent="0.2">
      <c r="A60">
        <v>10</v>
      </c>
      <c r="B60" s="1">
        <f>'1x2'!E54</f>
        <v>737810.63578561076</v>
      </c>
      <c r="C60" s="1">
        <f>'1x3'!E54</f>
        <v>36532770.987653784</v>
      </c>
      <c r="D60" s="1">
        <f>'1x4'!E54</f>
        <v>614704814.611076</v>
      </c>
      <c r="E60" s="1">
        <f>'1x5'!E54</f>
        <v>5559885891.6545811</v>
      </c>
      <c r="F60" s="1">
        <f>'1x6'!E54</f>
        <v>33787806992.822231</v>
      </c>
      <c r="G60" s="1">
        <f>'1x7'!E54</f>
        <v>155797976732.26483</v>
      </c>
      <c r="H60" s="1">
        <f>'1x8'!E54</f>
        <v>586535928475.42944</v>
      </c>
      <c r="I60" s="1">
        <f>'1x9'!E54</f>
        <v>1890591628923.3245</v>
      </c>
      <c r="J60" s="1">
        <f>'1x10'!E54</f>
        <v>5390329437819.5566</v>
      </c>
      <c r="K60">
        <v>10</v>
      </c>
      <c r="L60" s="1">
        <f>'2x3'!E54</f>
        <v>111127171.02320179</v>
      </c>
      <c r="M60" s="1">
        <f>'2x4'!E54</f>
        <v>1169187480.0099282</v>
      </c>
      <c r="N60" s="1">
        <f>'2x5'!E54</f>
        <v>8564902319.0935974</v>
      </c>
      <c r="O60" s="1">
        <f>'2x6'!E54</f>
        <v>46613661609.539268</v>
      </c>
      <c r="P60" s="1">
        <f>'2x7'!E54</f>
        <v>201864755387.5235</v>
      </c>
      <c r="Q60" s="1">
        <f>'2x8'!E54</f>
        <v>731687373686.48389</v>
      </c>
      <c r="R60" s="1">
        <f>'2x9'!E54</f>
        <v>2302596067525.1338</v>
      </c>
      <c r="S60" s="1">
        <f>'2x10'!E54</f>
        <v>6462887716554.5156</v>
      </c>
      <c r="T60">
        <v>10</v>
      </c>
      <c r="U60" s="1">
        <f>'3x4'!E54</f>
        <v>-4301469900.2566595</v>
      </c>
      <c r="V60" s="1">
        <f>'3x5'!E54</f>
        <v>-99598376034.893951</v>
      </c>
      <c r="W60" s="1">
        <f>'3x6'!E54</f>
        <v>5325329587596.1035</v>
      </c>
      <c r="X60" s="1">
        <f>'3x7'!E54</f>
        <v>3068764727515.7163</v>
      </c>
      <c r="Y60" s="1">
        <f>'3x8'!E54</f>
        <v>7107485172182.293</v>
      </c>
      <c r="Z60" s="1">
        <f>'3x9'!E54</f>
        <v>17966322900275.082</v>
      </c>
      <c r="AA60" s="1">
        <f>'3x10'!E30</f>
        <v>91485278090.303497</v>
      </c>
    </row>
    <row r="61" spans="1:27" x14ac:dyDescent="0.2">
      <c r="B61" s="367" t="s">
        <v>157</v>
      </c>
      <c r="C61" s="367"/>
      <c r="D61" s="367"/>
      <c r="E61" s="367"/>
      <c r="F61" s="367"/>
      <c r="G61" s="367"/>
      <c r="H61" s="367"/>
      <c r="I61" s="367"/>
      <c r="J61" s="367"/>
      <c r="L61" s="367" t="s">
        <v>157</v>
      </c>
      <c r="M61" s="367"/>
      <c r="N61" s="367"/>
      <c r="O61" s="367"/>
      <c r="P61" s="367"/>
      <c r="Q61" s="367"/>
      <c r="R61" s="367"/>
      <c r="S61" s="367"/>
      <c r="U61" s="367" t="s">
        <v>176</v>
      </c>
      <c r="V61" s="367"/>
      <c r="W61" s="367"/>
      <c r="X61" s="367"/>
      <c r="Y61" s="367"/>
      <c r="Z61" s="367"/>
      <c r="AA61" s="367"/>
    </row>
    <row r="62" spans="1:27" x14ac:dyDescent="0.2">
      <c r="A62" s="31" t="s">
        <v>57</v>
      </c>
      <c r="B62" s="49" t="s">
        <v>141</v>
      </c>
      <c r="C62" s="49" t="s">
        <v>142</v>
      </c>
      <c r="D62" s="49" t="s">
        <v>143</v>
      </c>
      <c r="E62" s="49" t="s">
        <v>144</v>
      </c>
      <c r="F62" s="49" t="s">
        <v>145</v>
      </c>
      <c r="G62" s="49" t="s">
        <v>146</v>
      </c>
      <c r="H62" s="49" t="s">
        <v>147</v>
      </c>
      <c r="I62" s="49" t="s">
        <v>148</v>
      </c>
      <c r="J62" s="49" t="s">
        <v>149</v>
      </c>
      <c r="K62" s="31" t="s">
        <v>57</v>
      </c>
      <c r="L62" s="49" t="s">
        <v>158</v>
      </c>
      <c r="M62" s="49" t="s">
        <v>159</v>
      </c>
      <c r="N62" s="49" t="s">
        <v>160</v>
      </c>
      <c r="O62" s="49" t="s">
        <v>161</v>
      </c>
      <c r="P62" s="49" t="s">
        <v>162</v>
      </c>
      <c r="Q62" s="49" t="s">
        <v>163</v>
      </c>
      <c r="R62" s="49" t="s">
        <v>164</v>
      </c>
      <c r="S62" s="49" t="s">
        <v>165</v>
      </c>
      <c r="T62" s="31" t="s">
        <v>57</v>
      </c>
      <c r="U62" s="49" t="s">
        <v>169</v>
      </c>
      <c r="V62" s="49" t="s">
        <v>170</v>
      </c>
      <c r="W62" s="49" t="s">
        <v>171</v>
      </c>
      <c r="X62" s="49" t="s">
        <v>172</v>
      </c>
      <c r="Y62" s="49" t="s">
        <v>173</v>
      </c>
      <c r="Z62" s="49" t="s">
        <v>174</v>
      </c>
      <c r="AA62" s="49" t="s">
        <v>175</v>
      </c>
    </row>
    <row r="63" spans="1:27" x14ac:dyDescent="0.2">
      <c r="A63">
        <v>2</v>
      </c>
      <c r="B63" s="279">
        <f t="shared" ref="B63:J63" si="0">B4/B28</f>
        <v>3.3327406233157657E-2</v>
      </c>
      <c r="C63" s="279">
        <f t="shared" si="0"/>
        <v>0.12272235486171469</v>
      </c>
      <c r="D63" s="279">
        <f t="shared" si="0"/>
        <v>0.1909241289241882</v>
      </c>
      <c r="E63" s="279">
        <f t="shared" si="0"/>
        <v>0.24081611489445204</v>
      </c>
      <c r="F63" s="279">
        <f t="shared" si="0"/>
        <v>0.27818028103929615</v>
      </c>
      <c r="G63" s="279">
        <f t="shared" si="0"/>
        <v>0.30699140825739879</v>
      </c>
      <c r="H63" s="279">
        <f t="shared" si="0"/>
        <v>0.32977923624266731</v>
      </c>
      <c r="I63" s="279">
        <f t="shared" si="0"/>
        <v>0.34818232545267669</v>
      </c>
      <c r="J63" s="279">
        <f t="shared" si="0"/>
        <v>0.36330060994341279</v>
      </c>
      <c r="K63">
        <v>2</v>
      </c>
      <c r="L63" s="1">
        <f t="shared" ref="L63:S63" si="1">L4/L28</f>
        <v>-0.23832650102307409</v>
      </c>
      <c r="M63" s="1">
        <f t="shared" si="1"/>
        <v>-5.4010306548654151E-2</v>
      </c>
      <c r="N63" s="1">
        <f t="shared" si="1"/>
        <v>-5.4878257867268632E-2</v>
      </c>
      <c r="O63" s="1">
        <f t="shared" si="1"/>
        <v>-4.7266402376749499E-2</v>
      </c>
      <c r="P63" s="1">
        <f t="shared" si="1"/>
        <v>-3.8095629233693785E-2</v>
      </c>
      <c r="Q63" s="1">
        <f t="shared" si="1"/>
        <v>-2.9731512290223416E-2</v>
      </c>
      <c r="R63" s="1">
        <f t="shared" si="1"/>
        <v>-2.2825321339130903E-2</v>
      </c>
      <c r="S63" s="1">
        <f t="shared" si="1"/>
        <v>-1.7391825297073452E-2</v>
      </c>
      <c r="T63">
        <v>2</v>
      </c>
      <c r="U63" s="1">
        <f t="shared" ref="U63:AA63" si="2">U4/U28</f>
        <v>0.32217852123376989</v>
      </c>
      <c r="V63" s="1">
        <f t="shared" si="2"/>
        <v>0.22719067210675079</v>
      </c>
      <c r="W63" s="1">
        <f t="shared" si="2"/>
        <v>0.16778052663997056</v>
      </c>
      <c r="X63" s="1">
        <f t="shared" si="2"/>
        <v>0.12945238175390808</v>
      </c>
      <c r="Y63" s="1">
        <f t="shared" si="2"/>
        <v>0.10408554919538589</v>
      </c>
      <c r="Z63" s="1">
        <f t="shared" si="2"/>
        <v>8.6968234254129806E-2</v>
      </c>
      <c r="AA63" s="1">
        <f t="shared" si="2"/>
        <v>7.5259876545831203E-2</v>
      </c>
    </row>
    <row r="64" spans="1:27" x14ac:dyDescent="0.2">
      <c r="A64">
        <v>3</v>
      </c>
      <c r="B64" s="279">
        <f t="shared" ref="B64:J64" si="3">B5/B29</f>
        <v>6.4876174752912144E-2</v>
      </c>
      <c r="C64" s="279">
        <f t="shared" si="3"/>
        <v>0.21462889134706367</v>
      </c>
      <c r="D64" s="279">
        <f t="shared" si="3"/>
        <v>0.31233605263143976</v>
      </c>
      <c r="E64" s="279">
        <f t="shared" si="3"/>
        <v>0.37719575170121261</v>
      </c>
      <c r="F64" s="279">
        <f t="shared" si="3"/>
        <v>0.42322188684315437</v>
      </c>
      <c r="G64" s="279">
        <f t="shared" si="3"/>
        <v>0.45782382951491951</v>
      </c>
      <c r="H64" s="279">
        <f t="shared" si="3"/>
        <v>0.48498477232715681</v>
      </c>
      <c r="I64" s="279">
        <f t="shared" si="3"/>
        <v>0.50698368294279939</v>
      </c>
      <c r="J64" s="279">
        <f t="shared" si="3"/>
        <v>0.52521469445872382</v>
      </c>
      <c r="K64">
        <v>3</v>
      </c>
      <c r="L64" s="1">
        <f t="shared" ref="L64:S64" si="4">L5/L29</f>
        <v>-0.23381898051046374</v>
      </c>
      <c r="M64" s="1">
        <f t="shared" si="4"/>
        <v>-0.15669891490672486</v>
      </c>
      <c r="N64" s="1">
        <f t="shared" si="4"/>
        <v>-0.14107544415157575</v>
      </c>
      <c r="O64" s="1">
        <f t="shared" si="4"/>
        <v>-0.11482853479565117</v>
      </c>
      <c r="P64" s="1">
        <f t="shared" si="4"/>
        <v>-8.9544661092211666E-2</v>
      </c>
      <c r="Q64" s="1">
        <f t="shared" si="4"/>
        <v>-6.841770714793291E-2</v>
      </c>
      <c r="R64" s="1">
        <f t="shared" si="4"/>
        <v>-5.1778074621318594E-2</v>
      </c>
      <c r="S64" s="1">
        <f t="shared" si="4"/>
        <v>-3.9061412651627117E-2</v>
      </c>
      <c r="T64">
        <v>3</v>
      </c>
      <c r="U64" s="1">
        <f t="shared" ref="U64:AA64" si="5">U5/U29</f>
        <v>0.38947935488171637</v>
      </c>
      <c r="V64" s="1">
        <f t="shared" si="5"/>
        <v>0.22376185194706935</v>
      </c>
      <c r="W64" s="1">
        <f t="shared" si="5"/>
        <v>0.11897306655515257</v>
      </c>
      <c r="X64" s="1">
        <f t="shared" si="5"/>
        <v>5.0826795773862544E-2</v>
      </c>
      <c r="Y64" s="1">
        <f t="shared" si="5"/>
        <v>5.2352985372430038E-3</v>
      </c>
      <c r="Z64" s="1">
        <f t="shared" si="5"/>
        <v>-2.6046423840281972E-2</v>
      </c>
      <c r="AA64" s="1">
        <f t="shared" si="5"/>
        <v>-4.7972501529058471E-2</v>
      </c>
    </row>
    <row r="65" spans="1:27" x14ac:dyDescent="0.2">
      <c r="A65">
        <v>4</v>
      </c>
      <c r="B65" s="279">
        <f t="shared" ref="B65:J65" si="6">B6/B30</f>
        <v>9.7795367646143508E-2</v>
      </c>
      <c r="C65" s="279">
        <f t="shared" si="6"/>
        <v>0.29534789937428674</v>
      </c>
      <c r="D65" s="279">
        <f t="shared" si="6"/>
        <v>0.40483605722545801</v>
      </c>
      <c r="E65" s="279">
        <f t="shared" si="6"/>
        <v>0.47094946943104299</v>
      </c>
      <c r="F65" s="279">
        <f t="shared" si="6"/>
        <v>0.51589250446842094</v>
      </c>
      <c r="G65" s="279">
        <f t="shared" si="6"/>
        <v>0.54927744670751766</v>
      </c>
      <c r="H65" s="279">
        <f t="shared" si="6"/>
        <v>0.57560065738574384</v>
      </c>
      <c r="I65" s="279">
        <f t="shared" si="6"/>
        <v>0.59718377122729627</v>
      </c>
      <c r="J65" s="279">
        <f t="shared" si="6"/>
        <v>0.61534412677517125</v>
      </c>
      <c r="K65">
        <v>4</v>
      </c>
      <c r="L65" s="1">
        <f t="shared" ref="L65:S65" si="7">L6/L30</f>
        <v>-0.20197215332181789</v>
      </c>
      <c r="M65" s="1">
        <f t="shared" si="7"/>
        <v>-0.27774877307065737</v>
      </c>
      <c r="N65" s="1">
        <f t="shared" si="7"/>
        <v>-0.24110391281880755</v>
      </c>
      <c r="O65" s="1">
        <f t="shared" si="7"/>
        <v>-0.19184525454168683</v>
      </c>
      <c r="P65" s="1">
        <f t="shared" si="7"/>
        <v>-0.14728553624944968</v>
      </c>
      <c r="Q65" s="1">
        <f t="shared" si="7"/>
        <v>-0.11129333682641668</v>
      </c>
      <c r="R65" s="1">
        <f t="shared" si="7"/>
        <v>-8.3554846667715788E-2</v>
      </c>
      <c r="S65" s="1">
        <f t="shared" si="7"/>
        <v>-6.2668003188960375E-2</v>
      </c>
      <c r="T65">
        <v>4</v>
      </c>
      <c r="U65" s="1">
        <f t="shared" ref="U65:AA65" si="8">U6/U30</f>
        <v>0.48146354372253897</v>
      </c>
      <c r="V65" s="1">
        <f t="shared" si="8"/>
        <v>0.23137882875106613</v>
      </c>
      <c r="W65" s="1">
        <f t="shared" si="8"/>
        <v>7.2238753485205337E-2</v>
      </c>
      <c r="X65" s="1">
        <f t="shared" si="8"/>
        <v>-3.1612057800615677E-2</v>
      </c>
      <c r="Y65" s="1">
        <f t="shared" si="8"/>
        <v>-0.10133940750053727</v>
      </c>
      <c r="Z65" s="1">
        <f t="shared" si="8"/>
        <v>-0.14942989675320476</v>
      </c>
      <c r="AA65" s="1">
        <f t="shared" si="8"/>
        <v>-0.18339306035378447</v>
      </c>
    </row>
    <row r="66" spans="1:27" x14ac:dyDescent="0.2">
      <c r="A66">
        <v>5</v>
      </c>
      <c r="B66" s="279">
        <f t="shared" ref="B66:J66" si="9">B7/B31</f>
        <v>0.13076038585888122</v>
      </c>
      <c r="C66" s="279">
        <f t="shared" si="9"/>
        <v>0.36107064280217616</v>
      </c>
      <c r="D66" s="279">
        <f t="shared" si="9"/>
        <v>0.46926220297808141</v>
      </c>
      <c r="E66" s="279">
        <f t="shared" si="9"/>
        <v>0.52961375129865651</v>
      </c>
      <c r="F66" s="279">
        <f t="shared" si="9"/>
        <v>0.56976559427567663</v>
      </c>
      <c r="G66" s="279">
        <f t="shared" si="9"/>
        <v>0.59979119734509734</v>
      </c>
      <c r="H66" s="279">
        <f t="shared" si="9"/>
        <v>0.62388078709443906</v>
      </c>
      <c r="I66" s="279">
        <f t="shared" si="9"/>
        <v>0.64402619044812248</v>
      </c>
      <c r="J66" s="279">
        <f t="shared" si="9"/>
        <v>0.66129633540868582</v>
      </c>
      <c r="K66">
        <v>5</v>
      </c>
      <c r="L66" s="1">
        <f t="shared" ref="L66:S66" si="10">L7/L31</f>
        <v>-0.16119994612313743</v>
      </c>
      <c r="M66" s="1">
        <f t="shared" si="10"/>
        <v>-0.41131342705493701</v>
      </c>
      <c r="N66" s="1">
        <f t="shared" si="10"/>
        <v>-0.35024156331616479</v>
      </c>
      <c r="O66" s="1">
        <f t="shared" si="10"/>
        <v>-0.2747057713675532</v>
      </c>
      <c r="P66" s="1">
        <f t="shared" si="10"/>
        <v>-0.20862218848231226</v>
      </c>
      <c r="Q66" s="1">
        <f t="shared" si="10"/>
        <v>-0.15636824893378207</v>
      </c>
      <c r="R66" s="1">
        <f t="shared" si="10"/>
        <v>-0.11669262823316665</v>
      </c>
      <c r="S66" s="1">
        <f t="shared" si="10"/>
        <v>-8.7135119379711912E-2</v>
      </c>
      <c r="T66">
        <v>5</v>
      </c>
      <c r="U66" s="1">
        <f t="shared" ref="U66:AA66" si="11">U7/U31</f>
        <v>0.59301436177428823</v>
      </c>
      <c r="V66" s="1">
        <f t="shared" si="11"/>
        <v>0.25240609693658805</v>
      </c>
      <c r="W66" s="1">
        <f t="shared" si="11"/>
        <v>3.4388301281699042E-2</v>
      </c>
      <c r="X66" s="1">
        <f t="shared" si="11"/>
        <v>-0.10846193183413055</v>
      </c>
      <c r="Y66" s="1">
        <f t="shared" si="11"/>
        <v>-0.20468791847157639</v>
      </c>
      <c r="Z66" s="1">
        <f t="shared" si="11"/>
        <v>-0.27126658485413219</v>
      </c>
      <c r="AA66" s="1">
        <f t="shared" si="11"/>
        <v>-0.31845505283272907</v>
      </c>
    </row>
    <row r="67" spans="1:27" x14ac:dyDescent="0.2">
      <c r="A67">
        <v>6</v>
      </c>
      <c r="B67" s="279">
        <f t="shared" ref="B67:J67" si="12">B8/B32</f>
        <v>0.16271210549831341</v>
      </c>
      <c r="C67" s="279">
        <f t="shared" si="12"/>
        <v>0.41187109008858996</v>
      </c>
      <c r="D67" s="279">
        <f t="shared" si="12"/>
        <v>0.51169580874452703</v>
      </c>
      <c r="E67" s="279">
        <f t="shared" si="12"/>
        <v>0.56436062357764838</v>
      </c>
      <c r="F67" s="279">
        <f t="shared" si="12"/>
        <v>0.59947382558240681</v>
      </c>
      <c r="G67" s="279">
        <f t="shared" si="12"/>
        <v>0.6263138597301684</v>
      </c>
      <c r="H67" s="279">
        <f t="shared" si="12"/>
        <v>0.64837884745889363</v>
      </c>
      <c r="I67" s="279">
        <f t="shared" si="12"/>
        <v>0.66722844319301289</v>
      </c>
      <c r="J67" s="279">
        <f t="shared" si="12"/>
        <v>0.68367003701730367</v>
      </c>
      <c r="K67">
        <v>6</v>
      </c>
      <c r="L67" s="1">
        <f t="shared" ref="L67:S67" si="13">L8/L32</f>
        <v>-0.12210839594967379</v>
      </c>
      <c r="M67" s="1">
        <f t="shared" si="13"/>
        <v>-0.5537565077750507</v>
      </c>
      <c r="N67" s="1">
        <f t="shared" si="13"/>
        <v>-0.46602508259037573</v>
      </c>
      <c r="O67" s="1">
        <f t="shared" si="13"/>
        <v>-0.36171752902118876</v>
      </c>
      <c r="P67" s="1">
        <f t="shared" si="13"/>
        <v>-0.27236092856744704</v>
      </c>
      <c r="Q67" s="1">
        <f t="shared" si="13"/>
        <v>-0.20278761098712345</v>
      </c>
      <c r="R67" s="1">
        <f t="shared" si="13"/>
        <v>-0.15057341733052432</v>
      </c>
      <c r="S67" s="1">
        <f t="shared" si="13"/>
        <v>-0.11201231523703604</v>
      </c>
      <c r="T67">
        <v>6</v>
      </c>
      <c r="U67" s="1">
        <f t="shared" ref="U67:AA67" si="14">U8/U32</f>
        <v>0.71774643956269557</v>
      </c>
      <c r="V67" s="1">
        <f t="shared" si="14"/>
        <v>0.28475212458643689</v>
      </c>
      <c r="W67" s="1">
        <f t="shared" si="14"/>
        <v>5.9976196745167533E-3</v>
      </c>
      <c r="X67" s="1">
        <f t="shared" si="14"/>
        <v>-0.17751700185805694</v>
      </c>
      <c r="Y67" s="1">
        <f t="shared" si="14"/>
        <v>-0.3015936789078541</v>
      </c>
      <c r="Z67" s="1">
        <f t="shared" si="14"/>
        <v>-0.38769625458740703</v>
      </c>
      <c r="AA67" s="1">
        <f t="shared" si="14"/>
        <v>-0.44887591240518282</v>
      </c>
    </row>
    <row r="68" spans="1:27" x14ac:dyDescent="0.2">
      <c r="A68">
        <v>7</v>
      </c>
      <c r="B68" s="279">
        <f t="shared" ref="B68:J68" si="15">B9/B33</f>
        <v>0.19291103740214621</v>
      </c>
      <c r="C68" s="279">
        <f t="shared" si="15"/>
        <v>0.44975752650676526</v>
      </c>
      <c r="D68" s="279">
        <f t="shared" si="15"/>
        <v>0.53865467727023675</v>
      </c>
      <c r="E68" s="279">
        <f t="shared" si="15"/>
        <v>0.58424858825582593</v>
      </c>
      <c r="F68" s="279">
        <f t="shared" si="15"/>
        <v>0.61533432840437818</v>
      </c>
      <c r="G68" s="279">
        <f t="shared" si="15"/>
        <v>0.63981630115024335</v>
      </c>
      <c r="H68" s="279">
        <f t="shared" si="15"/>
        <v>0.66044543792184662</v>
      </c>
      <c r="I68" s="279">
        <f t="shared" si="15"/>
        <v>0.67839430050627647</v>
      </c>
      <c r="J68" s="279">
        <f t="shared" si="15"/>
        <v>0.69426089774978794</v>
      </c>
      <c r="K68">
        <v>7</v>
      </c>
      <c r="L68" s="1">
        <f t="shared" ref="L68:S68" si="16">L9/L33</f>
        <v>-8.9160446633371443E-2</v>
      </c>
      <c r="M68" s="1">
        <f t="shared" si="16"/>
        <v>-0.7028927230762706</v>
      </c>
      <c r="N68" s="1">
        <f t="shared" si="16"/>
        <v>-0.5871548273656787</v>
      </c>
      <c r="O68" s="1">
        <f t="shared" si="16"/>
        <v>-0.45205183354892264</v>
      </c>
      <c r="P68" s="1">
        <f t="shared" si="16"/>
        <v>-0.33793085676588364</v>
      </c>
      <c r="Q68" s="1">
        <f t="shared" si="16"/>
        <v>-0.25014306785819629</v>
      </c>
      <c r="R68" s="1">
        <f t="shared" si="16"/>
        <v>-0.1849005523758106</v>
      </c>
      <c r="S68" s="1">
        <f t="shared" si="16"/>
        <v>-0.13708221115914704</v>
      </c>
      <c r="T68">
        <v>7</v>
      </c>
      <c r="U68" s="1">
        <f t="shared" ref="U68:AA68" si="17">U9/U33</f>
        <v>0.85046397548507568</v>
      </c>
      <c r="V68" s="1">
        <f t="shared" si="17"/>
        <v>0.32515968678619495</v>
      </c>
      <c r="W68" s="1">
        <f t="shared" si="17"/>
        <v>-1.4756009273538921E-2</v>
      </c>
      <c r="X68" s="1">
        <f t="shared" si="17"/>
        <v>-0.23957976090934971</v>
      </c>
      <c r="Y68" s="1">
        <f t="shared" si="17"/>
        <v>-0.39215063775608505</v>
      </c>
      <c r="Z68" s="1">
        <f t="shared" si="17"/>
        <v>-0.49832393345209613</v>
      </c>
      <c r="AA68" s="1">
        <f t="shared" si="17"/>
        <v>-0.57392233887634658</v>
      </c>
    </row>
    <row r="69" spans="1:27" x14ac:dyDescent="0.2">
      <c r="A69">
        <v>8</v>
      </c>
      <c r="B69" s="279">
        <f t="shared" ref="B69:J69" si="18">B10/B34</f>
        <v>0.22091081778587071</v>
      </c>
      <c r="C69" s="279">
        <f t="shared" si="18"/>
        <v>0.47730687255093607</v>
      </c>
      <c r="D69" s="279">
        <f t="shared" si="18"/>
        <v>0.55536443918294809</v>
      </c>
      <c r="E69" s="279">
        <f t="shared" si="18"/>
        <v>0.59537081829423155</v>
      </c>
      <c r="F69" s="279">
        <f t="shared" si="18"/>
        <v>0.62361828716118151</v>
      </c>
      <c r="G69" s="279">
        <f t="shared" si="18"/>
        <v>0.64654770895261171</v>
      </c>
      <c r="H69" s="279">
        <f t="shared" si="18"/>
        <v>0.66626975398261701</v>
      </c>
      <c r="I69" s="279">
        <f t="shared" si="18"/>
        <v>0.68366286098120632</v>
      </c>
      <c r="J69" s="279">
        <f t="shared" si="18"/>
        <v>0.69917831614839954</v>
      </c>
      <c r="K69">
        <v>8</v>
      </c>
      <c r="L69" s="1">
        <f t="shared" ref="L69:S69" si="19">L10/L34</f>
        <v>-6.3354679084648396E-2</v>
      </c>
      <c r="M69" s="1">
        <f t="shared" si="19"/>
        <v>-0.85732029056511649</v>
      </c>
      <c r="N69" s="1">
        <f t="shared" si="19"/>
        <v>-0.71286336200994893</v>
      </c>
      <c r="O69" s="1">
        <f t="shared" si="19"/>
        <v>-0.54525223351869789</v>
      </c>
      <c r="P69" s="1">
        <f t="shared" si="19"/>
        <v>-0.40502376990603378</v>
      </c>
      <c r="Q69" s="1">
        <f t="shared" si="19"/>
        <v>-0.2982135051452085</v>
      </c>
      <c r="R69" s="1">
        <f t="shared" si="19"/>
        <v>-0.21951233577613019</v>
      </c>
      <c r="S69" s="1">
        <f t="shared" si="19"/>
        <v>-0.16222577936447202</v>
      </c>
      <c r="T69">
        <v>8</v>
      </c>
      <c r="U69" s="1">
        <f t="shared" ref="U69:AA69" si="20">U10/U34</f>
        <v>0.98768472758021675</v>
      </c>
      <c r="V69" s="1">
        <f t="shared" si="20"/>
        <v>0.37077042808877403</v>
      </c>
      <c r="W69" s="1">
        <f t="shared" si="20"/>
        <v>-3.008549205520647E-2</v>
      </c>
      <c r="X69" s="1">
        <f t="shared" si="20"/>
        <v>-0.29629982763720247</v>
      </c>
      <c r="Y69" s="1">
        <f t="shared" si="20"/>
        <v>-0.47756641180249165</v>
      </c>
      <c r="Z69" s="1">
        <f t="shared" si="20"/>
        <v>-0.60402841990721479</v>
      </c>
      <c r="AA69" s="1">
        <f t="shared" si="20"/>
        <v>-0.69423490980475377</v>
      </c>
    </row>
    <row r="70" spans="1:27" x14ac:dyDescent="0.2">
      <c r="A70">
        <v>9</v>
      </c>
      <c r="B70" s="279">
        <f t="shared" ref="B70:J70" si="21">B11/B35</f>
        <v>0.24649572695670974</v>
      </c>
      <c r="C70" s="279">
        <f t="shared" si="21"/>
        <v>0.49696916983726286</v>
      </c>
      <c r="D70" s="279">
        <f t="shared" si="21"/>
        <v>0.56553684055910891</v>
      </c>
      <c r="E70" s="279">
        <f t="shared" si="21"/>
        <v>0.60148662263652797</v>
      </c>
      <c r="F70" s="279">
        <f t="shared" si="21"/>
        <v>0.62787620935683952</v>
      </c>
      <c r="G70" s="279">
        <f t="shared" si="21"/>
        <v>0.64985229624858576</v>
      </c>
      <c r="H70" s="279">
        <f t="shared" si="21"/>
        <v>0.66903942801100535</v>
      </c>
      <c r="I70" s="279">
        <f t="shared" si="21"/>
        <v>0.68611288014866112</v>
      </c>
      <c r="J70" s="279">
        <f t="shared" si="21"/>
        <v>0.70142912560225112</v>
      </c>
      <c r="K70">
        <v>9</v>
      </c>
      <c r="L70" s="1">
        <f t="shared" ref="L70:S70" si="22">L11/L35</f>
        <v>-4.4082270986475061E-2</v>
      </c>
      <c r="M70" s="1">
        <f t="shared" si="22"/>
        <v>-1.0160501892873701</v>
      </c>
      <c r="N70" s="1">
        <f t="shared" si="22"/>
        <v>-0.84263197160335679</v>
      </c>
      <c r="O70" s="1">
        <f t="shared" si="22"/>
        <v>-0.64103539949615995</v>
      </c>
      <c r="P70" s="1">
        <f t="shared" si="22"/>
        <v>-0.47345553008764985</v>
      </c>
      <c r="Q70" s="1">
        <f t="shared" si="22"/>
        <v>-0.34686741884998029</v>
      </c>
      <c r="R70" s="1">
        <f t="shared" si="22"/>
        <v>-0.25431232620564925</v>
      </c>
      <c r="S70" s="1">
        <f t="shared" si="22"/>
        <v>-0.18737192842280823</v>
      </c>
      <c r="T70">
        <v>9</v>
      </c>
      <c r="U70" s="1">
        <f t="shared" ref="U70:AA70" si="23">U11/U35</f>
        <v>1.1273205979743379</v>
      </c>
      <c r="V70" s="1">
        <f t="shared" si="23"/>
        <v>0.41953188873748992</v>
      </c>
      <c r="W70" s="1">
        <f t="shared" si="23"/>
        <v>-4.1842450023675461E-2</v>
      </c>
      <c r="X70" s="1">
        <f t="shared" si="23"/>
        <v>-0.34927646946799434</v>
      </c>
      <c r="Y70" s="1">
        <f t="shared" si="23"/>
        <v>-0.55920744770492758</v>
      </c>
      <c r="Z70" s="1">
        <f t="shared" si="23"/>
        <v>-0.7059869656983222</v>
      </c>
      <c r="AA70" s="1">
        <f t="shared" si="23"/>
        <v>-0.81084661755216725</v>
      </c>
    </row>
    <row r="71" spans="1:27" x14ac:dyDescent="0.2">
      <c r="A71">
        <v>10</v>
      </c>
      <c r="B71" s="279">
        <f t="shared" ref="B71:J71" si="24">B12/B36</f>
        <v>0.26961379453830858</v>
      </c>
      <c r="C71" s="279">
        <f t="shared" si="24"/>
        <v>0.51080210261471337</v>
      </c>
      <c r="D71" s="279">
        <f t="shared" si="24"/>
        <v>0.57164455656246627</v>
      </c>
      <c r="E71" s="279">
        <f t="shared" si="24"/>
        <v>0.6048060937111861</v>
      </c>
      <c r="F71" s="279">
        <f t="shared" si="24"/>
        <v>0.63003784483579617</v>
      </c>
      <c r="G71" s="279">
        <f t="shared" si="24"/>
        <v>0.65145536501713619</v>
      </c>
      <c r="H71" s="279">
        <f t="shared" si="24"/>
        <v>0.6703413440654985</v>
      </c>
      <c r="I71" s="279">
        <f t="shared" si="24"/>
        <v>0.68723937366632459</v>
      </c>
      <c r="J71" s="279">
        <f t="shared" si="24"/>
        <v>0.70244796978200563</v>
      </c>
      <c r="K71">
        <v>10</v>
      </c>
      <c r="L71" s="1">
        <f t="shared" ref="L71:S71" si="25">L12/L36</f>
        <v>-3.0164251637664577E-2</v>
      </c>
      <c r="M71" s="1">
        <f t="shared" si="25"/>
        <v>-1.1783273994717858</v>
      </c>
      <c r="N71" s="1">
        <f t="shared" si="25"/>
        <v>-0.97606830993501092</v>
      </c>
      <c r="O71" s="1">
        <f t="shared" si="25"/>
        <v>-0.73920720448162225</v>
      </c>
      <c r="P71" s="1">
        <f t="shared" si="25"/>
        <v>-0.54310754905915448</v>
      </c>
      <c r="Q71" s="1">
        <f t="shared" si="25"/>
        <v>-0.39602126875674376</v>
      </c>
      <c r="R71" s="1">
        <f t="shared" si="25"/>
        <v>-0.28923924496356906</v>
      </c>
      <c r="S71" s="1">
        <f t="shared" si="25"/>
        <v>-0.21247550691194586</v>
      </c>
      <c r="T71">
        <v>10</v>
      </c>
      <c r="U71" s="1">
        <f t="shared" ref="U71:AA71" si="26">U12/U36</f>
        <v>1.2682054029128871</v>
      </c>
      <c r="V71" s="1">
        <f t="shared" si="26"/>
        <v>0.4701186862499046</v>
      </c>
      <c r="W71" s="1">
        <f t="shared" si="26"/>
        <v>-5.1361347274698842E-2</v>
      </c>
      <c r="X71" s="1">
        <f t="shared" si="26"/>
        <v>-0.399771721228938</v>
      </c>
      <c r="Y71" s="1">
        <f t="shared" si="26"/>
        <v>-0.63824005160203889</v>
      </c>
      <c r="Z71" s="1">
        <f t="shared" si="26"/>
        <v>-0.80527586763802261</v>
      </c>
      <c r="AA71" s="1">
        <f t="shared" si="26"/>
        <v>-0.92475980939810476</v>
      </c>
    </row>
  </sheetData>
  <sheetProtection sheet="1" objects="1" scenarios="1"/>
  <mergeCells count="18">
    <mergeCell ref="L61:S61"/>
    <mergeCell ref="L1:S1"/>
    <mergeCell ref="L13:S13"/>
    <mergeCell ref="L25:S25"/>
    <mergeCell ref="L37:S37"/>
    <mergeCell ref="L49:S49"/>
    <mergeCell ref="B1:J1"/>
    <mergeCell ref="B13:J13"/>
    <mergeCell ref="B25:J25"/>
    <mergeCell ref="B37:J37"/>
    <mergeCell ref="B61:J61"/>
    <mergeCell ref="B49:J49"/>
    <mergeCell ref="U61:AA61"/>
    <mergeCell ref="U1:AA1"/>
    <mergeCell ref="U13:AA13"/>
    <mergeCell ref="U25:AA25"/>
    <mergeCell ref="U37:AA37"/>
    <mergeCell ref="U49:AA49"/>
  </mergeCells>
  <phoneticPr fontId="16" type="noConversion"/>
  <conditionalFormatting sqref="B15:J24">
    <cfRule type="colorScale" priority="41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3:J12">
    <cfRule type="colorScale" priority="42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B27:J36">
    <cfRule type="colorScale" priority="39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39:J48">
    <cfRule type="colorScale" priority="38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51:J60">
    <cfRule type="colorScale" priority="37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15:S24">
    <cfRule type="colorScale" priority="185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L3:S12">
    <cfRule type="colorScale" priority="186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L27:S36">
    <cfRule type="cellIs" dxfId="123" priority="13" operator="lessThanOrEqual">
      <formula>0</formula>
    </cfRule>
    <cfRule type="colorScale" priority="187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39:S48">
    <cfRule type="cellIs" dxfId="122" priority="11" operator="lessThanOrEqual">
      <formula>0</formula>
    </cfRule>
    <cfRule type="colorScale" priority="188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51:S60">
    <cfRule type="cellIs" dxfId="121" priority="9" operator="lessThanOrEqual">
      <formula>0</formula>
    </cfRule>
    <cfRule type="colorScale" priority="189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15:AA24">
    <cfRule type="colorScale" priority="193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3:AA12">
    <cfRule type="colorScale" priority="194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27:AA36">
    <cfRule type="cellIs" dxfId="120" priority="12" operator="lessThanOrEqual">
      <formula>0</formula>
    </cfRule>
    <cfRule type="colorScale" priority="195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39:AA48">
    <cfRule type="cellIs" dxfId="119" priority="10" operator="lessThanOrEqual">
      <formula>0</formula>
    </cfRule>
    <cfRule type="colorScale" priority="196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51:AA60">
    <cfRule type="colorScale" priority="197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63:J71">
    <cfRule type="cellIs" dxfId="118" priority="317" operator="equal">
      <formula>MAX($B$63:$J$71)</formula>
    </cfRule>
    <cfRule type="colorScale" priority="318">
      <colorScale>
        <cfvo type="num" val="0"/>
        <cfvo type="percentile" val="50"/>
        <cfvo type="num" val="MAX($B$63:$J$71)"/>
        <color rgb="FFFF0000"/>
        <color rgb="FFFFEB84"/>
        <color rgb="FF00B050"/>
      </colorScale>
    </cfRule>
  </conditionalFormatting>
  <conditionalFormatting sqref="L63:S71">
    <cfRule type="colorScale" priority="319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63:AA71">
    <cfRule type="colorScale" priority="320">
      <colorScale>
        <cfvo type="num" val="0"/>
        <cfvo type="num" val="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F125-C276-244A-97F9-A501244095E9}">
  <dimension ref="A1:AA72"/>
  <sheetViews>
    <sheetView workbookViewId="0">
      <selection activeCell="P42" sqref="P42"/>
    </sheetView>
  </sheetViews>
  <sheetFormatPr baseColWidth="10" defaultColWidth="8.83203125" defaultRowHeight="16" x14ac:dyDescent="0.2"/>
  <cols>
    <col min="1" max="27" width="6.6640625" customWidth="1"/>
  </cols>
  <sheetData>
    <row r="1" spans="1:27" x14ac:dyDescent="0.2">
      <c r="B1" s="367" t="s">
        <v>48</v>
      </c>
      <c r="C1" s="367"/>
      <c r="D1" s="367"/>
      <c r="E1" s="367"/>
      <c r="F1" s="367"/>
      <c r="G1" s="367"/>
      <c r="H1" s="367"/>
      <c r="I1" s="367"/>
      <c r="J1" s="367"/>
      <c r="L1" s="367" t="s">
        <v>48</v>
      </c>
      <c r="M1" s="367"/>
      <c r="N1" s="367"/>
      <c r="O1" s="367"/>
      <c r="P1" s="367"/>
      <c r="Q1" s="367"/>
      <c r="R1" s="367"/>
      <c r="S1" s="367"/>
      <c r="U1" s="367" t="s">
        <v>48</v>
      </c>
      <c r="V1" s="367"/>
      <c r="W1" s="367"/>
      <c r="X1" s="367"/>
      <c r="Y1" s="367"/>
      <c r="Z1" s="367"/>
      <c r="AA1" s="367"/>
    </row>
    <row r="2" spans="1:27" x14ac:dyDescent="0.2">
      <c r="A2" s="274" t="s">
        <v>57</v>
      </c>
      <c r="B2" s="275" t="s">
        <v>141</v>
      </c>
      <c r="C2" s="275" t="s">
        <v>142</v>
      </c>
      <c r="D2" s="275" t="s">
        <v>143</v>
      </c>
      <c r="E2" s="275" t="s">
        <v>144</v>
      </c>
      <c r="F2" s="275" t="s">
        <v>145</v>
      </c>
      <c r="G2" s="275" t="s">
        <v>146</v>
      </c>
      <c r="H2" s="275" t="s">
        <v>147</v>
      </c>
      <c r="I2" s="275" t="s">
        <v>148</v>
      </c>
      <c r="J2" s="275" t="s">
        <v>149</v>
      </c>
      <c r="K2" s="274" t="s">
        <v>57</v>
      </c>
      <c r="L2" s="275" t="s">
        <v>158</v>
      </c>
      <c r="M2" s="275" t="s">
        <v>159</v>
      </c>
      <c r="N2" s="275" t="s">
        <v>160</v>
      </c>
      <c r="O2" s="275" t="s">
        <v>161</v>
      </c>
      <c r="P2" s="275" t="s">
        <v>162</v>
      </c>
      <c r="Q2" s="275" t="s">
        <v>163</v>
      </c>
      <c r="R2" s="275" t="s">
        <v>164</v>
      </c>
      <c r="S2" s="275" t="s">
        <v>165</v>
      </c>
      <c r="T2" s="274" t="s">
        <v>57</v>
      </c>
      <c r="U2" s="275" t="s">
        <v>169</v>
      </c>
      <c r="V2" s="275" t="s">
        <v>170</v>
      </c>
      <c r="W2" s="275" t="s">
        <v>171</v>
      </c>
      <c r="X2" s="275" t="s">
        <v>172</v>
      </c>
      <c r="Y2" s="275" t="s">
        <v>173</v>
      </c>
      <c r="Z2" s="275" t="s">
        <v>174</v>
      </c>
      <c r="AA2" s="275" t="s">
        <v>175</v>
      </c>
    </row>
    <row r="3" spans="1:27" x14ac:dyDescent="0.2">
      <c r="A3" s="274">
        <v>1</v>
      </c>
      <c r="B3" s="1">
        <f>'1x2'!U7</f>
        <v>8.8550719485284368E-2</v>
      </c>
      <c r="C3" s="1">
        <f>'1x3'!U7</f>
        <v>0.3735662319295775</v>
      </c>
      <c r="D3" s="1">
        <f>'1x4'!U7</f>
        <v>0.69910452506149046</v>
      </c>
      <c r="E3" s="1">
        <f>'1x5'!U7</f>
        <v>1.0481326433028733</v>
      </c>
      <c r="F3" s="1">
        <f>'1x6'!U7</f>
        <v>1.4122238931461972</v>
      </c>
      <c r="G3" s="1">
        <f>'1x7'!U7</f>
        <v>1.7864120993682504</v>
      </c>
      <c r="H3" s="1">
        <f>'1x8'!U7</f>
        <v>2.1674692073715383</v>
      </c>
      <c r="I3" s="1">
        <f>'1x9'!U7</f>
        <v>2.5531918611407871</v>
      </c>
      <c r="J3" s="1">
        <f>'1x10'!U7</f>
        <v>2.9420469065609449</v>
      </c>
      <c r="K3" s="274">
        <v>1</v>
      </c>
      <c r="L3" s="1">
        <f>'2x3'!U7</f>
        <v>-0.78189150743510027</v>
      </c>
      <c r="M3" s="1">
        <f>'2x4'!U7</f>
        <v>-0.72599486891678078</v>
      </c>
      <c r="N3" s="1">
        <f>'2x5'!U7</f>
        <v>-0.64384955541173738</v>
      </c>
      <c r="O3" s="1">
        <f>'2x6'!U7</f>
        <v>-0.55486156768717532</v>
      </c>
      <c r="P3" s="1">
        <f>'2x7'!U7</f>
        <v>-0.46888637054718174</v>
      </c>
      <c r="Q3" s="1">
        <f>'2x8'!U7</f>
        <v>-0.39077277531745391</v>
      </c>
      <c r="R3" s="1">
        <f>'2x9'!U7</f>
        <v>-0.32256403400269473</v>
      </c>
      <c r="S3" s="1">
        <f>'2x10'!U7</f>
        <v>-0.26469591349183386</v>
      </c>
      <c r="T3" s="274">
        <v>1</v>
      </c>
      <c r="U3" s="1">
        <f>'3x4'!U7</f>
        <v>-2.7912533943912736</v>
      </c>
      <c r="V3" s="1">
        <f>'3x5'!U7</f>
        <v>-3.2310393152575481</v>
      </c>
      <c r="W3" s="1">
        <f>'3x6'!U7</f>
        <v>-3.675687754442297</v>
      </c>
      <c r="X3" s="1">
        <f>'3x7'!U7</f>
        <v>-4.1368716463621862</v>
      </c>
      <c r="Y3" s="1">
        <f>'3x8'!U7</f>
        <v>-4.6194441632662091</v>
      </c>
      <c r="Z3" s="1">
        <f>'3x9'!U7</f>
        <v>-5.1244559659732136</v>
      </c>
      <c r="AA3" s="1">
        <f>'3x10'!U7</f>
        <v>-5.6508809219950296</v>
      </c>
    </row>
    <row r="4" spans="1:27" x14ac:dyDescent="0.2">
      <c r="A4">
        <v>2</v>
      </c>
      <c r="B4" s="1">
        <f>'1x2'!U8</f>
        <v>0.42935940618750656</v>
      </c>
      <c r="C4" s="1">
        <f>'1x3'!U8</f>
        <v>2.4070313133674213</v>
      </c>
      <c r="D4" s="1">
        <f>'1x4'!U8</f>
        <v>5.5828584017657237</v>
      </c>
      <c r="E4" s="1">
        <f>'1x5'!U8</f>
        <v>9.9730846596842717</v>
      </c>
      <c r="F4" s="1">
        <f>'1x6'!U8</f>
        <v>15.60022756509299</v>
      </c>
      <c r="G4" s="1">
        <f>'1x7'!U8</f>
        <v>22.483727386309575</v>
      </c>
      <c r="H4" s="1">
        <f>'1x8'!U8</f>
        <v>30.637547906855588</v>
      </c>
      <c r="I4" s="1">
        <f>'1x9'!U8</f>
        <v>40.07039245427827</v>
      </c>
      <c r="J4" s="1">
        <f>'1x10'!U8</f>
        <v>50.786776736416925</v>
      </c>
      <c r="K4">
        <v>2</v>
      </c>
      <c r="L4" s="1">
        <f>'2x3'!U8</f>
        <v>-5.7198360245537785</v>
      </c>
      <c r="M4" s="1">
        <f>'2x4'!U8</f>
        <v>-6.7450808860090259</v>
      </c>
      <c r="N4" s="1">
        <f>'2x5'!U8</f>
        <v>-7.2354814230235682</v>
      </c>
      <c r="O4" s="1">
        <f>'2x6'!U8</f>
        <v>-7.309833952555997</v>
      </c>
      <c r="P4" s="1">
        <f>'2x7'!U8</f>
        <v>-7.0844670587980261</v>
      </c>
      <c r="Q4" s="1">
        <f>'2x8'!U8</f>
        <v>-6.6616576431762367</v>
      </c>
      <c r="R4" s="1">
        <f>'2x9'!U8</f>
        <v>-6.1257841314431536</v>
      </c>
      <c r="S4" s="1">
        <f>'2x10'!U8</f>
        <v>-5.5427872624287309</v>
      </c>
      <c r="T4">
        <v>2</v>
      </c>
      <c r="U4" s="1">
        <f>'3x4'!U8</f>
        <v>-26.817078127062754</v>
      </c>
      <c r="V4" s="1">
        <f>'3x5'!U8</f>
        <v>-37.916491825751777</v>
      </c>
      <c r="W4" s="1">
        <f>'3x6'!U8</f>
        <v>-50.922050194874132</v>
      </c>
      <c r="X4" s="1">
        <f>'3x7'!U8</f>
        <v>-66.059389941514965</v>
      </c>
      <c r="Y4" s="1">
        <f>'3x8'!U8</f>
        <v>-83.529274366201051</v>
      </c>
      <c r="Z4" s="1">
        <f>'3x9'!U8</f>
        <v>-103.49528494406357</v>
      </c>
      <c r="AA4" s="1">
        <f>'3x10'!U8</f>
        <v>-126.08203701558193</v>
      </c>
    </row>
    <row r="5" spans="1:27" x14ac:dyDescent="0.2">
      <c r="A5">
        <v>3</v>
      </c>
      <c r="B5" s="1">
        <f>'1x2'!U9</f>
        <v>1.4121674630690029</v>
      </c>
      <c r="C5" s="1">
        <f>'1x3'!U9</f>
        <v>10.684725578250754</v>
      </c>
      <c r="D5" s="1">
        <f>'1x4'!U9</f>
        <v>31.102587955746611</v>
      </c>
      <c r="E5" s="1">
        <f>'1x5'!U9</f>
        <v>66.888098320941396</v>
      </c>
      <c r="F5" s="1">
        <f>'1x6'!U9</f>
        <v>122.49418525120679</v>
      </c>
      <c r="G5" s="1">
        <f>'1x7'!U9</f>
        <v>202.5259789346953</v>
      </c>
      <c r="H5" s="1">
        <f>'1x8'!U9</f>
        <v>311.67587477729876</v>
      </c>
      <c r="I5" s="1">
        <f>'1x9'!U9</f>
        <v>454.67666118380748</v>
      </c>
      <c r="J5" s="1">
        <f>'1x10'!U9</f>
        <v>636.27043104416862</v>
      </c>
      <c r="K5">
        <v>3</v>
      </c>
      <c r="L5" s="1">
        <f>'2x3'!U9</f>
        <v>-28.993553583297505</v>
      </c>
      <c r="M5" s="1">
        <f>'2x4'!U9</f>
        <v>-44.100237810578129</v>
      </c>
      <c r="N5" s="1">
        <f>'2x5'!U9</f>
        <v>-57.812099230180706</v>
      </c>
      <c r="O5" s="1">
        <f>'2x6'!U9</f>
        <v>-68.971875647188014</v>
      </c>
      <c r="P5" s="1">
        <f>'2x7'!U9</f>
        <v>-77.084953844997671</v>
      </c>
      <c r="Q5" s="1">
        <f>'2x8'!U9</f>
        <v>-82.134497785356317</v>
      </c>
      <c r="R5" s="1">
        <f>'2x9'!U9</f>
        <v>-84.429666620502488</v>
      </c>
      <c r="S5" s="1">
        <f>'2x10'!U9</f>
        <v>-84.476778698426045</v>
      </c>
      <c r="T5">
        <v>3</v>
      </c>
      <c r="U5" s="1">
        <f>'3x4'!U9</f>
        <v>-179.27684656403062</v>
      </c>
      <c r="V5" s="1">
        <f>'3x5'!U9</f>
        <v>-313.16592513545686</v>
      </c>
      <c r="W5" s="1">
        <f>'3x6'!U9</f>
        <v>-500.67829823118711</v>
      </c>
      <c r="X5" s="1">
        <f>'3x7'!U9</f>
        <v>-753.37129978445682</v>
      </c>
      <c r="Y5" s="1">
        <f>'3x8'!U9</f>
        <v>-1083.9412487182065</v>
      </c>
      <c r="Z5" s="1">
        <f>'3x9'!U9</f>
        <v>-1505.8342974862501</v>
      </c>
      <c r="AA5" s="1">
        <f>'3x10'!U9</f>
        <v>-2032.9142076220378</v>
      </c>
    </row>
    <row r="6" spans="1:27" x14ac:dyDescent="0.2">
      <c r="A6">
        <v>4</v>
      </c>
      <c r="B6" s="1">
        <f>'1x2'!U10</f>
        <v>3.9292509606000623</v>
      </c>
      <c r="C6" s="1">
        <f>'1x3'!U10</f>
        <v>40.594128007873358</v>
      </c>
      <c r="D6" s="1">
        <f>'1x4'!U10</f>
        <v>149.71847998438395</v>
      </c>
      <c r="E6" s="1">
        <f>'1x5'!U10</f>
        <v>390.60981423998044</v>
      </c>
      <c r="F6" s="1">
        <f>'1x6'!U10</f>
        <v>842.53447940787851</v>
      </c>
      <c r="G6" s="1">
        <f>'1x7'!U10</f>
        <v>1605.4574974494758</v>
      </c>
      <c r="H6" s="1">
        <f>'1x8'!U10</f>
        <v>2800.3658706782348</v>
      </c>
      <c r="I6" s="1">
        <f>'1x9'!U10</f>
        <v>4569.3220713612909</v>
      </c>
      <c r="J6" s="1">
        <f>'1x10'!U10</f>
        <v>7075.3556304241429</v>
      </c>
      <c r="K6">
        <v>4</v>
      </c>
      <c r="L6" s="1">
        <f>'2x3'!U10</f>
        <v>-126.03062367281436</v>
      </c>
      <c r="M6" s="1">
        <f>'2x4'!U10</f>
        <v>-249.76975989257059</v>
      </c>
      <c r="N6" s="1">
        <f>'2x5'!U10</f>
        <v>-402.50725202572937</v>
      </c>
      <c r="O6" s="1">
        <f>'2x6'!U10</f>
        <v>-569.18156723438324</v>
      </c>
      <c r="P6" s="1">
        <f>'2x7'!U10</f>
        <v>-735.42881715814042</v>
      </c>
      <c r="Q6" s="1">
        <f>'2x8'!U10</f>
        <v>-889.54816074724783</v>
      </c>
      <c r="R6" s="1">
        <f>'2x9'!U10</f>
        <v>-1023.6011924573847</v>
      </c>
      <c r="S6" s="1">
        <f>'2x10'!U10</f>
        <v>-1133.7653807261988</v>
      </c>
      <c r="T6">
        <v>4</v>
      </c>
      <c r="U6" s="1">
        <f>'3x4'!U10</f>
        <v>-1027.4026276760885</v>
      </c>
      <c r="V6" s="1">
        <f>'3x5'!U10</f>
        <v>-2231.0473554644827</v>
      </c>
      <c r="W6" s="1">
        <f>'3x6'!U10</f>
        <v>-4264.5679081534336</v>
      </c>
      <c r="X6" s="1">
        <f>'3x7'!U10</f>
        <v>-7466.1501757121041</v>
      </c>
      <c r="Y6" s="1">
        <f>'3x8'!U10</f>
        <v>-12251.336091501464</v>
      </c>
      <c r="Z6" s="1">
        <f>'3x9'!U10</f>
        <v>-19116.108751895852</v>
      </c>
      <c r="AA6" s="1">
        <f>'3x10'!U10</f>
        <v>-28637.456887881133</v>
      </c>
    </row>
    <row r="7" spans="1:27" x14ac:dyDescent="0.2">
      <c r="A7">
        <v>5</v>
      </c>
      <c r="B7" s="1">
        <f>'1x2'!U11</f>
        <v>9.9683132671369954</v>
      </c>
      <c r="C7" s="1">
        <f>'1x3'!U11</f>
        <v>141.90848611539624</v>
      </c>
      <c r="D7" s="1">
        <f>'1x4'!U11</f>
        <v>668.41193340540519</v>
      </c>
      <c r="E7" s="1">
        <f>'1x5'!U11</f>
        <v>2129.1008156248399</v>
      </c>
      <c r="F7" s="1">
        <f>'1x6'!U11</f>
        <v>5435.087962257172</v>
      </c>
      <c r="G7" s="1">
        <f>'1x7'!U11</f>
        <v>11978.599796475646</v>
      </c>
      <c r="H7" s="1">
        <f>'1x8'!U11</f>
        <v>23743.991725151031</v>
      </c>
      <c r="I7" s="1">
        <f>'1x9'!U11</f>
        <v>43418.407327907669</v>
      </c>
      <c r="J7" s="1">
        <f>'1x10'!U11</f>
        <v>74501.089517671702</v>
      </c>
      <c r="K7">
        <v>5</v>
      </c>
      <c r="L7" s="1">
        <f>'2x3'!U11</f>
        <v>-503.58863168868129</v>
      </c>
      <c r="M7" s="1">
        <f>'2x4'!U11</f>
        <v>-1309.2996479465278</v>
      </c>
      <c r="N7" s="1">
        <f>'2x5'!U11</f>
        <v>-2603.2468095608078</v>
      </c>
      <c r="O7" s="1">
        <f>'2x6'!U11</f>
        <v>-4372.3754085329201</v>
      </c>
      <c r="P7" s="1">
        <f>'2x7'!U11</f>
        <v>-6539.6864362195456</v>
      </c>
      <c r="Q7" s="1">
        <f>'2x8'!U11</f>
        <v>-8987.3810736533796</v>
      </c>
      <c r="R7" s="1">
        <f>'2x9'!U11</f>
        <v>-11583.936413861391</v>
      </c>
      <c r="S7" s="1">
        <f>'2x10'!U11</f>
        <v>-14210.32186010457</v>
      </c>
      <c r="T7">
        <v>5</v>
      </c>
      <c r="U7" s="1">
        <f>'3x4'!U11</f>
        <v>-5404.0719364228617</v>
      </c>
      <c r="V7" s="1">
        <f>'3x5'!U11</f>
        <v>-14636.040694842855</v>
      </c>
      <c r="W7" s="1">
        <f>'3x6'!U11</f>
        <v>-33524.24817271049</v>
      </c>
      <c r="X7" s="1">
        <f>'3x7'!U11</f>
        <v>-68400.913530506296</v>
      </c>
      <c r="Y7" s="1">
        <f>'3x8'!U11</f>
        <v>-128162.27929120224</v>
      </c>
      <c r="Z7" s="1">
        <f>'3x9'!U11</f>
        <v>-224807.73178675777</v>
      </c>
      <c r="AA7" s="1">
        <f>'3x10'!U11</f>
        <v>-373969.87439431937</v>
      </c>
    </row>
    <row r="8" spans="1:27" x14ac:dyDescent="0.2">
      <c r="A8">
        <v>6</v>
      </c>
      <c r="B8" s="1">
        <f>'1x2'!U12</f>
        <v>23.86896070508303</v>
      </c>
      <c r="C8" s="1">
        <f>'1x3'!U12</f>
        <v>471.78668919176403</v>
      </c>
      <c r="D8" s="1">
        <f>'1x4'!U12</f>
        <v>2858.2105022978662</v>
      </c>
      <c r="E8" s="1">
        <f>'1x5'!U12</f>
        <v>11176.91930971828</v>
      </c>
      <c r="F8" s="1">
        <f>'1x6'!U12</f>
        <v>33900.444589639759</v>
      </c>
      <c r="G8" s="1">
        <f>'1x7'!U12</f>
        <v>86654.822299382329</v>
      </c>
      <c r="H8" s="1">
        <f>'1x8'!U12</f>
        <v>195578.05472428302</v>
      </c>
      <c r="I8" s="1">
        <f>'1x9'!U12</f>
        <v>401356.80641015159</v>
      </c>
      <c r="J8" s="1">
        <f>'1x10'!U12</f>
        <v>763928.47083671624</v>
      </c>
      <c r="K8">
        <v>6</v>
      </c>
      <c r="L8" s="1">
        <f>'2x3'!U12</f>
        <v>-1907.8215783177034</v>
      </c>
      <c r="M8" s="1">
        <f>'2x4'!U12</f>
        <v>-6539.167752035888</v>
      </c>
      <c r="N8" s="1">
        <f>'2x5'!U12</f>
        <v>-16081.932137102778</v>
      </c>
      <c r="O8" s="1">
        <f>'2x6'!U12</f>
        <v>-32125.099633339014</v>
      </c>
      <c r="P8" s="1">
        <f>'2x7'!U12</f>
        <v>-55662.40723667515</v>
      </c>
      <c r="Q8" s="1">
        <f>'2x8'!U12</f>
        <v>-86954.015035141405</v>
      </c>
      <c r="R8" s="1">
        <f>'2x9'!U12</f>
        <v>-125577.8371417006</v>
      </c>
      <c r="S8" s="1">
        <f>'2x10'!U12</f>
        <v>-170654.48205340863</v>
      </c>
      <c r="T8">
        <v>6</v>
      </c>
      <c r="U8" s="1">
        <f>'3x4'!U12</f>
        <v>-26917.608781026644</v>
      </c>
      <c r="V8" s="1">
        <f>'3x5'!U12</f>
        <v>-91073.807353791053</v>
      </c>
      <c r="W8" s="1">
        <f>'3x6'!U12</f>
        <v>-250272.47256551008</v>
      </c>
      <c r="X8" s="1">
        <f>'3x7'!U12</f>
        <v>-595633.20604321256</v>
      </c>
      <c r="Y8" s="1">
        <f>'3x8'!U12</f>
        <v>-1275192.6029208847</v>
      </c>
      <c r="Z8" s="1">
        <f>'3x9'!U12</f>
        <v>-2515819.7768357689</v>
      </c>
      <c r="AA8" s="1">
        <f>'3x10'!U12</f>
        <v>-4649027.8032740932</v>
      </c>
    </row>
    <row r="9" spans="1:27" x14ac:dyDescent="0.2">
      <c r="A9">
        <v>7</v>
      </c>
      <c r="B9" s="1">
        <f>'1x2'!U13</f>
        <v>54.960395310930437</v>
      </c>
      <c r="C9" s="1">
        <f>'1x3'!U13</f>
        <v>1518.4700058547744</v>
      </c>
      <c r="D9" s="1">
        <f>'1x4'!U13</f>
        <v>11909.522685501061</v>
      </c>
      <c r="E9" s="1">
        <f>'1x5'!U13</f>
        <v>57441.799982402561</v>
      </c>
      <c r="F9" s="1">
        <f>'1x6'!U13</f>
        <v>207650.00197108919</v>
      </c>
      <c r="G9" s="1">
        <f>'1x7'!U13</f>
        <v>616880.76628437836</v>
      </c>
      <c r="H9" s="1">
        <f>'1x8'!U13</f>
        <v>1587496.6032366033</v>
      </c>
      <c r="I9" s="1">
        <f>'1x9'!U13</f>
        <v>3659581.8832118316</v>
      </c>
      <c r="J9" s="1">
        <f>'1x10'!U13</f>
        <v>7731819.3860114962</v>
      </c>
      <c r="K9">
        <v>7</v>
      </c>
      <c r="L9" s="1">
        <f>'2x3'!U13</f>
        <v>-6965.5707327855107</v>
      </c>
      <c r="M9" s="1">
        <f>'2x4'!U13</f>
        <v>-31589.626596276612</v>
      </c>
      <c r="N9" s="1">
        <f>'2x5'!U13</f>
        <v>-96280.221041431607</v>
      </c>
      <c r="O9" s="1">
        <f>'2x6'!U13</f>
        <v>-228966.65126128416</v>
      </c>
      <c r="P9" s="1">
        <f>'2x7'!U13</f>
        <v>-459823.0773481041</v>
      </c>
      <c r="Q9" s="1">
        <f>'2x8'!U13</f>
        <v>-816764.85288700101</v>
      </c>
      <c r="R9" s="1">
        <f>'2x9'!U13</f>
        <v>-1321907.7423882377</v>
      </c>
      <c r="S9" s="1">
        <f>'2x10'!U13</f>
        <v>-1990301.5955877325</v>
      </c>
      <c r="T9">
        <v>7</v>
      </c>
      <c r="U9" s="1">
        <f>'3x4'!U13</f>
        <v>-129150.48523527227</v>
      </c>
      <c r="V9" s="1">
        <f>'3x5'!U13</f>
        <v>-546323.87815186719</v>
      </c>
      <c r="W9" s="1">
        <f>'3x6'!U13</f>
        <v>-1802221.5768886311</v>
      </c>
      <c r="X9" s="1">
        <f>'3x7'!U13</f>
        <v>-5005365.1801047651</v>
      </c>
      <c r="Y9" s="1">
        <f>'3x8'!U13</f>
        <v>-12248624.513099158</v>
      </c>
      <c r="Z9" s="1">
        <f>'3x9'!U13</f>
        <v>-27187295.783271436</v>
      </c>
      <c r="AA9" s="1">
        <f>'3x10'!U13</f>
        <v>-55821506.265364811</v>
      </c>
    </row>
    <row r="10" spans="1:27" x14ac:dyDescent="0.2">
      <c r="A10">
        <v>8</v>
      </c>
      <c r="B10" s="1">
        <f>'1x2'!U14</f>
        <v>123.05604150613158</v>
      </c>
      <c r="C10" s="1">
        <f>'1x3'!U14</f>
        <v>4782.0743348142987</v>
      </c>
      <c r="D10" s="1">
        <f>'1x4'!U14</f>
        <v>48842.042932974509</v>
      </c>
      <c r="E10" s="1">
        <f>'1x5'!U14</f>
        <v>291664.24849290244</v>
      </c>
      <c r="F10" s="1">
        <f>'1x6'!U14</f>
        <v>1259547.3223036486</v>
      </c>
      <c r="G10" s="1">
        <f>'1x7'!U14</f>
        <v>4355051.1143204635</v>
      </c>
      <c r="H10" s="1">
        <f>'1x8'!U14</f>
        <v>12790696.71568189</v>
      </c>
      <c r="I10" s="1">
        <f>'1x9'!U14</f>
        <v>33142976.88182649</v>
      </c>
      <c r="J10" s="1">
        <f>'1x10'!U14</f>
        <v>77759900.999048337</v>
      </c>
      <c r="K10">
        <v>8</v>
      </c>
      <c r="L10" s="1">
        <f>'2x3'!U14</f>
        <v>-24747.858162761695</v>
      </c>
      <c r="M10" s="1">
        <f>'2x4'!U14</f>
        <v>-148915.46992004002</v>
      </c>
      <c r="N10" s="1">
        <f>'2x5'!U14</f>
        <v>-563371.15935656033</v>
      </c>
      <c r="O10" s="1">
        <f>'2x6'!U14</f>
        <v>-1596256.6801464998</v>
      </c>
      <c r="P10" s="1">
        <f>'2x7'!U14</f>
        <v>-3716997.1036175401</v>
      </c>
      <c r="Q10" s="1">
        <f>'2x8'!U14</f>
        <v>-7508719.3544728272</v>
      </c>
      <c r="R10" s="1">
        <f>'2x9'!U14</f>
        <v>-13620781.704985429</v>
      </c>
      <c r="S10" s="1">
        <f>'2x10'!U14</f>
        <v>-22723030.913530651</v>
      </c>
      <c r="T10">
        <v>8</v>
      </c>
      <c r="U10" s="1">
        <f>'3x4'!U14</f>
        <v>-603111.13309487491</v>
      </c>
      <c r="V10" s="1">
        <f>'3x5'!U14</f>
        <v>-3190745.3382729921</v>
      </c>
      <c r="W10" s="1">
        <f>'3x6'!U14</f>
        <v>-12638590.13676377</v>
      </c>
      <c r="X10" s="1">
        <f>'3x7'!U14</f>
        <v>-40971460.330377862</v>
      </c>
      <c r="Y10" s="1">
        <f>'3x8'!U14</f>
        <v>-114621605.55626735</v>
      </c>
      <c r="Z10" s="1">
        <f>'3x9'!U14</f>
        <v>-286276182.52508312</v>
      </c>
      <c r="AA10" s="1">
        <f>'3x10'!U14</f>
        <v>-653170643.06551015</v>
      </c>
    </row>
    <row r="11" spans="1:27" x14ac:dyDescent="0.2">
      <c r="A11">
        <v>9</v>
      </c>
      <c r="B11" s="1">
        <f>'1x2'!U15</f>
        <v>269.82667045501012</v>
      </c>
      <c r="C11" s="1">
        <f>'1x3'!U15</f>
        <v>14836.843664897608</v>
      </c>
      <c r="D11" s="1">
        <f>'1x4'!U15</f>
        <v>198353.06424182811</v>
      </c>
      <c r="E11" s="1">
        <f>'1x5'!U15</f>
        <v>1470822.7273735199</v>
      </c>
      <c r="F11" s="1">
        <f>'1x6'!U15</f>
        <v>7600284.3617242295</v>
      </c>
      <c r="G11" s="1">
        <f>'1x7'!U15</f>
        <v>30614935.47461424</v>
      </c>
      <c r="H11" s="1">
        <f>'1x8'!U15</f>
        <v>102678526.68508072</v>
      </c>
      <c r="I11" s="1">
        <f>'1x9'!U15</f>
        <v>299171868.83128309</v>
      </c>
      <c r="J11" s="1">
        <f>'1x10'!U15</f>
        <v>779667541.58734202</v>
      </c>
      <c r="K11">
        <v>9</v>
      </c>
      <c r="L11" s="1">
        <f>'2x3'!U15</f>
        <v>-86098.141438188119</v>
      </c>
      <c r="M11" s="1">
        <f>'2x4'!U15</f>
        <v>-688888.33320100408</v>
      </c>
      <c r="N11" s="1">
        <f>'2x5'!U15</f>
        <v>-3239295.7352497</v>
      </c>
      <c r="O11" s="1">
        <f>'2x6'!U15</f>
        <v>-10942819.568796411</v>
      </c>
      <c r="P11" s="1">
        <f>'2x7'!U15</f>
        <v>-29554964.839323334</v>
      </c>
      <c r="Q11" s="1">
        <f>'2x8'!U15</f>
        <v>-67910841.931439593</v>
      </c>
      <c r="R11" s="1">
        <f>'2x9'!U15</f>
        <v>-138083765.56909305</v>
      </c>
      <c r="S11" s="1">
        <f>'2x10'!U15</f>
        <v>-255255021.4263671</v>
      </c>
      <c r="T11">
        <v>9</v>
      </c>
      <c r="U11" s="1">
        <f>'3x4'!U15</f>
        <v>-2759704.7648289176</v>
      </c>
      <c r="V11" s="1">
        <f>'3x5'!U15</f>
        <v>-18261710.255075719</v>
      </c>
      <c r="W11" s="1">
        <f>'3x6'!U15</f>
        <v>-86861891.805218816</v>
      </c>
      <c r="X11" s="1">
        <f>'3x7'!U15</f>
        <v>-328701018.25762385</v>
      </c>
      <c r="Y11" s="1">
        <f>'3x8'!U15</f>
        <v>-1051363128.7688334</v>
      </c>
      <c r="Z11" s="1">
        <f>'3x9'!U15</f>
        <v>-2954894235.5599427</v>
      </c>
      <c r="AA11" s="1">
        <f>'3x10'!U15</f>
        <v>-7492313724.7560654</v>
      </c>
    </row>
    <row r="12" spans="1:27" x14ac:dyDescent="0.2">
      <c r="A12">
        <v>10</v>
      </c>
      <c r="B12" s="1">
        <f>'1x2'!U16</f>
        <v>582.21636633623552</v>
      </c>
      <c r="C12" s="1">
        <f>'1x3'!U16</f>
        <v>45558.350872804418</v>
      </c>
      <c r="D12" s="1">
        <f>'1x4'!U16</f>
        <v>800698.66036714078</v>
      </c>
      <c r="E12" s="1">
        <f>'1x5'!U16</f>
        <v>7388640.7989524864</v>
      </c>
      <c r="F12" s="1">
        <f>'1x6'!U16</f>
        <v>45735071.137790188</v>
      </c>
      <c r="G12" s="1">
        <f>'1x7'!U16</f>
        <v>214752694.78307319</v>
      </c>
      <c r="H12" s="1">
        <f>'1x8'!U16</f>
        <v>822780306.09187782</v>
      </c>
      <c r="I12" s="1">
        <f>'1x9'!U16</f>
        <v>2696278455.9707627</v>
      </c>
      <c r="J12" s="1">
        <f>'1x10'!U16</f>
        <v>7806216734.354475</v>
      </c>
      <c r="K12">
        <v>10</v>
      </c>
      <c r="L12" s="1">
        <f>'2x3'!U16</f>
        <v>-294572.73973481648</v>
      </c>
      <c r="M12" s="1">
        <f>'2x4'!U16</f>
        <v>-3139254.658737978</v>
      </c>
      <c r="N12" s="1">
        <f>'2x5'!U16</f>
        <v>-18368984.346977048</v>
      </c>
      <c r="O12" s="1">
        <f>'2x6'!U16</f>
        <v>-74029041.624437109</v>
      </c>
      <c r="P12" s="1">
        <f>'2x7'!U16</f>
        <v>-231973557.61371022</v>
      </c>
      <c r="Q12" s="1">
        <f>'2x8'!U16</f>
        <v>-606369479.19435906</v>
      </c>
      <c r="R12" s="1">
        <f>'2x9'!U16</f>
        <v>-1382082460.1093686</v>
      </c>
      <c r="S12" s="1">
        <f>'2x10'!U16</f>
        <v>-2831044002.5501008</v>
      </c>
      <c r="T12">
        <v>10</v>
      </c>
      <c r="U12" s="1">
        <f>'3x4'!U16</f>
        <v>-12430336.977322426</v>
      </c>
      <c r="V12" s="1">
        <f>'3x5'!U16</f>
        <v>-102882684.60384418</v>
      </c>
      <c r="W12" s="1">
        <f>'3x6'!U16</f>
        <v>-587632241.32789993</v>
      </c>
      <c r="X12" s="1">
        <f>'3x7'!U16</f>
        <v>-2595779555.1348262</v>
      </c>
      <c r="Y12" s="1">
        <f>'3x8'!U16</f>
        <v>-9492776992.537117</v>
      </c>
      <c r="Z12" s="1">
        <f>'3x9'!U16</f>
        <v>-30023606735.8223</v>
      </c>
      <c r="AA12" s="1">
        <f>'3x10'!U16</f>
        <v>-84601908329.521667</v>
      </c>
    </row>
    <row r="13" spans="1:27" x14ac:dyDescent="0.2">
      <c r="B13" s="367" t="s">
        <v>49</v>
      </c>
      <c r="C13" s="367"/>
      <c r="D13" s="367"/>
      <c r="E13" s="367"/>
      <c r="F13" s="367"/>
      <c r="G13" s="367"/>
      <c r="H13" s="367"/>
      <c r="I13" s="367"/>
      <c r="J13" s="367"/>
      <c r="L13" s="367" t="s">
        <v>49</v>
      </c>
      <c r="M13" s="367"/>
      <c r="N13" s="367"/>
      <c r="O13" s="367"/>
      <c r="P13" s="367"/>
      <c r="Q13" s="367"/>
      <c r="R13" s="367"/>
      <c r="S13" s="367"/>
      <c r="U13" s="367" t="s">
        <v>49</v>
      </c>
      <c r="V13" s="367"/>
      <c r="W13" s="367"/>
      <c r="X13" s="367"/>
      <c r="Y13" s="367"/>
      <c r="Z13" s="367"/>
      <c r="AA13" s="367"/>
    </row>
    <row r="14" spans="1:27" x14ac:dyDescent="0.2">
      <c r="A14" s="274" t="s">
        <v>57</v>
      </c>
      <c r="B14" s="275" t="s">
        <v>141</v>
      </c>
      <c r="C14" s="275" t="s">
        <v>142</v>
      </c>
      <c r="D14" s="275" t="s">
        <v>143</v>
      </c>
      <c r="E14" s="275" t="s">
        <v>144</v>
      </c>
      <c r="F14" s="275" t="s">
        <v>145</v>
      </c>
      <c r="G14" s="275" t="s">
        <v>146</v>
      </c>
      <c r="H14" s="275" t="s">
        <v>147</v>
      </c>
      <c r="I14" s="275" t="s">
        <v>148</v>
      </c>
      <c r="J14" s="275" t="s">
        <v>149</v>
      </c>
      <c r="K14" s="274" t="s">
        <v>57</v>
      </c>
      <c r="L14" s="275" t="s">
        <v>158</v>
      </c>
      <c r="M14" s="275" t="s">
        <v>159</v>
      </c>
      <c r="N14" s="275" t="s">
        <v>160</v>
      </c>
      <c r="O14" s="275" t="s">
        <v>161</v>
      </c>
      <c r="P14" s="275" t="s">
        <v>162</v>
      </c>
      <c r="Q14" s="275" t="s">
        <v>163</v>
      </c>
      <c r="R14" s="275" t="s">
        <v>164</v>
      </c>
      <c r="S14" s="275" t="s">
        <v>165</v>
      </c>
      <c r="T14" s="274" t="s">
        <v>57</v>
      </c>
      <c r="U14" s="275" t="s">
        <v>169</v>
      </c>
      <c r="V14" s="275" t="s">
        <v>170</v>
      </c>
      <c r="W14" s="275" t="s">
        <v>171</v>
      </c>
      <c r="X14" s="275" t="s">
        <v>172</v>
      </c>
      <c r="Y14" s="275" t="s">
        <v>173</v>
      </c>
      <c r="Z14" s="275" t="s">
        <v>174</v>
      </c>
      <c r="AA14" s="275" t="s">
        <v>175</v>
      </c>
    </row>
    <row r="15" spans="1:27" x14ac:dyDescent="0.2">
      <c r="A15" s="274">
        <v>1</v>
      </c>
      <c r="B15" s="1">
        <f>'1x2'!R7</f>
        <v>0.10319797996906244</v>
      </c>
      <c r="C15" s="1">
        <f>'1x3'!R7</f>
        <v>0.23022196212840235</v>
      </c>
      <c r="D15" s="1">
        <f>'1x4'!R7</f>
        <v>0.30115588817456668</v>
      </c>
      <c r="E15" s="1">
        <f>'1x5'!R7</f>
        <v>0.34444532557734919</v>
      </c>
      <c r="F15" s="1">
        <f>'1x6'!R7</f>
        <v>0.37230861223628287</v>
      </c>
      <c r="G15" s="1">
        <f>'1x7'!R7</f>
        <v>0.39086201815543437</v>
      </c>
      <c r="H15" s="1">
        <f>'1x8'!R7</f>
        <v>0.40349700080092782</v>
      </c>
      <c r="I15" s="1">
        <f>'1x9'!R7</f>
        <v>0.41223371605271664</v>
      </c>
      <c r="J15" s="1">
        <f>'1x10'!R7</f>
        <v>0.41833877977736161</v>
      </c>
      <c r="K15" s="274">
        <v>1</v>
      </c>
      <c r="L15" s="1">
        <f>'2x3'!R7</f>
        <v>-0.19964472510748005</v>
      </c>
      <c r="M15" s="1">
        <f>'2x4'!R7</f>
        <v>-0.12533352414812982</v>
      </c>
      <c r="N15" s="1">
        <f>'2x5'!R7</f>
        <v>-7.7503050514695249E-2</v>
      </c>
      <c r="O15" s="1">
        <f>'2x6'!R7</f>
        <v>-4.5654037026480077E-2</v>
      </c>
      <c r="P15" s="1">
        <f>'2x7'!R7</f>
        <v>-2.3964664495461085E-2</v>
      </c>
      <c r="Q15" s="1">
        <f>'2x8'!R7</f>
        <v>-8.9671075450314941E-3</v>
      </c>
      <c r="R15" s="1">
        <f>'2x9'!R7</f>
        <v>1.5129227933297074E-3</v>
      </c>
      <c r="S15" s="1">
        <f>'2x10'!R7</f>
        <v>8.8901281862445725E-3</v>
      </c>
      <c r="T15" s="274">
        <v>1</v>
      </c>
      <c r="U15" s="1">
        <f>'3x4'!R7</f>
        <v>-0.39984383117705985</v>
      </c>
      <c r="V15" s="1">
        <f>'3x5'!R7</f>
        <v>-0.35846701554831867</v>
      </c>
      <c r="W15" s="1">
        <f>'3x6'!R7</f>
        <v>-0.3302891516200957</v>
      </c>
      <c r="X15" s="1">
        <f>'3x7'!R7</f>
        <v>-0.31080499557083258</v>
      </c>
      <c r="Y15" s="1">
        <f>'3x8'!R7</f>
        <v>-0.29718980829809533</v>
      </c>
      <c r="Z15" s="1">
        <f>'3x9'!R7</f>
        <v>-0.28760567259131908</v>
      </c>
      <c r="AA15" s="1">
        <f>'3x10'!R7</f>
        <v>-0.28082420804419922</v>
      </c>
    </row>
    <row r="16" spans="1:27" x14ac:dyDescent="0.2">
      <c r="A16">
        <v>2</v>
      </c>
      <c r="B16" s="1">
        <f>'1x2'!R8</f>
        <v>0.46572739415337044</v>
      </c>
      <c r="C16" s="1">
        <f>'1x3'!R8</f>
        <v>0.61181931874426798</v>
      </c>
      <c r="D16" s="1">
        <f>'1x4'!R8</f>
        <v>0.68396550721688909</v>
      </c>
      <c r="E16" s="1">
        <f>'1x5'!R8</f>
        <v>0.72439808678634787</v>
      </c>
      <c r="F16" s="1">
        <f>'1x6'!R8</f>
        <v>0.74893598538226158</v>
      </c>
      <c r="G16" s="1">
        <f>'1x7'!R8</f>
        <v>0.76462049939647958</v>
      </c>
      <c r="H16" s="1">
        <f>'1x8'!R8</f>
        <v>0.7750001756556687</v>
      </c>
      <c r="I16" s="1">
        <f>'1x9'!R8</f>
        <v>0.78203399995387746</v>
      </c>
      <c r="J16" s="1">
        <f>'1x10'!R8</f>
        <v>0.78687937415645604</v>
      </c>
      <c r="K16">
        <v>2</v>
      </c>
      <c r="L16" s="1">
        <f>'2x3'!R8</f>
        <v>5.3148233385400256E-2</v>
      </c>
      <c r="M16" s="1">
        <f>'2x4'!R8</f>
        <v>0.16014724644943829</v>
      </c>
      <c r="N16" s="1">
        <f>'2x5'!R8</f>
        <v>0.22753810558884441</v>
      </c>
      <c r="O16" s="1">
        <f>'2x6'!R8</f>
        <v>0.2715778378425856</v>
      </c>
      <c r="P16" s="1">
        <f>'2x7'!R8</f>
        <v>0.30113136519387018</v>
      </c>
      <c r="Q16" s="1">
        <f>'2x8'!R8</f>
        <v>0.32134177400858271</v>
      </c>
      <c r="R16" s="1">
        <f>'2x9'!R8</f>
        <v>0.33534954488150076</v>
      </c>
      <c r="S16" s="1">
        <f>'2x10'!R8</f>
        <v>0.34515139984640142</v>
      </c>
      <c r="T16">
        <v>2</v>
      </c>
      <c r="U16" s="1">
        <f>'3x4'!R8</f>
        <v>-0.24027861626628133</v>
      </c>
      <c r="V16" s="1">
        <f>'3x5'!R8</f>
        <v>-0.17975608594077486</v>
      </c>
      <c r="W16" s="1">
        <f>'3x6'!R8</f>
        <v>-0.13838370788119014</v>
      </c>
      <c r="X16" s="1">
        <f>'3x7'!R8</f>
        <v>-0.10973963557091548</v>
      </c>
      <c r="Y16" s="1">
        <f>'3x8'!R8</f>
        <v>-8.9718958998884712E-2</v>
      </c>
      <c r="Z16" s="1">
        <f>'3x9'!R8</f>
        <v>-7.5627996841614975E-2</v>
      </c>
      <c r="AA16" s="1">
        <f>'3x10'!R8</f>
        <v>-6.5660316219496973E-2</v>
      </c>
    </row>
    <row r="17" spans="1:27" x14ac:dyDescent="0.2">
      <c r="A17">
        <v>3</v>
      </c>
      <c r="B17" s="1">
        <f>'1x2'!R9</f>
        <v>0.64317191147208108</v>
      </c>
      <c r="C17" s="1">
        <f>'1x3'!R9</f>
        <v>0.78341055193537878</v>
      </c>
      <c r="D17" s="1">
        <f>'1x4'!R9</f>
        <v>0.84353843668476636</v>
      </c>
      <c r="E17" s="1">
        <f>'1x5'!R9</f>
        <v>0.87407689830200419</v>
      </c>
      <c r="F17" s="1">
        <f>'1x6'!R9</f>
        <v>0.8913994291370505</v>
      </c>
      <c r="G17" s="1">
        <f>'1x7'!R9</f>
        <v>0.90196679427164039</v>
      </c>
      <c r="H17" s="1">
        <f>'1x8'!R9</f>
        <v>0.90873606191507839</v>
      </c>
      <c r="I17" s="1">
        <f>'1x9'!R9</f>
        <v>0.91321959488546556</v>
      </c>
      <c r="J17" s="1">
        <f>'1x10'!R9</f>
        <v>0.91625868876611938</v>
      </c>
      <c r="K17">
        <v>3</v>
      </c>
      <c r="L17" s="1">
        <f>'2x3'!R9</f>
        <v>0.1698550956906259</v>
      </c>
      <c r="M17" s="1">
        <f>'2x4'!R9</f>
        <v>0.29847251410983566</v>
      </c>
      <c r="N17" s="1">
        <f>'2x5'!R9</f>
        <v>0.37823732634982349</v>
      </c>
      <c r="O17" s="1">
        <f>'2x6'!R9</f>
        <v>0.42953394697895014</v>
      </c>
      <c r="P17" s="1">
        <f>'2x7'!R9</f>
        <v>0.46349278287997575</v>
      </c>
      <c r="Q17" s="1">
        <f>'2x8'!R9</f>
        <v>0.48646965710815515</v>
      </c>
      <c r="R17" s="1">
        <f>'2x9'!R9</f>
        <v>0.50226709179688034</v>
      </c>
      <c r="S17" s="1">
        <f>'2x10'!R9</f>
        <v>0.5132554615759034</v>
      </c>
      <c r="T17">
        <v>3</v>
      </c>
      <c r="U17" s="1">
        <f>'3x4'!R9</f>
        <v>-0.18249019010036643</v>
      </c>
      <c r="V17" s="1">
        <f>'3x5'!R9</f>
        <v>-0.11074987496418687</v>
      </c>
      <c r="W17" s="1">
        <f>'3x6'!R9</f>
        <v>-6.130693357325423E-2</v>
      </c>
      <c r="X17" s="1">
        <f>'3x7'!R9</f>
        <v>-2.691885331917121E-2</v>
      </c>
      <c r="Y17" s="1">
        <f>'3x8'!R9</f>
        <v>-2.8206458139363177E-3</v>
      </c>
      <c r="Z17" s="1">
        <f>'3x9'!R9</f>
        <v>1.416624734926103E-2</v>
      </c>
      <c r="AA17" s="1">
        <f>'3x10'!R9</f>
        <v>2.6193666460495868E-2</v>
      </c>
    </row>
    <row r="18" spans="1:27" x14ac:dyDescent="0.2">
      <c r="A18">
        <v>4</v>
      </c>
      <c r="B18" s="1">
        <f>'1x2'!R10</f>
        <v>0.74667183613445132</v>
      </c>
      <c r="C18" s="1">
        <f>'1x3'!R10</f>
        <v>0.87307572952522516</v>
      </c>
      <c r="D18" s="1">
        <f>'1x4'!R10</f>
        <v>0.91935383975987739</v>
      </c>
      <c r="E18" s="1">
        <f>'1x5'!R10</f>
        <v>0.94042846022944293</v>
      </c>
      <c r="F18" s="1">
        <f>'1x6'!R10</f>
        <v>0.95153014094728505</v>
      </c>
      <c r="G18" s="1">
        <f>'1x7'!R10</f>
        <v>0.95796796441162091</v>
      </c>
      <c r="H18" s="1">
        <f>'1x8'!R10</f>
        <v>0.96194968835013461</v>
      </c>
      <c r="I18" s="1">
        <f>'1x9'!R10</f>
        <v>0.96452299987346923</v>
      </c>
      <c r="J18" s="1">
        <f>'1x10'!R10</f>
        <v>0.96623740283459492</v>
      </c>
      <c r="K18">
        <v>4</v>
      </c>
      <c r="L18" s="1">
        <f>'2x3'!R10</f>
        <v>0.23293308126582651</v>
      </c>
      <c r="M18" s="1">
        <f>'2x4'!R10</f>
        <v>0.37808653411302123</v>
      </c>
      <c r="N18" s="1">
        <f>'2x5'!R10</f>
        <v>0.46722400913822176</v>
      </c>
      <c r="O18" s="1">
        <f>'2x6'!R10</f>
        <v>0.52378281855887199</v>
      </c>
      <c r="P18" s="1">
        <f>'2x7'!R10</f>
        <v>0.56076059555574931</v>
      </c>
      <c r="Q18" s="1">
        <f>'2x8'!R10</f>
        <v>0.58552514560886471</v>
      </c>
      <c r="R18" s="1">
        <f>'2x9'!R10</f>
        <v>0.60241700864706127</v>
      </c>
      <c r="S18" s="1">
        <f>'2x10'!R10</f>
        <v>0.61409664403705244</v>
      </c>
      <c r="T18">
        <v>4</v>
      </c>
      <c r="U18" s="1">
        <f>'3x4'!R10</f>
        <v>-0.15933150301156573</v>
      </c>
      <c r="V18" s="1">
        <f>'3x5'!R10</f>
        <v>-8.0892718831715837E-2</v>
      </c>
      <c r="W18" s="1">
        <f>'3x6'!R10</f>
        <v>-2.6323657011389334E-2</v>
      </c>
      <c r="X18" s="1">
        <f>'3x7'!R10</f>
        <v>1.1855341743548797E-2</v>
      </c>
      <c r="Y18" s="1">
        <f>'3x8'!R10</f>
        <v>3.871156774741541E-2</v>
      </c>
      <c r="Z18" s="1">
        <f>'3x9'!R10</f>
        <v>5.7689179966047277E-2</v>
      </c>
      <c r="AA18" s="1">
        <f>'3x10'!R10</f>
        <v>7.1147969196691419E-2</v>
      </c>
    </row>
    <row r="19" spans="1:27" x14ac:dyDescent="0.2">
      <c r="A19">
        <v>5</v>
      </c>
      <c r="B19" s="1">
        <f>'1x2'!R11</f>
        <v>0.81329144720780766</v>
      </c>
      <c r="C19" s="1">
        <f>'1x3'!R11</f>
        <v>0.92361385090535297</v>
      </c>
      <c r="D19" s="1">
        <f>'1x4'!R11</f>
        <v>0.95760355683818343</v>
      </c>
      <c r="E19" s="1">
        <f>'1x5'!R11</f>
        <v>0.97136860952932558</v>
      </c>
      <c r="F19" s="1">
        <f>'1x6'!R11</f>
        <v>0.97807303791719757</v>
      </c>
      <c r="G19" s="1">
        <f>'1x7'!R11</f>
        <v>0.98175965523160669</v>
      </c>
      <c r="H19" s="1">
        <f>'1x8'!R11</f>
        <v>0.98395787808353219</v>
      </c>
      <c r="I19" s="1">
        <f>'1x9'!R11</f>
        <v>0.98534281744092678</v>
      </c>
      <c r="J19" s="1">
        <f>'1x10'!R11</f>
        <v>0.98624914485083315</v>
      </c>
      <c r="K19">
        <v>5</v>
      </c>
      <c r="L19" s="1">
        <f>'2x3'!R11</f>
        <v>0.26994240872772768</v>
      </c>
      <c r="M19" s="1">
        <f>'2x4'!R11</f>
        <v>0.42849741492166565</v>
      </c>
      <c r="N19" s="1">
        <f>'2x5'!R11</f>
        <v>0.52537980637355175</v>
      </c>
      <c r="O19" s="1">
        <f>'2x6'!R11</f>
        <v>0.5861813333451269</v>
      </c>
      <c r="P19" s="1">
        <f>'2x7'!R11</f>
        <v>0.6254818620840944</v>
      </c>
      <c r="Q19" s="1">
        <f>'2x8'!R11</f>
        <v>0.65154444193295258</v>
      </c>
      <c r="R19" s="1">
        <f>'2x9'!R11</f>
        <v>0.66918311046884016</v>
      </c>
      <c r="S19" s="1">
        <f>'2x10'!R11</f>
        <v>0.68130639190241016</v>
      </c>
      <c r="T19">
        <v>5</v>
      </c>
      <c r="U19" s="1">
        <f>'3x4'!R11</f>
        <v>-0.14967816842119031</v>
      </c>
      <c r="V19" s="1">
        <f>'3x5'!R11</f>
        <v>-6.7343746105097801E-2</v>
      </c>
      <c r="W19" s="1">
        <f>'3x6'!R11</f>
        <v>-9.5704711797064412E-3</v>
      </c>
      <c r="X19" s="1">
        <f>'3x7'!R11</f>
        <v>3.1090419523758905E-2</v>
      </c>
      <c r="Y19" s="1">
        <f>'3x8'!R11</f>
        <v>5.9808183915856516E-2</v>
      </c>
      <c r="Z19" s="1">
        <f>'3x9'!R11</f>
        <v>8.0157242911769844E-2</v>
      </c>
      <c r="AA19" s="1">
        <f>'3x10'!R11</f>
        <v>9.461601947897974E-2</v>
      </c>
    </row>
    <row r="20" spans="1:27" x14ac:dyDescent="0.2">
      <c r="A20">
        <v>6</v>
      </c>
      <c r="B20" s="1">
        <f>'1x2'!R12</f>
        <v>0.85892827702471075</v>
      </c>
      <c r="C20" s="1">
        <f>'1x3'!R12</f>
        <v>0.95331903311483202</v>
      </c>
      <c r="D20" s="1">
        <f>'1x4'!R12</f>
        <v>0.97748542785739079</v>
      </c>
      <c r="E20" s="1">
        <f>'1x5'!R12</f>
        <v>0.98613604277235201</v>
      </c>
      <c r="F20" s="1">
        <f>'1x6'!R12</f>
        <v>0.9900206916257811</v>
      </c>
      <c r="G20" s="1">
        <f>'1x7'!R12</f>
        <v>0.99204329141803282</v>
      </c>
      <c r="H20" s="1">
        <f>'1x8'!R12</f>
        <v>0.99320507069031005</v>
      </c>
      <c r="I20" s="1">
        <f>'1x9'!R12</f>
        <v>0.99391828657354186</v>
      </c>
      <c r="J20" s="1">
        <f>'1x10'!R12</f>
        <v>0.99437662533808335</v>
      </c>
      <c r="K20">
        <v>6</v>
      </c>
      <c r="L20" s="1">
        <f>'2x3'!R12</f>
        <v>0.29270941766581132</v>
      </c>
      <c r="M20" s="1">
        <f>'2x4'!R12</f>
        <v>0.46236931779436985</v>
      </c>
      <c r="N20" s="1">
        <f>'2x5'!R12</f>
        <v>0.56594380484866935</v>
      </c>
      <c r="O20" s="1">
        <f>'2x6'!R12</f>
        <v>0.63038302794130252</v>
      </c>
      <c r="P20" s="1">
        <f>'2x7'!R12</f>
        <v>0.67160537007501686</v>
      </c>
      <c r="Q20" s="1">
        <f>'2x8'!R12</f>
        <v>0.69868591952081205</v>
      </c>
      <c r="R20" s="1">
        <f>'2x9'!R12</f>
        <v>0.7168727465645014</v>
      </c>
      <c r="S20" s="1">
        <f>'2x10'!R12</f>
        <v>0.72929818241792388</v>
      </c>
      <c r="T20">
        <v>6</v>
      </c>
      <c r="U20" s="1">
        <f>'3x4'!R12</f>
        <v>-0.14558854732945747</v>
      </c>
      <c r="V20" s="1">
        <f>'3x5'!R12</f>
        <v>-6.106266065686361E-2</v>
      </c>
      <c r="W20" s="1">
        <f>'3x6'!R12</f>
        <v>-1.3416686687729995E-3</v>
      </c>
      <c r="X20" s="1">
        <f>'3x7'!R12</f>
        <v>4.0906506487252137E-2</v>
      </c>
      <c r="Y20" s="1">
        <f>'3x8'!R12</f>
        <v>7.0856005002224443E-2</v>
      </c>
      <c r="Z20" s="1">
        <f>'3x9'!R12</f>
        <v>9.2133769622284145E-2</v>
      </c>
      <c r="AA20" s="1">
        <f>'3x10'!R12</f>
        <v>0.10728060492158725</v>
      </c>
    </row>
    <row r="21" spans="1:27" x14ac:dyDescent="0.2">
      <c r="A21">
        <v>7</v>
      </c>
      <c r="B21" s="1">
        <f>'1x2'!R13</f>
        <v>0.89154023043208019</v>
      </c>
      <c r="C21" s="1">
        <f>'1x3'!R13</f>
        <v>0.9712111031034274</v>
      </c>
      <c r="D21" s="1">
        <f>'1x4'!R13</f>
        <v>0.98798021390191526</v>
      </c>
      <c r="E21" s="1">
        <f>'1x5'!R13</f>
        <v>0.99326267463069684</v>
      </c>
      <c r="F21" s="1">
        <f>'1x6'!R13</f>
        <v>0.99544587673557872</v>
      </c>
      <c r="G21" s="1">
        <f>'1x7'!R13</f>
        <v>0.99652136349062881</v>
      </c>
      <c r="H21" s="1">
        <f>'1x8'!R13</f>
        <v>0.99711623787999848</v>
      </c>
      <c r="I21" s="1">
        <f>'1x9'!R13</f>
        <v>0.99747201347990611</v>
      </c>
      <c r="J21" s="1">
        <f>'1x10'!R13</f>
        <v>0.99769650821809508</v>
      </c>
      <c r="K21">
        <v>7</v>
      </c>
      <c r="L21" s="1">
        <f>'2x3'!R13</f>
        <v>0.30712505594124656</v>
      </c>
      <c r="M21" s="1">
        <f>'2x4'!R13</f>
        <v>0.4860452717313154</v>
      </c>
      <c r="N21" s="1">
        <f>'2x5'!R13</f>
        <v>0.59553877261791111</v>
      </c>
      <c r="O21" s="1">
        <f>'2x6'!R13</f>
        <v>0.66321516776752598</v>
      </c>
      <c r="P21" s="1">
        <f>'2x7'!R13</f>
        <v>0.70610555503721706</v>
      </c>
      <c r="Q21" s="1">
        <f>'2x8'!R13</f>
        <v>0.73402876594356747</v>
      </c>
      <c r="R21" s="1">
        <f>'2x9'!R13</f>
        <v>0.75263959158588634</v>
      </c>
      <c r="S21" s="1">
        <f>'2x10'!R13</f>
        <v>0.76527875504351939</v>
      </c>
      <c r="T21">
        <v>7</v>
      </c>
      <c r="U21" s="1">
        <f>'3x4'!R13</f>
        <v>-0.14384409819795463</v>
      </c>
      <c r="V21" s="1">
        <f>'3x5'!R13</f>
        <v>-5.812205997754144E-2</v>
      </c>
      <c r="W21" s="1">
        <f>'3x6'!R13</f>
        <v>2.7504210418695108E-3</v>
      </c>
      <c r="X21" s="1">
        <f>'3x7'!R13</f>
        <v>4.5988251889570286E-2</v>
      </c>
      <c r="Y21" s="1">
        <f>'3x8'!R13</f>
        <v>7.6733896702680437E-2</v>
      </c>
      <c r="Z21" s="1">
        <f>'3x9'!R13</f>
        <v>9.8626979201158038E-2</v>
      </c>
      <c r="AA21" s="1">
        <f>'3x10'!R13</f>
        <v>0.11423758807936368</v>
      </c>
    </row>
    <row r="22" spans="1:27" x14ac:dyDescent="0.2">
      <c r="A22">
        <v>8</v>
      </c>
      <c r="B22" s="1">
        <f>'1x2'!R14</f>
        <v>0.91555453671228548</v>
      </c>
      <c r="C22" s="1">
        <f>'1x3'!R14</f>
        <v>0.98214692977657303</v>
      </c>
      <c r="D22" s="1">
        <f>'1x4'!R14</f>
        <v>0.99356500632867029</v>
      </c>
      <c r="E22" s="1">
        <f>'1x5'!R14</f>
        <v>0.99672025165532652</v>
      </c>
      <c r="F22" s="1">
        <f>'1x6'!R14</f>
        <v>0.99791911983856119</v>
      </c>
      <c r="G22" s="1">
        <f>'1x7'!R14</f>
        <v>0.99847766586091768</v>
      </c>
      <c r="H22" s="1">
        <f>'1x8'!R14</f>
        <v>0.99877511726236601</v>
      </c>
      <c r="I22" s="1">
        <f>'1x9'!R14</f>
        <v>0.99894841486292152</v>
      </c>
      <c r="J22" s="1">
        <f>'1x10'!R14</f>
        <v>0.99905578321312893</v>
      </c>
      <c r="K22">
        <v>8</v>
      </c>
      <c r="L22" s="1">
        <f>'2x3'!R14</f>
        <v>0.31642018436098718</v>
      </c>
      <c r="M22" s="1">
        <f>'2x4'!R14</f>
        <v>0.5030548339256099</v>
      </c>
      <c r="N22" s="1">
        <f>'2x5'!R14</f>
        <v>0.61784654152293639</v>
      </c>
      <c r="O22" s="1">
        <f>'2x6'!R14</f>
        <v>0.68847110236741393</v>
      </c>
      <c r="P22" s="1">
        <f>'2x7'!R14</f>
        <v>0.7328571400362085</v>
      </c>
      <c r="Q22" s="1">
        <f>'2x8'!R14</f>
        <v>0.76150586394042519</v>
      </c>
      <c r="R22" s="1">
        <f>'2x9'!R14</f>
        <v>0.78045790922908442</v>
      </c>
      <c r="S22" s="1">
        <f>'2x10'!R14</f>
        <v>0.79325185466646375</v>
      </c>
      <c r="T22">
        <v>8</v>
      </c>
      <c r="U22" s="1">
        <f>'3x4'!R14</f>
        <v>-0.14309782519365788</v>
      </c>
      <c r="V22" s="1">
        <f>'3x5'!R14</f>
        <v>-5.6739026601595022E-2</v>
      </c>
      <c r="W22" s="1">
        <f>'3x6'!R14</f>
        <v>4.79788107928103E-3</v>
      </c>
      <c r="X22" s="1">
        <f>'3x7'!R14</f>
        <v>4.8638591465562986E-2</v>
      </c>
      <c r="Y22" s="1">
        <f>'3x8'!R14</f>
        <v>7.9887550281691366E-2</v>
      </c>
      <c r="Z22" s="1">
        <f>'3x9'!R14</f>
        <v>0.10217972829157329</v>
      </c>
      <c r="AA22" s="1">
        <f>'3x10'!R14</f>
        <v>0.11809656825225617</v>
      </c>
    </row>
    <row r="23" spans="1:27" x14ac:dyDescent="0.2">
      <c r="A23">
        <v>9</v>
      </c>
      <c r="B23" s="1">
        <f>'1x2'!R15</f>
        <v>0.93363132904892476</v>
      </c>
      <c r="C23" s="1">
        <f>'1x3'!R15</f>
        <v>0.98889097522931713</v>
      </c>
      <c r="D23" s="1">
        <f>'1x4'!R15</f>
        <v>0.99654976047452548</v>
      </c>
      <c r="E23" s="1">
        <f>'1x5'!R15</f>
        <v>0.99840206478194393</v>
      </c>
      <c r="F23" s="1">
        <f>'1x6'!R15</f>
        <v>0.99904866205067366</v>
      </c>
      <c r="G23" s="1">
        <f>'1x7'!R15</f>
        <v>0.99933350504303153</v>
      </c>
      <c r="H23" s="1">
        <f>'1x8'!R15</f>
        <v>0.99947954566895936</v>
      </c>
      <c r="I23" s="1">
        <f>'1x9'!R15</f>
        <v>0.99956243003317879</v>
      </c>
      <c r="J23" s="1">
        <f>'1x10'!R15</f>
        <v>0.99961285132829714</v>
      </c>
      <c r="K23">
        <v>9</v>
      </c>
      <c r="L23" s="1">
        <f>'2x3'!R15</f>
        <v>0.32248405905853061</v>
      </c>
      <c r="M23" s="1">
        <f>'2x4'!R15</f>
        <v>0.51551740571698379</v>
      </c>
      <c r="N23" s="1">
        <f>'2x5'!R15</f>
        <v>0.63507813943814373</v>
      </c>
      <c r="O23" s="1">
        <f>'2x6'!R15</f>
        <v>0.7084272055893176</v>
      </c>
      <c r="P23" s="1">
        <f>'2x7'!R15</f>
        <v>0.7541849915055262</v>
      </c>
      <c r="Q23" s="1">
        <f>'2x8'!R15</f>
        <v>0.78347694383346023</v>
      </c>
      <c r="R23" s="1">
        <f>'2x9'!R15</f>
        <v>0.80271225771230836</v>
      </c>
      <c r="S23" s="1">
        <f>'2x10'!R15</f>
        <v>0.81561972888656153</v>
      </c>
      <c r="T23">
        <v>9</v>
      </c>
      <c r="U23" s="1">
        <f>'3x4'!R15</f>
        <v>-0.14277817312491009</v>
      </c>
      <c r="V23" s="1">
        <f>'3x5'!R15</f>
        <v>-5.6087148274541754E-2</v>
      </c>
      <c r="W23" s="1">
        <f>'3x6'!R15</f>
        <v>5.8254607256805202E-3</v>
      </c>
      <c r="X23" s="1">
        <f>'3x7'!R15</f>
        <v>5.0026188824961126E-2</v>
      </c>
      <c r="Y23" s="1">
        <f>'3x8'!R15</f>
        <v>8.1587200462392095E-2</v>
      </c>
      <c r="Z23" s="1">
        <f>'3x9'!R15</f>
        <v>0.10413335202189899</v>
      </c>
      <c r="AA23" s="1">
        <f>'3x10'!R15</f>
        <v>0.12024865994215517</v>
      </c>
    </row>
    <row r="24" spans="1:27" x14ac:dyDescent="0.2">
      <c r="A24">
        <v>10</v>
      </c>
      <c r="B24" s="1">
        <f>'1x2'!R16</f>
        <v>0.94746533337197159</v>
      </c>
      <c r="C24" s="1">
        <f>'1x3'!R16</f>
        <v>0.99307290466033071</v>
      </c>
      <c r="D24" s="1">
        <f>'1x4'!R16</f>
        <v>0.998148609569951</v>
      </c>
      <c r="E24" s="1">
        <f>'1x5'!R16</f>
        <v>0.99922114648772176</v>
      </c>
      <c r="F24" s="1">
        <f>'1x6'!R16</f>
        <v>0.99956495445752502</v>
      </c>
      <c r="G24" s="1">
        <f>'1x7'!R16</f>
        <v>0.99970814635582217</v>
      </c>
      <c r="H24" s="1">
        <f>'1x8'!R16</f>
        <v>0.99977882515097305</v>
      </c>
      <c r="I24" s="1">
        <f>'1x9'!R16</f>
        <v>0.99981790163086648</v>
      </c>
      <c r="J24" s="1">
        <f>'1x10'!R16</f>
        <v>0.99984124279982733</v>
      </c>
      <c r="K24">
        <v>10</v>
      </c>
      <c r="L24" s="1">
        <f>'2x3'!R16</f>
        <v>0.32647015726176731</v>
      </c>
      <c r="M24" s="1">
        <f>'2x4'!R16</f>
        <v>0.52478047061775746</v>
      </c>
      <c r="N24" s="1">
        <f>'2x5'!R16</f>
        <v>0.64864202159259776</v>
      </c>
      <c r="O24" s="1">
        <f>'2x6'!R16</f>
        <v>0.72453239226090949</v>
      </c>
      <c r="P24" s="1">
        <f>'2x7'!R16</f>
        <v>0.7715685991147837</v>
      </c>
      <c r="Q24" s="1">
        <f>'2x8'!R16</f>
        <v>0.80144365280692342</v>
      </c>
      <c r="R24" s="1">
        <f>'2x9'!R16</f>
        <v>0.82092008317493026</v>
      </c>
      <c r="S24" s="1">
        <f>'2x10'!R16</f>
        <v>0.83391108132747005</v>
      </c>
      <c r="T24">
        <v>10</v>
      </c>
      <c r="U24" s="1">
        <f>'3x4'!R16</f>
        <v>-0.14264118318330898</v>
      </c>
      <c r="V24" s="1">
        <f>'3x5'!R16</f>
        <v>-5.5779579709749783E-2</v>
      </c>
      <c r="W24" s="1">
        <f>'3x6'!R16</f>
        <v>6.3419751214394693E-3</v>
      </c>
      <c r="X24" s="1">
        <f>'3x7'!R16</f>
        <v>5.0754137366238461E-2</v>
      </c>
      <c r="Y24" s="1">
        <f>'3x8'!R16</f>
        <v>8.2505441414793546E-2</v>
      </c>
      <c r="Z24" s="1">
        <f>'3x9'!R16</f>
        <v>0.10521058570321357</v>
      </c>
      <c r="AA24" s="1">
        <f>'3x10'!R16</f>
        <v>0.12145244942068623</v>
      </c>
    </row>
    <row r="25" spans="1:27" x14ac:dyDescent="0.2">
      <c r="B25" s="367" t="s">
        <v>153</v>
      </c>
      <c r="C25" s="367"/>
      <c r="D25" s="367"/>
      <c r="E25" s="367"/>
      <c r="F25" s="367"/>
      <c r="G25" s="367"/>
      <c r="H25" s="367"/>
      <c r="I25" s="367"/>
      <c r="J25" s="367"/>
      <c r="L25" s="367" t="s">
        <v>153</v>
      </c>
      <c r="M25" s="367"/>
      <c r="N25" s="367"/>
      <c r="O25" s="367"/>
      <c r="P25" s="367"/>
      <c r="Q25" s="367"/>
      <c r="R25" s="367"/>
      <c r="S25" s="367"/>
      <c r="U25" s="367" t="s">
        <v>168</v>
      </c>
      <c r="V25" s="367"/>
      <c r="W25" s="367"/>
      <c r="X25" s="367"/>
      <c r="Y25" s="367"/>
      <c r="Z25" s="367"/>
      <c r="AA25" s="367"/>
    </row>
    <row r="26" spans="1:27" x14ac:dyDescent="0.2">
      <c r="A26" s="274" t="s">
        <v>57</v>
      </c>
      <c r="B26" s="275" t="s">
        <v>141</v>
      </c>
      <c r="C26" s="275" t="s">
        <v>142</v>
      </c>
      <c r="D26" s="275" t="s">
        <v>143</v>
      </c>
      <c r="E26" s="275" t="s">
        <v>144</v>
      </c>
      <c r="F26" s="275" t="s">
        <v>145</v>
      </c>
      <c r="G26" s="275" t="s">
        <v>146</v>
      </c>
      <c r="H26" s="275" t="s">
        <v>147</v>
      </c>
      <c r="I26" s="275" t="s">
        <v>148</v>
      </c>
      <c r="J26" s="275" t="s">
        <v>149</v>
      </c>
      <c r="K26" s="274" t="s">
        <v>57</v>
      </c>
      <c r="L26" s="275" t="s">
        <v>158</v>
      </c>
      <c r="M26" s="275" t="s">
        <v>159</v>
      </c>
      <c r="N26" s="275" t="s">
        <v>160</v>
      </c>
      <c r="O26" s="275" t="s">
        <v>161</v>
      </c>
      <c r="P26" s="275" t="s">
        <v>162</v>
      </c>
      <c r="Q26" s="275" t="s">
        <v>163</v>
      </c>
      <c r="R26" s="275" t="s">
        <v>164</v>
      </c>
      <c r="S26" s="275" t="s">
        <v>165</v>
      </c>
      <c r="T26" s="274" t="s">
        <v>57</v>
      </c>
      <c r="U26" s="275" t="s">
        <v>169</v>
      </c>
      <c r="V26" s="275" t="s">
        <v>170</v>
      </c>
      <c r="W26" s="275" t="s">
        <v>171</v>
      </c>
      <c r="X26" s="275" t="s">
        <v>172</v>
      </c>
      <c r="Y26" s="275" t="s">
        <v>173</v>
      </c>
      <c r="Z26" s="275" t="s">
        <v>174</v>
      </c>
      <c r="AA26" s="275" t="s">
        <v>175</v>
      </c>
    </row>
    <row r="27" spans="1:27" x14ac:dyDescent="0.2">
      <c r="A27" s="274">
        <v>1</v>
      </c>
      <c r="B27" s="1">
        <f>'1x2'!S21</f>
        <v>29.070336462975007</v>
      </c>
      <c r="C27" s="1">
        <f>'1x3'!S21</f>
        <v>26.061805505130753</v>
      </c>
      <c r="D27" s="1">
        <f>'1x4'!S21</f>
        <v>33.205394258150598</v>
      </c>
      <c r="E27" s="1">
        <f>'1x5'!S21</f>
        <v>43.548275694720019</v>
      </c>
      <c r="F27" s="1">
        <f>'1x6'!S21</f>
        <v>56.404819308000611</v>
      </c>
      <c r="G27" s="1">
        <f>'1x7'!S21</f>
        <v>71.636533352967589</v>
      </c>
      <c r="H27" s="1">
        <f>'1x8'!S21</f>
        <v>89.219994023601728</v>
      </c>
      <c r="I27" s="1">
        <f>'1x9'!S21</f>
        <v>109.16137678133387</v>
      </c>
      <c r="J27" s="1">
        <f>'1x10'!S21</f>
        <v>131.47239189556083</v>
      </c>
      <c r="K27" s="274">
        <v>1</v>
      </c>
      <c r="L27" s="1">
        <f>'2x3'!S21</f>
        <v>-30.053386067525004</v>
      </c>
      <c r="M27" s="1">
        <f>'2x4'!S21</f>
        <v>-79.78711256998686</v>
      </c>
      <c r="N27" s="1">
        <f>'2x5'!S21</f>
        <v>-193.54076904567609</v>
      </c>
      <c r="O27" s="1">
        <f>'2x6'!S21</f>
        <v>-459.98122768025229</v>
      </c>
      <c r="P27" s="1">
        <f>'2x7'!S21</f>
        <v>-1168.386897521691</v>
      </c>
      <c r="Q27" s="1">
        <f>'2x8'!S21</f>
        <v>-4014.6724926865545</v>
      </c>
      <c r="R27" s="1">
        <f>'2x9'!S21</f>
        <v>29743.751762085631</v>
      </c>
      <c r="S27" s="1">
        <f>'2x10'!S21</f>
        <v>6186.6374531134261</v>
      </c>
      <c r="T27" s="274">
        <v>1</v>
      </c>
      <c r="U27" s="1">
        <f>'3x4'!S21</f>
        <v>-25.009764363656707</v>
      </c>
      <c r="V27" s="1">
        <f>'3x5'!S21</f>
        <v>-41.844854196851792</v>
      </c>
      <c r="W27" s="1">
        <f>'3x6'!S21</f>
        <v>-63.58065318522651</v>
      </c>
      <c r="X27" s="1">
        <f>'3x7'!S21</f>
        <v>-90.088642071452128</v>
      </c>
      <c r="Y27" s="1">
        <f>'3x8'!S21</f>
        <v>-121.13470581699865</v>
      </c>
      <c r="Z27" s="1">
        <f>'3x9'!S21</f>
        <v>-156.46422963271641</v>
      </c>
      <c r="AA27" s="1">
        <f>'3x10'!S21</f>
        <v>-195.85206127010065</v>
      </c>
    </row>
    <row r="28" spans="1:27" x14ac:dyDescent="0.2">
      <c r="A28">
        <v>2</v>
      </c>
      <c r="B28" s="1">
        <f>'1x2'!S22</f>
        <v>21.471788272576603</v>
      </c>
      <c r="C28" s="1">
        <f>'1x3'!S22</f>
        <v>44.130675793984899</v>
      </c>
      <c r="D28" s="1">
        <f>'1x4'!S22</f>
        <v>81.875473849359054</v>
      </c>
      <c r="E28" s="1">
        <f>'1x5'!S22</f>
        <v>138.04564344396695</v>
      </c>
      <c r="F28" s="1">
        <f>'1x6'!S22</f>
        <v>216.30687156434897</v>
      </c>
      <c r="G28" s="1">
        <f>'1x7'!S22</f>
        <v>320.42039180662857</v>
      </c>
      <c r="H28" s="1">
        <f>'1x8'!S22</f>
        <v>454.19344544302788</v>
      </c>
      <c r="I28" s="1">
        <f>'1x9'!S22</f>
        <v>621.45635615416097</v>
      </c>
      <c r="J28" s="1">
        <f>'1x10'!S22</f>
        <v>826.04783064342951</v>
      </c>
      <c r="K28">
        <v>2</v>
      </c>
      <c r="L28" s="1">
        <f>'2x3'!S22</f>
        <v>508.01312254749115</v>
      </c>
      <c r="M28" s="1">
        <f>'2x4'!S22</f>
        <v>349.67819454629415</v>
      </c>
      <c r="N28" s="1">
        <f>'2x5'!S22</f>
        <v>439.48682679417868</v>
      </c>
      <c r="O28" s="1">
        <f>'2x6'!S22</f>
        <v>596.51406494332537</v>
      </c>
      <c r="P28" s="1">
        <f>'2x7'!S22</f>
        <v>813.59841025616026</v>
      </c>
      <c r="Q28" s="1">
        <f>'2x8'!S22</f>
        <v>1095.4069108692929</v>
      </c>
      <c r="R28" s="1">
        <f>'2x9'!S22</f>
        <v>1449.2341123401052</v>
      </c>
      <c r="S28" s="1">
        <f>'2x10'!S22</f>
        <v>1883.2315334350715</v>
      </c>
      <c r="T28">
        <v>2</v>
      </c>
      <c r="U28" s="1">
        <f>'3x4'!S22</f>
        <v>-178.95891306593251</v>
      </c>
      <c r="V28" s="1">
        <f>'3x5'!S22</f>
        <v>-556.30939824172356</v>
      </c>
      <c r="W28" s="1">
        <f>'3x6'!S22</f>
        <v>-1170.658038293682</v>
      </c>
      <c r="X28" s="1">
        <f>'3x7'!S22</f>
        <v>-2232.5570768063753</v>
      </c>
      <c r="Y28" s="1">
        <f>'3x8'!S22</f>
        <v>-3923.3625080778711</v>
      </c>
      <c r="Z28" s="1">
        <f>'3x9'!S22</f>
        <v>-6426.1916260695434</v>
      </c>
      <c r="AA28" s="1">
        <f>'3x10'!S22</f>
        <v>-9899.4345051142318</v>
      </c>
    </row>
    <row r="29" spans="1:27" x14ac:dyDescent="0.2">
      <c r="A29">
        <v>3</v>
      </c>
      <c r="B29" s="1">
        <f>'1x2'!S23</f>
        <v>38.869856649648177</v>
      </c>
      <c r="C29" s="1">
        <f>'1x3'!S23</f>
        <v>118.71170201913657</v>
      </c>
      <c r="D29" s="1">
        <f>'1x4'!S23</f>
        <v>291.6286790283288</v>
      </c>
      <c r="E29" s="1">
        <f>'1x5'!S23</f>
        <v>612.07429350815653</v>
      </c>
      <c r="F29" s="1">
        <f>'1x6'!S23</f>
        <v>1147.6336719110868</v>
      </c>
      <c r="G29" s="1">
        <f>'1x7'!S23</f>
        <v>1979.0085525725256</v>
      </c>
      <c r="H29" s="1">
        <f>'1x8'!S23</f>
        <v>3200.0490812168882</v>
      </c>
      <c r="I29" s="1">
        <f>'1x9'!S23</f>
        <v>4917.7656996762689</v>
      </c>
      <c r="J29" s="1">
        <f>'1x10'!S23</f>
        <v>7252.3186753606624</v>
      </c>
      <c r="K29">
        <v>3</v>
      </c>
      <c r="L29" s="1">
        <f>'2x3'!S23</f>
        <v>547.5255223981635</v>
      </c>
      <c r="M29" s="1">
        <f>'2x4'!S23</f>
        <v>824.19649505640518</v>
      </c>
      <c r="N29" s="1">
        <f>'2x5'!S23</f>
        <v>1414.4558527922495</v>
      </c>
      <c r="O29" s="1">
        <f>'2x6'!S23</f>
        <v>2381.6511062631644</v>
      </c>
      <c r="P29" s="1">
        <f>'2x7'!S23</f>
        <v>3851.1926526852449</v>
      </c>
      <c r="Q29" s="1">
        <f>'2x8'!S23</f>
        <v>5977.7623486051752</v>
      </c>
      <c r="R29" s="1">
        <f>'2x9'!S23</f>
        <v>8941.4577887897667</v>
      </c>
      <c r="S29" s="1">
        <f>'2x10'!S23</f>
        <v>12946.769196760502</v>
      </c>
      <c r="T29">
        <v>3</v>
      </c>
      <c r="U29" s="1">
        <f>'3x4'!S23</f>
        <v>-794.56325800445779</v>
      </c>
      <c r="V29" s="1">
        <f>'3x5'!S23</f>
        <v>-4830.7052280917042</v>
      </c>
      <c r="W29" s="1">
        <f>'3x6'!S23</f>
        <v>-16686.530223822745</v>
      </c>
      <c r="X29" s="1">
        <f>'3x7'!S23</f>
        <v>-66310.402558222995</v>
      </c>
      <c r="Y29" s="1">
        <f>'3x8'!S23</f>
        <v>-1030969.569320643</v>
      </c>
      <c r="Z29" s="1">
        <f>'3x9'!S23</f>
        <v>317021.14817543892</v>
      </c>
      <c r="AA29" s="1">
        <f>'3x10'!S23</f>
        <v>253687.28009199077</v>
      </c>
    </row>
    <row r="30" spans="1:27" x14ac:dyDescent="0.2">
      <c r="A30">
        <v>4</v>
      </c>
      <c r="B30" s="1">
        <f>'1x2'!S24</f>
        <v>74.999480749018403</v>
      </c>
      <c r="C30" s="1">
        <f>'1x3'!S24</f>
        <v>336.74054845147964</v>
      </c>
      <c r="D30" s="1">
        <f>'1x4'!S24</f>
        <v>1100.7731258992951</v>
      </c>
      <c r="E30" s="1">
        <f>'1x5'!S24</f>
        <v>2892.2986862141352</v>
      </c>
      <c r="F30" s="1">
        <f>'1x6'!S24</f>
        <v>6520.024677120241</v>
      </c>
      <c r="G30" s="1">
        <f>'1x7'!S24</f>
        <v>13138.226399596</v>
      </c>
      <c r="H30" s="1">
        <f>'1x8'!S24</f>
        <v>24308.963642481674</v>
      </c>
      <c r="I30" s="1">
        <f>'1x9'!S24</f>
        <v>42064.315734640266</v>
      </c>
      <c r="J30" s="1">
        <f>'1x10'!S24</f>
        <v>68968.557628282739</v>
      </c>
      <c r="K30">
        <v>4</v>
      </c>
      <c r="L30" s="1">
        <f>'2x3'!S24</f>
        <v>1262.1650750606912</v>
      </c>
      <c r="M30" s="1">
        <f>'2x4'!S24</f>
        <v>2676.6359250908504</v>
      </c>
      <c r="N30" s="1">
        <f>'2x5'!S24</f>
        <v>5821.618638598954</v>
      </c>
      <c r="O30" s="1">
        <f>'2x6'!S24</f>
        <v>11844.603870492718</v>
      </c>
      <c r="P30" s="1">
        <f>'2x7'!S24</f>
        <v>22444.515716241574</v>
      </c>
      <c r="Q30" s="1">
        <f>'2x8'!S24</f>
        <v>39936.798915243671</v>
      </c>
      <c r="R30" s="1">
        <f>'2x9'!S24</f>
        <v>67348.696032203108</v>
      </c>
      <c r="S30" s="1">
        <f>'2x10'!S24</f>
        <v>108517.1212822638</v>
      </c>
      <c r="T30">
        <v>4</v>
      </c>
      <c r="U30" s="1">
        <f>'3x4'!S24</f>
        <v>-2849.4051171226606</v>
      </c>
      <c r="V30" s="1">
        <f>'3x5'!S24</f>
        <v>-33624.781553683693</v>
      </c>
      <c r="W30" s="1">
        <f>'3x6'!S24</f>
        <v>-235681.53913097046</v>
      </c>
      <c r="X30" s="1">
        <f>'3x7'!S24</f>
        <v>1061631.1425057652</v>
      </c>
      <c r="Y30" s="1">
        <f>'3x8'!S24</f>
        <v>604057.16845609387</v>
      </c>
      <c r="Z30" s="1">
        <f>'3x9'!S24</f>
        <v>703286.12789917411</v>
      </c>
      <c r="AA30" s="1">
        <f>'3x10'!S24</f>
        <v>936639.52397251199</v>
      </c>
    </row>
    <row r="31" spans="1:27" x14ac:dyDescent="0.2">
      <c r="A31">
        <v>5</v>
      </c>
      <c r="B31" s="1">
        <f>'1x2'!S25</f>
        <v>146.31901074153777</v>
      </c>
      <c r="C31" s="1">
        <f>'1x3'!S25</f>
        <v>974.43319967299533</v>
      </c>
      <c r="D31" s="1">
        <f>'1x4'!S25</f>
        <v>4262.7243506466839</v>
      </c>
      <c r="E31" s="1">
        <f>'1x5'!S25</f>
        <v>14057.485352153288</v>
      </c>
      <c r="F31" s="1">
        <f>'1x6'!S25</f>
        <v>38141.323350903163</v>
      </c>
      <c r="G31" s="1">
        <f>'1x7'!S25</f>
        <v>89852.948763910506</v>
      </c>
      <c r="H31" s="1">
        <f>'1x8'!S25</f>
        <v>190272.37259856172</v>
      </c>
      <c r="I31" s="1">
        <f>'1x9'!S25</f>
        <v>370771.46505094675</v>
      </c>
      <c r="J31" s="1">
        <f>'1x10'!S25</f>
        <v>675929.61016034777</v>
      </c>
      <c r="K31">
        <v>5</v>
      </c>
      <c r="L31" s="1">
        <f>'2x3'!S25</f>
        <v>3334.0444883848095</v>
      </c>
      <c r="M31" s="1">
        <f>'2x4'!S25</f>
        <v>9526.3118465866064</v>
      </c>
      <c r="N31" s="1">
        <f>'2x5'!S25</f>
        <v>25990.721063784324</v>
      </c>
      <c r="O31" s="1">
        <f>'2x6'!S25</f>
        <v>63640.716409568566</v>
      </c>
      <c r="P31" s="1">
        <f>'2x7'!S25</f>
        <v>141033.66595807034</v>
      </c>
      <c r="Q31" s="1">
        <f>'2x8'!S25</f>
        <v>287348.0118172291</v>
      </c>
      <c r="R31" s="1">
        <f>'2x9'!S25</f>
        <v>545944.74110985734</v>
      </c>
      <c r="S31" s="1">
        <f>'2x10'!S25</f>
        <v>978465.79442555457</v>
      </c>
      <c r="T31">
        <v>5</v>
      </c>
      <c r="U31" s="1">
        <f>'3x4'!S25</f>
        <v>-9246.5054496488865</v>
      </c>
      <c r="V31" s="1">
        <f>'3x5'!S25</f>
        <v>-202765.67298008301</v>
      </c>
      <c r="W31" s="1">
        <f>'3x6'!S25</f>
        <v>-3897927.207502888</v>
      </c>
      <c r="X31" s="1">
        <f>'3x7'!S25</f>
        <v>2837337.0752552235</v>
      </c>
      <c r="Y31" s="1">
        <f>'3x8'!S25</f>
        <v>3130340.8286631438</v>
      </c>
      <c r="Z31" s="1">
        <f>'3x9'!S25</f>
        <v>4557754.0684892489</v>
      </c>
      <c r="AA31" s="1">
        <f>'3x10'!S25</f>
        <v>7045688.4962075818</v>
      </c>
    </row>
    <row r="32" spans="1:27" x14ac:dyDescent="0.2">
      <c r="A32">
        <v>6</v>
      </c>
      <c r="B32" s="1">
        <f>'1x2'!S26</f>
        <v>286.40342457013179</v>
      </c>
      <c r="C32" s="1">
        <f>'1x3'!S26</f>
        <v>2854.2386184292641</v>
      </c>
      <c r="D32" s="1">
        <f>'1x4'!S26</f>
        <v>16745.006660485982</v>
      </c>
      <c r="E32" s="1">
        <f>'1x5'!S26</f>
        <v>69300.783092638856</v>
      </c>
      <c r="F32" s="1">
        <f>'1x6'!S26</f>
        <v>226183.15141704332</v>
      </c>
      <c r="G32" s="1">
        <f>'1x7'!S26</f>
        <v>622584.72522620903</v>
      </c>
      <c r="H32" s="1">
        <f>'1x8'!S26</f>
        <v>1508184.0036910861</v>
      </c>
      <c r="I32" s="1">
        <f>'1x9'!S26</f>
        <v>3308378.6106159901</v>
      </c>
      <c r="J32" s="1">
        <f>'1x10'!S26</f>
        <v>6704330.9648729702</v>
      </c>
      <c r="K32">
        <v>6</v>
      </c>
      <c r="L32" s="1">
        <f>'2x3'!S26</f>
        <v>9295.9086239807548</v>
      </c>
      <c r="M32" s="1">
        <f>'2x4'!S26</f>
        <v>35400.272834019153</v>
      </c>
      <c r="N32" s="1">
        <f>'2x5'!S26</f>
        <v>120754.03850082569</v>
      </c>
      <c r="O32" s="1">
        <f>'2x6'!S26</f>
        <v>355222.12698412093</v>
      </c>
      <c r="P32" s="1">
        <f>'2x7'!S26</f>
        <v>919633.80211062334</v>
      </c>
      <c r="Q32" s="1">
        <f>'2x8'!S26</f>
        <v>2143933.2869729893</v>
      </c>
      <c r="R32" s="1">
        <f>'2x9'!S26</f>
        <v>4586947.9845041586</v>
      </c>
      <c r="S32" s="1">
        <f>'2x10'!S26</f>
        <v>9141158.1171056479</v>
      </c>
      <c r="T32">
        <v>6</v>
      </c>
      <c r="U32" s="1">
        <f>'3x4'!S26</f>
        <v>-28690.443559050829</v>
      </c>
      <c r="V32" s="1">
        <f>'3x5'!S26</f>
        <v>-1119178.2222532157</v>
      </c>
      <c r="W32" s="1">
        <f>'3x6'!S26</f>
        <v>-166901117.40090626</v>
      </c>
      <c r="X32" s="1">
        <f>'3x7'!S26</f>
        <v>15098600.517071163</v>
      </c>
      <c r="Y32" s="1">
        <f>'3x8'!S26</f>
        <v>21140565.29087371</v>
      </c>
      <c r="Z32" s="1">
        <f>'3x9'!S26</f>
        <v>35690040.833895043</v>
      </c>
      <c r="AA32" s="1">
        <f>'3x10'!S26</f>
        <v>62141987.406509534</v>
      </c>
    </row>
    <row r="33" spans="1:27" x14ac:dyDescent="0.2">
      <c r="A33">
        <v>7</v>
      </c>
      <c r="B33" s="1">
        <f>'1x2'!S27</f>
        <v>561.94884190160781</v>
      </c>
      <c r="C33" s="1">
        <f>'1x3'!S27</f>
        <v>8429.6812236177047</v>
      </c>
      <c r="D33" s="1">
        <f>'1x4'!S27</f>
        <v>66315.09323576848</v>
      </c>
      <c r="E33" s="1">
        <f>'1x5'!S27</f>
        <v>344093.26830596419</v>
      </c>
      <c r="F33" s="1">
        <f>'1x6'!S27</f>
        <v>1349814.2203435132</v>
      </c>
      <c r="G33" s="1">
        <f>'1x7'!S27</f>
        <v>4338663.633718133</v>
      </c>
      <c r="H33" s="1">
        <f>'1x8'!S27</f>
        <v>12018350.062655604</v>
      </c>
      <c r="I33" s="1">
        <f>'1x9'!S27</f>
        <v>29669587.316793602</v>
      </c>
      <c r="J33" s="1">
        <f>'1x10'!S27</f>
        <v>66820545.577600405</v>
      </c>
      <c r="K33">
        <v>7</v>
      </c>
      <c r="L33" s="1">
        <f>'2x3'!S27</f>
        <v>26656.89380148191</v>
      </c>
      <c r="M33" s="1">
        <f>'2x4'!S27</f>
        <v>134798.14291088955</v>
      </c>
      <c r="N33" s="1">
        <f>'2x5'!S27</f>
        <v>573892.10529081337</v>
      </c>
      <c r="O33" s="1">
        <f>'2x6'!S27</f>
        <v>2025989.5510577194</v>
      </c>
      <c r="P33" s="1">
        <f>'2x7'!S27</f>
        <v>6123122.7670657756</v>
      </c>
      <c r="Q33" s="1">
        <f>'2x8'!S27</f>
        <v>16325916.034905521</v>
      </c>
      <c r="R33" s="1">
        <f>'2x9'!S27</f>
        <v>39321055.297717296</v>
      </c>
      <c r="S33" s="1">
        <f>'2x10'!S27</f>
        <v>87114171.876114398</v>
      </c>
      <c r="T33">
        <v>7</v>
      </c>
      <c r="U33" s="1">
        <f>'3x4'!S27</f>
        <v>-87309.803859429958</v>
      </c>
      <c r="V33" s="1">
        <f>'3x5'!S27</f>
        <v>-5880297.4315098776</v>
      </c>
      <c r="W33" s="1">
        <f>'3x6'!S27</f>
        <v>488531384.66635835</v>
      </c>
      <c r="X33" s="1">
        <f>'3x7'!S27</f>
        <v>94014684.671685606</v>
      </c>
      <c r="Y33" s="1">
        <f>'3x8'!S27</f>
        <v>156172076.68252552</v>
      </c>
      <c r="Z33" s="1">
        <f>'3x9'!S27</f>
        <v>300065795.78635734</v>
      </c>
      <c r="AA33" s="1">
        <f>'3x10'!S27</f>
        <v>583578716.26005483</v>
      </c>
    </row>
    <row r="34" spans="1:27" x14ac:dyDescent="0.2">
      <c r="A34">
        <v>8</v>
      </c>
      <c r="B34" s="1">
        <f>'1x2'!S28</f>
        <v>1105.3410358644999</v>
      </c>
      <c r="C34" s="1">
        <f>'1x3'!S28</f>
        <v>25034.95073348494</v>
      </c>
      <c r="D34" s="1">
        <f>'1x4'!S28</f>
        <v>263821.69091137417</v>
      </c>
      <c r="E34" s="1">
        <f>'1x5'!S28</f>
        <v>1714583.4020747594</v>
      </c>
      <c r="F34" s="1">
        <f>'1x6'!S28</f>
        <v>8078939.3045242531</v>
      </c>
      <c r="G34" s="1">
        <f>'1x7'!S28</f>
        <v>30311315.951072827</v>
      </c>
      <c r="H34" s="1">
        <f>'1x8'!S28</f>
        <v>95987341.237312973</v>
      </c>
      <c r="I34" s="1">
        <f>'1x9'!S28</f>
        <v>266631930.17484242</v>
      </c>
      <c r="J34" s="1">
        <f>'1x10'!S28</f>
        <v>667296692.73910785</v>
      </c>
      <c r="K34">
        <v>8</v>
      </c>
      <c r="L34" s="1">
        <f>'2x3'!S28</f>
        <v>77706.80005656289</v>
      </c>
      <c r="M34" s="1">
        <f>'2x4'!S28</f>
        <v>521064.46916433377</v>
      </c>
      <c r="N34" s="1">
        <f>'2x5'!S28</f>
        <v>2765994.2803718974</v>
      </c>
      <c r="O34" s="1">
        <f>'2x6'!S28</f>
        <v>11710190.8450146</v>
      </c>
      <c r="P34" s="1">
        <f>'2x7'!S28</f>
        <v>41297505.811984964</v>
      </c>
      <c r="Q34" s="1">
        <f>'2x8'!S28</f>
        <v>125894983.26896688</v>
      </c>
      <c r="R34" s="1">
        <f>'2x9'!S28</f>
        <v>341275987.91726637</v>
      </c>
      <c r="S34" s="1">
        <f>'2x10'!S28</f>
        <v>840422390.54116213</v>
      </c>
      <c r="T34">
        <v>8</v>
      </c>
      <c r="U34" s="1">
        <f>'3x4'!S28</f>
        <v>-263512.04114366393</v>
      </c>
      <c r="V34" s="1">
        <f>'3x5'!S28</f>
        <v>-30119656.651846025</v>
      </c>
      <c r="W34" s="1">
        <f>'3x6'!S28</f>
        <v>1680351777.5409563</v>
      </c>
      <c r="X34" s="1">
        <f>'3x7'!S28</f>
        <v>622246061.98615551</v>
      </c>
      <c r="Y34" s="1">
        <f>'3x8'!S28</f>
        <v>1200058928.6059437</v>
      </c>
      <c r="Z34" s="1">
        <f>'3x9'!S28</f>
        <v>2606696538.0839233</v>
      </c>
      <c r="AA34" s="1">
        <f>'3x10'!S28</f>
        <v>5645097312.023406</v>
      </c>
    </row>
    <row r="35" spans="1:27" x14ac:dyDescent="0.2">
      <c r="A35">
        <v>9</v>
      </c>
      <c r="B35" s="1">
        <f>'1x2'!S29</f>
        <v>2179.6612181737964</v>
      </c>
      <c r="C35" s="1">
        <f>'1x3'!S29</f>
        <v>74622.98862914354</v>
      </c>
      <c r="D35" s="1">
        <f>'1x4'!S29</f>
        <v>1052184.2878179126</v>
      </c>
      <c r="E35" s="1">
        <f>'1x5'!S29</f>
        <v>8558571.042084381</v>
      </c>
      <c r="F35" s="1">
        <f>'1x6'!S29</f>
        <v>48418971.805345789</v>
      </c>
      <c r="G35" s="1">
        <f>'1x7'!S29</f>
        <v>211997695.39486963</v>
      </c>
      <c r="H35" s="1">
        <f>'1x8'!S29</f>
        <v>767357778.67937136</v>
      </c>
      <c r="I35" s="1">
        <f>'1x9'!S29</f>
        <v>2398213615.2520561</v>
      </c>
      <c r="J35" s="1">
        <f>'1x10'!S29</f>
        <v>6669248605.7389679</v>
      </c>
      <c r="K35">
        <v>9</v>
      </c>
      <c r="L35" s="1">
        <f>'2x3'!S29</f>
        <v>228829.91554818666</v>
      </c>
      <c r="M35" s="1">
        <f>'2x4'!S29</f>
        <v>2033983.6994284736</v>
      </c>
      <c r="N35" s="1">
        <f>'2x5'!S29</f>
        <v>13454871.880111799</v>
      </c>
      <c r="O35" s="1">
        <f>'2x6'!S29</f>
        <v>68282116.52284041</v>
      </c>
      <c r="P35" s="1">
        <f>'2x7'!S29</f>
        <v>280907738.00349176</v>
      </c>
      <c r="Q35" s="1">
        <f>'2x8'!S29</f>
        <v>978916367.6564151</v>
      </c>
      <c r="R35" s="1">
        <f>'2x9'!S29</f>
        <v>2986330663.2837572</v>
      </c>
      <c r="S35" s="1">
        <f>'2x10'!S29</f>
        <v>8173743693.1558294</v>
      </c>
      <c r="T35">
        <v>9</v>
      </c>
      <c r="U35" s="1">
        <f>'3x4'!S29</f>
        <v>-792544.10897247749</v>
      </c>
      <c r="V35" s="1">
        <f>'3x5'!S29</f>
        <v>-152350320.22261992</v>
      </c>
      <c r="W35" s="1">
        <f>'3x6'!S29</f>
        <v>8303705282.3575878</v>
      </c>
      <c r="X35" s="1">
        <f>'3x7'!S29</f>
        <v>4234909853.7422838</v>
      </c>
      <c r="Y35" s="1">
        <f>'3x8'!S29</f>
        <v>9400474579.9990063</v>
      </c>
      <c r="Z35" s="1">
        <f>'3x9'!S29</f>
        <v>23020138912.803673</v>
      </c>
      <c r="AA35" s="1">
        <f>'3x10'!S29</f>
        <v>55440672837.49321</v>
      </c>
    </row>
    <row r="36" spans="1:27" x14ac:dyDescent="0.2">
      <c r="A36">
        <v>10</v>
      </c>
      <c r="B36" s="1">
        <f>'1x2'!S30</f>
        <v>4308.3370506785823</v>
      </c>
      <c r="C36" s="1">
        <f>'1x3'!S30</f>
        <v>222959.46144631997</v>
      </c>
      <c r="D36" s="1">
        <f>'1x4'!S30</f>
        <v>4202059.653028111</v>
      </c>
      <c r="E36" s="1">
        <f>'1x5'!S30</f>
        <v>42757882.12667194</v>
      </c>
      <c r="F36" s="1">
        <f>'1x6'!S30</f>
        <v>290363931.53410941</v>
      </c>
      <c r="G36" s="1">
        <f>'1x7'!S30</f>
        <v>1483427960.8562512</v>
      </c>
      <c r="H36" s="1">
        <f>'1x8'!S30</f>
        <v>6137024875.5503244</v>
      </c>
      <c r="I36" s="1">
        <f>'1x9'!S30</f>
        <v>21578407822.873043</v>
      </c>
      <c r="J36" s="1">
        <f>'1x10'!S30</f>
        <v>66677252103.859215</v>
      </c>
      <c r="K36">
        <v>10</v>
      </c>
      <c r="L36" s="1">
        <f>'2x3'!S30</f>
        <v>678209.0034111971</v>
      </c>
      <c r="M36" s="1">
        <f>'2x4'!S30</f>
        <v>7992446.8131647632</v>
      </c>
      <c r="N36" s="1">
        <f>'2x5'!S30</f>
        <v>65867733.784960762</v>
      </c>
      <c r="O36" s="1">
        <f>'2x6'!S30</f>
        <v>400586106.43246889</v>
      </c>
      <c r="P36" s="1">
        <f>'2x7'!S30</f>
        <v>1922052062.1256902</v>
      </c>
      <c r="Q36" s="1">
        <f>'2x8'!S30</f>
        <v>7655769059.3853264</v>
      </c>
      <c r="R36" s="1">
        <f>'2x9'!S30</f>
        <v>26280851050.153542</v>
      </c>
      <c r="S36" s="1">
        <f>'2x10'!S30</f>
        <v>79944574550.893326</v>
      </c>
      <c r="T36">
        <v>10</v>
      </c>
      <c r="U36" s="1">
        <f>'3x4'!S30</f>
        <v>-2380175.1529478868</v>
      </c>
      <c r="V36" s="1">
        <f>'3x5'!S30</f>
        <v>-765953781.33571911</v>
      </c>
      <c r="W36" s="1">
        <f>'3x6'!S30</f>
        <v>45764545656.893608</v>
      </c>
      <c r="X36" s="1">
        <f>'3x7'!S30</f>
        <v>29219194610.654243</v>
      </c>
      <c r="Y36" s="1">
        <f>'3x8'!S30</f>
        <v>74366822536.626663</v>
      </c>
      <c r="Z36" s="1">
        <f>'3x9'!S30</f>
        <v>205059959373.85059</v>
      </c>
      <c r="AA36" s="1">
        <f>'3x10'!S30</f>
        <v>548911668130.13727</v>
      </c>
    </row>
    <row r="37" spans="1:27" x14ac:dyDescent="0.2">
      <c r="B37" s="367" t="s">
        <v>154</v>
      </c>
      <c r="C37" s="367"/>
      <c r="D37" s="367"/>
      <c r="E37" s="367"/>
      <c r="F37" s="367"/>
      <c r="G37" s="367"/>
      <c r="H37" s="367"/>
      <c r="I37" s="367"/>
      <c r="J37" s="367"/>
      <c r="L37" s="367" t="s">
        <v>166</v>
      </c>
      <c r="M37" s="367"/>
      <c r="N37" s="367"/>
      <c r="O37" s="367"/>
      <c r="P37" s="367"/>
      <c r="Q37" s="367"/>
      <c r="R37" s="367"/>
      <c r="S37" s="367"/>
      <c r="U37" s="367" t="s">
        <v>166</v>
      </c>
      <c r="V37" s="367"/>
      <c r="W37" s="367"/>
      <c r="X37" s="367"/>
      <c r="Y37" s="367"/>
      <c r="Z37" s="367"/>
      <c r="AA37" s="367"/>
    </row>
    <row r="38" spans="1:27" x14ac:dyDescent="0.2">
      <c r="A38" s="274" t="s">
        <v>57</v>
      </c>
      <c r="B38" s="275" t="s">
        <v>141</v>
      </c>
      <c r="C38" s="275" t="s">
        <v>142</v>
      </c>
      <c r="D38" s="275" t="s">
        <v>143</v>
      </c>
      <c r="E38" s="275" t="s">
        <v>144</v>
      </c>
      <c r="F38" s="275" t="s">
        <v>145</v>
      </c>
      <c r="G38" s="275" t="s">
        <v>146</v>
      </c>
      <c r="H38" s="275" t="s">
        <v>147</v>
      </c>
      <c r="I38" s="275" t="s">
        <v>148</v>
      </c>
      <c r="J38" s="275" t="s">
        <v>149</v>
      </c>
      <c r="K38" s="274" t="s">
        <v>57</v>
      </c>
      <c r="L38" s="275" t="s">
        <v>158</v>
      </c>
      <c r="M38" s="275" t="s">
        <v>159</v>
      </c>
      <c r="N38" s="275" t="s">
        <v>160</v>
      </c>
      <c r="O38" s="275" t="s">
        <v>161</v>
      </c>
      <c r="P38" s="275" t="s">
        <v>162</v>
      </c>
      <c r="Q38" s="275" t="s">
        <v>163</v>
      </c>
      <c r="R38" s="275" t="s">
        <v>164</v>
      </c>
      <c r="S38" s="275" t="s">
        <v>165</v>
      </c>
      <c r="T38" s="274" t="s">
        <v>57</v>
      </c>
      <c r="U38" s="275" t="s">
        <v>169</v>
      </c>
      <c r="V38" s="275" t="s">
        <v>170</v>
      </c>
      <c r="W38" s="275" t="s">
        <v>171</v>
      </c>
      <c r="X38" s="275" t="s">
        <v>172</v>
      </c>
      <c r="Y38" s="275" t="s">
        <v>173</v>
      </c>
      <c r="Z38" s="275" t="s">
        <v>174</v>
      </c>
      <c r="AA38" s="275" t="s">
        <v>175</v>
      </c>
    </row>
    <row r="39" spans="1:27" x14ac:dyDescent="0.2">
      <c r="A39" s="274">
        <v>1</v>
      </c>
      <c r="B39" s="1">
        <f>'1x2'!S33</f>
        <v>29.070336462975007</v>
      </c>
      <c r="C39" s="1">
        <f>'1x3'!S33</f>
        <v>26.061805505130753</v>
      </c>
      <c r="D39" s="1">
        <f>'1x4'!S33</f>
        <v>33.205394258150598</v>
      </c>
      <c r="E39" s="1">
        <f>'1x5'!S33</f>
        <v>43.548275694720019</v>
      </c>
      <c r="F39" s="1">
        <f>'1x6'!S33</f>
        <v>56.404819308000611</v>
      </c>
      <c r="G39" s="1">
        <f>'1x7'!S33</f>
        <v>71.636533352967589</v>
      </c>
      <c r="H39" s="1">
        <f>'1x8'!S33</f>
        <v>89.219994023601728</v>
      </c>
      <c r="I39" s="1">
        <f>'1x9'!S33</f>
        <v>109.16137678133387</v>
      </c>
      <c r="J39" s="1">
        <f>'1x10'!S33</f>
        <v>131.47239189556083</v>
      </c>
      <c r="K39" s="274"/>
      <c r="L39" s="279">
        <f>'2x3'!S21</f>
        <v>-30.053386067525004</v>
      </c>
      <c r="M39" s="279">
        <f>'2x4'!S21</f>
        <v>-79.78711256998686</v>
      </c>
      <c r="N39" s="279">
        <f>'2x5'!S21</f>
        <v>-193.54076904567609</v>
      </c>
      <c r="O39" s="279">
        <f>'2x6'!S21</f>
        <v>-459.98122768025229</v>
      </c>
      <c r="P39" s="279">
        <f>'2x7'!S21</f>
        <v>-1168.386897521691</v>
      </c>
      <c r="Q39" s="279">
        <f>'2x8'!S21</f>
        <v>-4014.6724926865545</v>
      </c>
      <c r="R39" s="279">
        <f>'2x9'!S21</f>
        <v>29743.751762085631</v>
      </c>
      <c r="S39" s="279">
        <f>'2x10'!S21</f>
        <v>6186.6374531134261</v>
      </c>
      <c r="T39" s="274">
        <v>1</v>
      </c>
      <c r="U39" s="279">
        <f>'3x4'!S21</f>
        <v>-25.009764363656707</v>
      </c>
      <c r="V39" s="279">
        <f>'3x5'!S33</f>
        <v>-41.844854196851792</v>
      </c>
      <c r="W39" s="279">
        <f>'3x6'!S33</f>
        <v>-63.58065318522651</v>
      </c>
      <c r="X39" s="279">
        <f>'3x7'!S33</f>
        <v>-90.088642071452128</v>
      </c>
      <c r="Y39" s="279">
        <f>'3x8'!S33</f>
        <v>-121.13470581699865</v>
      </c>
      <c r="Z39" s="279">
        <f>'3x9'!S33</f>
        <v>-156.46422963271641</v>
      </c>
      <c r="AA39" s="279">
        <f>'3x10'!S33</f>
        <v>-195.85206127010065</v>
      </c>
    </row>
    <row r="40" spans="1:27" x14ac:dyDescent="0.2">
      <c r="A40">
        <v>2</v>
      </c>
      <c r="B40" s="1">
        <f>'1x2'!S34</f>
        <v>25.766145927091923</v>
      </c>
      <c r="C40" s="1">
        <f>'1x3'!S34</f>
        <v>49.034084215538776</v>
      </c>
      <c r="D40" s="1">
        <f>'1x4'!S34</f>
        <v>87.723721981456123</v>
      </c>
      <c r="E40" s="1">
        <f>'1x5'!S34</f>
        <v>144.94792561616529</v>
      </c>
      <c r="F40" s="1">
        <f>'1x6'!S34</f>
        <v>224.31823717784337</v>
      </c>
      <c r="G40" s="1">
        <f>'1x7'!S34</f>
        <v>329.5752601439608</v>
      </c>
      <c r="H40" s="1">
        <f>'1x8'!S34</f>
        <v>464.51602374855128</v>
      </c>
      <c r="I40" s="1">
        <f>'1x9'!S34</f>
        <v>632.96480719405292</v>
      </c>
      <c r="J40" s="1">
        <f>'1x10'!S34</f>
        <v>838.75625880717462</v>
      </c>
      <c r="K40">
        <v>2</v>
      </c>
      <c r="L40" s="279">
        <f>'2x3'!S22</f>
        <v>508.01312254749115</v>
      </c>
      <c r="M40" s="279">
        <f>'2x4'!S22</f>
        <v>349.67819454629415</v>
      </c>
      <c r="N40" s="279">
        <f>'2x5'!S22</f>
        <v>439.48682679417868</v>
      </c>
      <c r="O40" s="279">
        <f>'2x6'!S22</f>
        <v>596.51406494332537</v>
      </c>
      <c r="P40" s="279">
        <f>'2x7'!S22</f>
        <v>813.59841025616026</v>
      </c>
      <c r="Q40" s="279">
        <f>'2x8'!S22</f>
        <v>1095.4069108692929</v>
      </c>
      <c r="R40" s="279">
        <f>'2x9'!S22</f>
        <v>1449.2341123401052</v>
      </c>
      <c r="S40" s="279">
        <f>'2x10'!S22</f>
        <v>1883.2315334350715</v>
      </c>
      <c r="T40">
        <v>2</v>
      </c>
      <c r="U40" s="279">
        <f>'3x4'!S22</f>
        <v>-178.95891306593251</v>
      </c>
      <c r="V40" s="279">
        <f>'3x5'!S34</f>
        <v>-584.12486815380976</v>
      </c>
      <c r="W40" s="279">
        <f>'3x6'!S34</f>
        <v>-1214.0157434156702</v>
      </c>
      <c r="X40" s="279">
        <f>'3x7'!S34</f>
        <v>-2296.3444218579862</v>
      </c>
      <c r="Y40" s="279">
        <f>'3x8'!S34</f>
        <v>-4012.5298378069137</v>
      </c>
      <c r="Z40" s="279">
        <f>'3x9'!S34</f>
        <v>-6545.1951747004605</v>
      </c>
      <c r="AA40" s="279">
        <f>'3x10'!S34</f>
        <v>-10051.733497500605</v>
      </c>
    </row>
    <row r="41" spans="1:27" x14ac:dyDescent="0.2">
      <c r="A41">
        <v>3</v>
      </c>
      <c r="B41" s="1">
        <f>'1x2'!S35</f>
        <v>51.308210777535592</v>
      </c>
      <c r="C41" s="1">
        <f>'1x3'!S35</f>
        <v>137.85875073190053</v>
      </c>
      <c r="D41" s="1">
        <f>'1x4'!S35</f>
        <v>320.08025747011698</v>
      </c>
      <c r="E41" s="1">
        <f>'1x5'!S35</f>
        <v>652.1165370086901</v>
      </c>
      <c r="F41" s="1">
        <f>'1x6'!S35</f>
        <v>1201.481586135654</v>
      </c>
      <c r="G41" s="1">
        <f>'1x7'!S35</f>
        <v>2048.8559132515561</v>
      </c>
      <c r="H41" s="1">
        <f>'1x8'!S35</f>
        <v>3288.0834438363349</v>
      </c>
      <c r="I41" s="1">
        <f>'1x9'!S35</f>
        <v>5026.173360390575</v>
      </c>
      <c r="J41" s="1">
        <f>'1x10'!S35</f>
        <v>7383.2860555026155</v>
      </c>
      <c r="K41">
        <v>3</v>
      </c>
      <c r="L41" s="279">
        <f>'2x3'!S23</f>
        <v>547.5255223981635</v>
      </c>
      <c r="M41" s="279">
        <f>'2x4'!S23</f>
        <v>824.19649505640518</v>
      </c>
      <c r="N41" s="279">
        <f>'2x5'!S23</f>
        <v>1414.4558527922495</v>
      </c>
      <c r="O41" s="279">
        <f>'2x6'!S23</f>
        <v>2381.6511062631644</v>
      </c>
      <c r="P41" s="279">
        <f>'2x7'!S23</f>
        <v>3851.1926526852449</v>
      </c>
      <c r="Q41" s="279">
        <f>'2x8'!S23</f>
        <v>5977.7623486051752</v>
      </c>
      <c r="R41" s="279">
        <f>'2x9'!S23</f>
        <v>8941.4577887897667</v>
      </c>
      <c r="S41" s="279">
        <f>'2x10'!S23</f>
        <v>12946.769196760502</v>
      </c>
      <c r="T41">
        <v>3</v>
      </c>
      <c r="U41" s="279">
        <f>'3x4'!S23</f>
        <v>-794.56325800445779</v>
      </c>
      <c r="V41" s="279">
        <f>'3x5'!S35</f>
        <v>-5146.7326729201332</v>
      </c>
      <c r="W41" s="279">
        <f>'3x6'!S35</f>
        <v>-17469.475923474252</v>
      </c>
      <c r="X41" s="279">
        <f>'3x7'!S35</f>
        <v>-68650.769707336745</v>
      </c>
      <c r="Y41" s="279">
        <f>'3x8'!S35</f>
        <v>-1059331.8683390927</v>
      </c>
      <c r="Z41" s="279">
        <f>'3x9'!S35</f>
        <v>324009.59031958692</v>
      </c>
      <c r="AA41" s="279">
        <f>'3x10'!S35</f>
        <v>258268.54022909221</v>
      </c>
    </row>
    <row r="42" spans="1:27" x14ac:dyDescent="0.2">
      <c r="A42">
        <v>4</v>
      </c>
      <c r="B42" s="1">
        <f>'1x2'!S36</f>
        <v>104.46356247184706</v>
      </c>
      <c r="C42" s="1">
        <f>'1x3'!S36</f>
        <v>398.59085326909832</v>
      </c>
      <c r="D42" s="1">
        <f>'1x4'!S36</f>
        <v>1218.2469377541606</v>
      </c>
      <c r="E42" s="1">
        <f>'1x5'!S36</f>
        <v>3094.3342562070343</v>
      </c>
      <c r="F42" s="1">
        <f>'1x6'!S36</f>
        <v>6841.6119677712395</v>
      </c>
      <c r="G42" s="1">
        <f>'1x7'!S36</f>
        <v>13620.497224052806</v>
      </c>
      <c r="H42" s="1">
        <f>'1x8'!S36</f>
        <v>24999.228432877153</v>
      </c>
      <c r="I42" s="1">
        <f>'1x9'!S36</f>
        <v>43016.081529878349</v>
      </c>
      <c r="J42" s="1">
        <f>'1x10'!S36</f>
        <v>70241.536708156505</v>
      </c>
      <c r="K42">
        <v>4</v>
      </c>
      <c r="L42" s="279">
        <f>'2x3'!S24</f>
        <v>1262.1650750606912</v>
      </c>
      <c r="M42" s="279">
        <f>'2x4'!S24</f>
        <v>2676.6359250908504</v>
      </c>
      <c r="N42" s="279">
        <f>'2x5'!S24</f>
        <v>5821.618638598954</v>
      </c>
      <c r="O42" s="279">
        <f>'2x6'!S24</f>
        <v>11844.603870492718</v>
      </c>
      <c r="P42" s="279">
        <f>'2x7'!S24</f>
        <v>22444.515716241574</v>
      </c>
      <c r="Q42" s="279">
        <f>'2x8'!S24</f>
        <v>39936.798915243671</v>
      </c>
      <c r="R42" s="279">
        <f>'2x9'!S24</f>
        <v>67348.696032203108</v>
      </c>
      <c r="S42" s="279">
        <f>'2x10'!S24</f>
        <v>108517.1212822638</v>
      </c>
      <c r="T42">
        <v>4</v>
      </c>
      <c r="U42" s="279">
        <f>'3x4'!S24</f>
        <v>-2849.4051171226606</v>
      </c>
      <c r="V42" s="279">
        <f>'3x5'!S36</f>
        <v>-35973.57144162483</v>
      </c>
      <c r="W42" s="279">
        <f>'3x6'!S36</f>
        <v>-247306.0637883007</v>
      </c>
      <c r="X42" s="279">
        <f>'3x7'!S36</f>
        <v>1100600.9174809491</v>
      </c>
      <c r="Y42" s="279">
        <f>'3x8'!S36</f>
        <v>621209.66417345812</v>
      </c>
      <c r="Z42" s="279">
        <f>'3x9'!S36</f>
        <v>719198.9905978688</v>
      </c>
      <c r="AA42" s="279">
        <f>'3x10'!S36</f>
        <v>953927.43835555809</v>
      </c>
    </row>
    <row r="43" spans="1:27" x14ac:dyDescent="0.2">
      <c r="A43">
        <v>5</v>
      </c>
      <c r="B43" s="1">
        <f>'1x2'!S37</f>
        <v>210.25672972103325</v>
      </c>
      <c r="C43" s="1">
        <f>'1x3'!S37</f>
        <v>1162.8236182764413</v>
      </c>
      <c r="D43" s="1">
        <f>'1x4'!S37</f>
        <v>4730.5588702668974</v>
      </c>
      <c r="E43" s="1">
        <f>'1x5'!S37</f>
        <v>15056.076402434406</v>
      </c>
      <c r="F43" s="1">
        <f>'1x6'!S37</f>
        <v>40043.021821153256</v>
      </c>
      <c r="G43" s="1">
        <f>'1x7'!S37</f>
        <v>93175.554233199699</v>
      </c>
      <c r="H43" s="1">
        <f>'1x8'!S37</f>
        <v>195703.49939680289</v>
      </c>
      <c r="I43" s="1">
        <f>'1x9'!S37</f>
        <v>379192.89955386531</v>
      </c>
      <c r="J43" s="1">
        <f>'1x10'!S37</f>
        <v>688441.6615668576</v>
      </c>
      <c r="K43">
        <v>5</v>
      </c>
      <c r="L43" s="279">
        <f>'2x3'!S25</f>
        <v>3334.0444883848095</v>
      </c>
      <c r="M43" s="279">
        <f>'2x4'!S25</f>
        <v>9526.3118465866064</v>
      </c>
      <c r="N43" s="279">
        <f>'2x5'!S25</f>
        <v>25990.721063784324</v>
      </c>
      <c r="O43" s="279">
        <f>'2x6'!S25</f>
        <v>63640.716409568566</v>
      </c>
      <c r="P43" s="279">
        <f>'2x7'!S25</f>
        <v>141033.66595807034</v>
      </c>
      <c r="Q43" s="279">
        <f>'2x8'!S25</f>
        <v>287348.0118172291</v>
      </c>
      <c r="R43" s="279">
        <f>'2x9'!S25</f>
        <v>545944.74110985734</v>
      </c>
      <c r="S43" s="279">
        <f>'2x10'!S25</f>
        <v>978465.79442555457</v>
      </c>
      <c r="T43">
        <v>5</v>
      </c>
      <c r="U43" s="279">
        <f>'3x4'!S25</f>
        <v>-9246.5054496488865</v>
      </c>
      <c r="V43" s="279">
        <f>'3x5'!S37</f>
        <v>-217169.38611012188</v>
      </c>
      <c r="W43" s="279">
        <f>'3x6'!S37</f>
        <v>-4092275.0055448497</v>
      </c>
      <c r="X43" s="279">
        <f>'3x7'!S37</f>
        <v>2942256.8560097814</v>
      </c>
      <c r="Y43" s="279">
        <f>'3x8'!S37</f>
        <v>3219693.1488659848</v>
      </c>
      <c r="Z43" s="279">
        <f>'3x9'!S37</f>
        <v>4661275.5931646135</v>
      </c>
      <c r="AA43" s="279">
        <f>'3x10'!S37</f>
        <v>7176110.3853121158</v>
      </c>
    </row>
    <row r="44" spans="1:27" x14ac:dyDescent="0.2">
      <c r="A44">
        <v>6</v>
      </c>
      <c r="B44" s="1">
        <f>'1x2'!S38</f>
        <v>419.1269627855587</v>
      </c>
      <c r="C44" s="1">
        <f>'1x3'!S38</f>
        <v>3417.5337812725256</v>
      </c>
      <c r="D44" s="1">
        <f>'1x4'!S38</f>
        <v>18598.742735070577</v>
      </c>
      <c r="E44" s="1">
        <f>'1x5'!S38</f>
        <v>74244.320077956596</v>
      </c>
      <c r="F44" s="1">
        <f>'1x6'!S38</f>
        <v>237485.94548453309</v>
      </c>
      <c r="G44" s="1">
        <f>'1x7'!S38</f>
        <v>645637.14662539109</v>
      </c>
      <c r="H44" s="1">
        <f>'1x8'!S38</f>
        <v>1551268.7615752339</v>
      </c>
      <c r="I44" s="1">
        <f>'1x9'!S38</f>
        <v>3383562.859672938</v>
      </c>
      <c r="J44" s="1">
        <f>'1x10'!S38</f>
        <v>6828479.0963297281</v>
      </c>
      <c r="K44">
        <v>6</v>
      </c>
      <c r="L44" s="279">
        <f>'2x3'!S26</f>
        <v>9295.9086239807548</v>
      </c>
      <c r="M44" s="279">
        <f>'2x4'!S26</f>
        <v>35400.272834019153</v>
      </c>
      <c r="N44" s="279">
        <f>'2x5'!S26</f>
        <v>120754.03850082569</v>
      </c>
      <c r="O44" s="279">
        <f>'2x6'!S26</f>
        <v>355222.12698412093</v>
      </c>
      <c r="P44" s="279">
        <f>'2x7'!S26</f>
        <v>919633.80211062334</v>
      </c>
      <c r="Q44" s="279">
        <f>'2x8'!S26</f>
        <v>2143933.2869729893</v>
      </c>
      <c r="R44" s="279">
        <f>'2x9'!S26</f>
        <v>4586947.9845041586</v>
      </c>
      <c r="S44" s="279">
        <f>'2x10'!S26</f>
        <v>9141158.1171056479</v>
      </c>
      <c r="T44">
        <v>6</v>
      </c>
      <c r="U44" s="279">
        <f>'3x4'!S26</f>
        <v>-28690.443559050829</v>
      </c>
      <c r="V44" s="279">
        <f>'3x5'!S38</f>
        <v>-1199014.2455702254</v>
      </c>
      <c r="W44" s="279">
        <f>'3x6'!S38</f>
        <v>-175241477.62578475</v>
      </c>
      <c r="X44" s="279">
        <f>'3x7'!S38</f>
        <v>15657655.835254513</v>
      </c>
      <c r="Y44" s="279">
        <f>'3x8'!S38</f>
        <v>21744494.343868677</v>
      </c>
      <c r="Z44" s="279">
        <f>'3x9'!S38</f>
        <v>36501111.522811323</v>
      </c>
      <c r="AA44" s="279">
        <f>'3x10'!S38</f>
        <v>63292707.987272769</v>
      </c>
    </row>
    <row r="45" spans="1:27" x14ac:dyDescent="0.2">
      <c r="A45">
        <v>7</v>
      </c>
      <c r="B45" s="1">
        <f>'1x2'!S39</f>
        <v>831.14589191435402</v>
      </c>
      <c r="C45" s="1">
        <f>'1x3'!S39</f>
        <v>10106.968473315181</v>
      </c>
      <c r="D45" s="1">
        <f>'1x4'!S39</f>
        <v>73675.564526261296</v>
      </c>
      <c r="E45" s="1">
        <f>'1x5'!S39</f>
        <v>368663.80802656128</v>
      </c>
      <c r="F45" s="1">
        <f>'1x6'!S39</f>
        <v>1417297.547734746</v>
      </c>
      <c r="G45" s="1">
        <f>'1x7'!S39</f>
        <v>4499347.594811663</v>
      </c>
      <c r="H45" s="1">
        <f>'1x8'!S39</f>
        <v>12361724.272194056</v>
      </c>
      <c r="I45" s="1">
        <f>'1x9'!S39</f>
        <v>30343888.94221314</v>
      </c>
      <c r="J45" s="1">
        <f>'1x10'!S39</f>
        <v>68057955.942206115</v>
      </c>
      <c r="K45">
        <v>7</v>
      </c>
      <c r="L45" s="279">
        <f>'2x3'!S27</f>
        <v>26656.89380148191</v>
      </c>
      <c r="M45" s="279">
        <f>'2x4'!S27</f>
        <v>134798.14291088955</v>
      </c>
      <c r="N45" s="279">
        <f>'2x5'!S27</f>
        <v>573892.10529081337</v>
      </c>
      <c r="O45" s="279">
        <f>'2x6'!S27</f>
        <v>2025989.5510577194</v>
      </c>
      <c r="P45" s="279">
        <f>'2x7'!S27</f>
        <v>6123122.7670657756</v>
      </c>
      <c r="Q45" s="279">
        <f>'2x8'!S27</f>
        <v>16325916.034905521</v>
      </c>
      <c r="R45" s="279">
        <f>'2x9'!S27</f>
        <v>39321055.297717296</v>
      </c>
      <c r="S45" s="279">
        <f>'2x10'!S27</f>
        <v>87114171.876114398</v>
      </c>
      <c r="T45">
        <v>7</v>
      </c>
      <c r="U45" s="279">
        <f>'3x4'!S27</f>
        <v>-87309.803859429958</v>
      </c>
      <c r="V45" s="279">
        <f>'3x5'!S39</f>
        <v>-6300189.6378327468</v>
      </c>
      <c r="W45" s="279">
        <f>'3x6'!S39</f>
        <v>512955281.58155179</v>
      </c>
      <c r="X45" s="279">
        <f>'3x7'!S39</f>
        <v>97496552.179598317</v>
      </c>
      <c r="Y45" s="279">
        <f>'3x8'!S39</f>
        <v>160634042.18554991</v>
      </c>
      <c r="Z45" s="279">
        <f>'3x9'!S39</f>
        <v>306885400.37576872</v>
      </c>
      <c r="AA45" s="279">
        <f>'3x10'!S39</f>
        <v>594385667.11358929</v>
      </c>
    </row>
    <row r="46" spans="1:27" x14ac:dyDescent="0.2">
      <c r="A46">
        <v>8</v>
      </c>
      <c r="B46" s="1">
        <f>'1x2'!S40</f>
        <v>1644.9047430947994</v>
      </c>
      <c r="C46" s="1">
        <f>'1x3'!S40</f>
        <v>30032.166375259145</v>
      </c>
      <c r="D46" s="1">
        <f>'1x4'!S40</f>
        <v>293126.26566445123</v>
      </c>
      <c r="E46" s="1">
        <f>'1x5'!S40</f>
        <v>1837045.0454468951</v>
      </c>
      <c r="F46" s="1">
        <f>'1x6'!S40</f>
        <v>8482877.8522346243</v>
      </c>
      <c r="G46" s="1">
        <f>'1x7'!S40</f>
        <v>31433948.973648757</v>
      </c>
      <c r="H46" s="1">
        <f>'1x8'!S40</f>
        <v>98729828.462573364</v>
      </c>
      <c r="I46" s="1">
        <f>'1x9'!S40</f>
        <v>272691738.57929409</v>
      </c>
      <c r="J46" s="1">
        <f>'1x10'!S40</f>
        <v>679654030.74509406</v>
      </c>
      <c r="K46">
        <v>8</v>
      </c>
      <c r="L46" s="279">
        <f>'2x3'!S28</f>
        <v>77706.80005656289</v>
      </c>
      <c r="M46" s="279">
        <f>'2x4'!S28</f>
        <v>521064.46916433377</v>
      </c>
      <c r="N46" s="279">
        <f>'2x5'!S28</f>
        <v>2765994.2803718974</v>
      </c>
      <c r="O46" s="279">
        <f>'2x6'!S28</f>
        <v>11710190.8450146</v>
      </c>
      <c r="P46" s="279">
        <f>'2x7'!S28</f>
        <v>41297505.811984964</v>
      </c>
      <c r="Q46" s="279">
        <f>'2x8'!S28</f>
        <v>125894983.26896688</v>
      </c>
      <c r="R46" s="279">
        <f>'2x9'!S28</f>
        <v>341275987.91726637</v>
      </c>
      <c r="S46" s="279">
        <f>'2x10'!S28</f>
        <v>840422390.54116213</v>
      </c>
      <c r="T46">
        <v>8</v>
      </c>
      <c r="U46" s="279">
        <f>'3x4'!S28</f>
        <v>-263512.04114366393</v>
      </c>
      <c r="V46" s="279">
        <f>'3x5'!S40</f>
        <v>-32270909.630806517</v>
      </c>
      <c r="W46" s="279">
        <f>'3x6'!S40</f>
        <v>1764367615.6451397</v>
      </c>
      <c r="X46" s="279">
        <f>'3x7'!S40</f>
        <v>645292041.85984564</v>
      </c>
      <c r="Y46" s="279">
        <f>'3x8'!S40</f>
        <v>1234346223.564189</v>
      </c>
      <c r="Z46" s="279">
        <f>'3x9'!S40</f>
        <v>2665939561.1493821</v>
      </c>
      <c r="AA46" s="279">
        <f>'3x10'!S40</f>
        <v>5749636082.1393118</v>
      </c>
    </row>
    <row r="47" spans="1:27" x14ac:dyDescent="0.2">
      <c r="A47">
        <v>9</v>
      </c>
      <c r="B47" s="1">
        <f>'1x2'!S41</f>
        <v>3255.0321582457827</v>
      </c>
      <c r="C47" s="1">
        <f>'1x3'!S41</f>
        <v>89536.665029699259</v>
      </c>
      <c r="D47" s="1">
        <f>'1x4'!S41</f>
        <v>1169083.618509165</v>
      </c>
      <c r="E47" s="1">
        <f>'1x5'!S41</f>
        <v>9169887.8867999427</v>
      </c>
      <c r="F47" s="1">
        <f>'1x6'!S41</f>
        <v>50839910.936614372</v>
      </c>
      <c r="G47" s="1">
        <f>'1x7'!S41</f>
        <v>219849452.5514178</v>
      </c>
      <c r="H47" s="1">
        <f>'1x8'!S41</f>
        <v>789282277.37967587</v>
      </c>
      <c r="I47" s="1">
        <f>'1x9'!S41</f>
        <v>2452718460.9355731</v>
      </c>
      <c r="J47" s="1">
        <f>'1x10'!S41</f>
        <v>6792753200.3787317</v>
      </c>
      <c r="K47">
        <v>9</v>
      </c>
      <c r="L47" s="279">
        <f>'2x3'!S29</f>
        <v>228829.91554818666</v>
      </c>
      <c r="M47" s="279">
        <f>'2x4'!S29</f>
        <v>2033983.6994284736</v>
      </c>
      <c r="N47" s="279">
        <f>'2x5'!S29</f>
        <v>13454871.880111799</v>
      </c>
      <c r="O47" s="279">
        <f>'2x6'!S29</f>
        <v>68282116.52284041</v>
      </c>
      <c r="P47" s="279">
        <f>'2x7'!S29</f>
        <v>280907738.00349176</v>
      </c>
      <c r="Q47" s="279">
        <f>'2x8'!S29</f>
        <v>978916367.6564151</v>
      </c>
      <c r="R47" s="279">
        <f>'2x9'!S29</f>
        <v>2986330663.2837572</v>
      </c>
      <c r="S47" s="279">
        <f>'2x10'!S29</f>
        <v>8173743693.1558294</v>
      </c>
      <c r="T47">
        <v>9</v>
      </c>
      <c r="U47" s="279">
        <f>'3x4'!S29</f>
        <v>-792544.10897247749</v>
      </c>
      <c r="V47" s="279">
        <f>'3x5'!S41</f>
        <v>-163232314.02648455</v>
      </c>
      <c r="W47" s="279">
        <f>'3x6'!S41</f>
        <v>8718888924.2861767</v>
      </c>
      <c r="X47" s="279">
        <f>'3x7'!S41</f>
        <v>4391758180.2749033</v>
      </c>
      <c r="Y47" s="279">
        <f>'3x8'!S41</f>
        <v>9669059454.5358009</v>
      </c>
      <c r="Z47" s="279">
        <f>'3x9'!S41</f>
        <v>23543323799.702759</v>
      </c>
      <c r="AA47" s="279">
        <f>'3x10'!S41</f>
        <v>56467351887.88253</v>
      </c>
    </row>
    <row r="48" spans="1:27" x14ac:dyDescent="0.2">
      <c r="A48">
        <v>10</v>
      </c>
      <c r="B48" s="1">
        <f>'1x2'!S42</f>
        <v>6446.6738622108724</v>
      </c>
      <c r="C48" s="1">
        <f>'1x3'!S42</f>
        <v>267539.27003060753</v>
      </c>
      <c r="D48" s="1">
        <f>'1x4'!S42</f>
        <v>4668944.0383109637</v>
      </c>
      <c r="E48" s="1">
        <f>'1x5'!S42</f>
        <v>45812005.841654286</v>
      </c>
      <c r="F48" s="1">
        <f>'1x6'!S42</f>
        <v>304882117.60624492</v>
      </c>
      <c r="G48" s="1">
        <f>'1x7'!S42</f>
        <v>1538369726.8108625</v>
      </c>
      <c r="H48" s="1">
        <f>'1x8'!S42</f>
        <v>6312368433.1352015</v>
      </c>
      <c r="I48" s="1">
        <f>'1x9'!S42</f>
        <v>22068826172.254658</v>
      </c>
      <c r="J48" s="1">
        <f>'1x10'!S42</f>
        <v>67912016021.52166</v>
      </c>
      <c r="K48">
        <v>10</v>
      </c>
      <c r="L48" s="279">
        <f>'2x3'!S30</f>
        <v>678209.0034111971</v>
      </c>
      <c r="M48" s="279">
        <f>'2x4'!S30</f>
        <v>7992446.8131647632</v>
      </c>
      <c r="N48" s="279">
        <f>'2x5'!S30</f>
        <v>65867733.784960762</v>
      </c>
      <c r="O48" s="279">
        <f>'2x6'!S30</f>
        <v>400586106.43246889</v>
      </c>
      <c r="P48" s="279">
        <f>'2x7'!S30</f>
        <v>1922052062.1256902</v>
      </c>
      <c r="Q48" s="279">
        <f>'2x8'!S30</f>
        <v>7655769059.3853264</v>
      </c>
      <c r="R48" s="279">
        <f>'2x9'!S30</f>
        <v>26280851050.153542</v>
      </c>
      <c r="S48" s="279">
        <f>'2x10'!S30</f>
        <v>79944574550.893326</v>
      </c>
      <c r="T48">
        <v>10</v>
      </c>
      <c r="U48" s="279">
        <f>'3x4'!S30</f>
        <v>-2380175.1529478868</v>
      </c>
      <c r="V48" s="279">
        <f>'3x5'!S42</f>
        <v>-820664573.63425958</v>
      </c>
      <c r="W48" s="279">
        <f>'3x6'!S42</f>
        <v>48052771284.102661</v>
      </c>
      <c r="X48" s="279">
        <f>'3x7'!S42</f>
        <v>30301386799.315823</v>
      </c>
      <c r="Y48" s="279">
        <f>'3x8'!S42</f>
        <v>76491588770.148895</v>
      </c>
      <c r="Z48" s="279">
        <f>'3x9'!S42</f>
        <v>209720412898.77591</v>
      </c>
      <c r="AA48" s="279">
        <f>'3x10'!S42</f>
        <v>559076698937.57458</v>
      </c>
    </row>
    <row r="49" spans="1:27" x14ac:dyDescent="0.2">
      <c r="B49" s="367" t="s">
        <v>156</v>
      </c>
      <c r="C49" s="367"/>
      <c r="D49" s="367"/>
      <c r="E49" s="367"/>
      <c r="F49" s="367"/>
      <c r="G49" s="367"/>
      <c r="H49" s="367"/>
      <c r="I49" s="367"/>
      <c r="J49" s="367"/>
      <c r="L49" s="367" t="s">
        <v>167</v>
      </c>
      <c r="M49" s="367"/>
      <c r="N49" s="367"/>
      <c r="O49" s="367"/>
      <c r="P49" s="367"/>
      <c r="Q49" s="367"/>
      <c r="R49" s="367"/>
      <c r="S49" s="367"/>
      <c r="U49" s="367" t="s">
        <v>156</v>
      </c>
      <c r="V49" s="367"/>
      <c r="W49" s="367"/>
      <c r="X49" s="367"/>
      <c r="Y49" s="367"/>
      <c r="Z49" s="367"/>
      <c r="AA49" s="367"/>
    </row>
    <row r="50" spans="1:27" x14ac:dyDescent="0.2">
      <c r="A50" s="274" t="s">
        <v>57</v>
      </c>
      <c r="B50" s="275" t="s">
        <v>141</v>
      </c>
      <c r="C50" s="275" t="s">
        <v>142</v>
      </c>
      <c r="D50" s="275" t="s">
        <v>143</v>
      </c>
      <c r="E50" s="275" t="s">
        <v>144</v>
      </c>
      <c r="F50" s="275" t="s">
        <v>145</v>
      </c>
      <c r="G50" s="275" t="s">
        <v>146</v>
      </c>
      <c r="H50" s="275" t="s">
        <v>147</v>
      </c>
      <c r="I50" s="275" t="s">
        <v>148</v>
      </c>
      <c r="J50" s="275" t="s">
        <v>149</v>
      </c>
      <c r="K50" s="274" t="s">
        <v>57</v>
      </c>
      <c r="L50" s="275" t="s">
        <v>158</v>
      </c>
      <c r="M50" s="275" t="s">
        <v>159</v>
      </c>
      <c r="N50" s="275" t="s">
        <v>160</v>
      </c>
      <c r="O50" s="275" t="s">
        <v>161</v>
      </c>
      <c r="P50" s="275" t="s">
        <v>162</v>
      </c>
      <c r="Q50" s="275" t="s">
        <v>163</v>
      </c>
      <c r="R50" s="275" t="s">
        <v>164</v>
      </c>
      <c r="S50" s="275" t="s">
        <v>165</v>
      </c>
      <c r="T50" s="274" t="s">
        <v>57</v>
      </c>
      <c r="U50" s="275" t="s">
        <v>169</v>
      </c>
      <c r="V50" s="275" t="s">
        <v>170</v>
      </c>
      <c r="W50" s="275" t="s">
        <v>171</v>
      </c>
      <c r="X50" s="275" t="s">
        <v>172</v>
      </c>
      <c r="Y50" s="275" t="s">
        <v>173</v>
      </c>
      <c r="Z50" s="275" t="s">
        <v>174</v>
      </c>
      <c r="AA50" s="275" t="s">
        <v>175</v>
      </c>
    </row>
    <row r="51" spans="1:27" x14ac:dyDescent="0.2">
      <c r="A51" s="274">
        <v>1</v>
      </c>
      <c r="B51" s="1">
        <f>'1x2'!S45</f>
        <v>29.070336462975007</v>
      </c>
      <c r="C51" s="1">
        <f>'1x3'!S45</f>
        <v>26.061805505130753</v>
      </c>
      <c r="D51" s="1">
        <f>'1x4'!S45</f>
        <v>33.205394258150598</v>
      </c>
      <c r="E51" s="1">
        <f>'1x5'!S45</f>
        <v>43.548275694720019</v>
      </c>
      <c r="F51" s="1">
        <f>'1x6'!S45</f>
        <v>56.404819308000611</v>
      </c>
      <c r="G51" s="1">
        <f>'1x7'!S45</f>
        <v>71.636533352967589</v>
      </c>
      <c r="H51" s="1">
        <f>'1x8'!S45</f>
        <v>89.219994023601728</v>
      </c>
      <c r="I51" s="1">
        <f>'1x9'!S45</f>
        <v>109.16137678133387</v>
      </c>
      <c r="J51" s="1">
        <f>'1x10'!S45</f>
        <v>131.47239189556083</v>
      </c>
      <c r="K51" s="274">
        <v>1</v>
      </c>
      <c r="L51" s="1">
        <f>'2x3'!S45</f>
        <v>-30.053386067525004</v>
      </c>
      <c r="M51" s="1">
        <f>'2x4'!S45</f>
        <v>-79.78711256998686</v>
      </c>
      <c r="N51" s="1">
        <f>'2x5'!S45</f>
        <v>-193.54076904567609</v>
      </c>
      <c r="O51" s="1">
        <f>'2x6'!S45</f>
        <v>-459.98122768025229</v>
      </c>
      <c r="P51" s="1">
        <f>'2x7'!S45</f>
        <v>-1168.386897521691</v>
      </c>
      <c r="Q51" s="1">
        <f>'2x8'!S45</f>
        <v>-4014.6724926865545</v>
      </c>
      <c r="R51" s="1">
        <f>'2x9'!S45</f>
        <v>29743.751762085631</v>
      </c>
      <c r="S51" s="1">
        <f>'2x10'!S45</f>
        <v>6186.6374531134261</v>
      </c>
      <c r="T51" s="274">
        <v>1</v>
      </c>
      <c r="U51" s="279">
        <f>'3x4'!S45</f>
        <v>-25.009764363656707</v>
      </c>
      <c r="V51" s="279">
        <f>'3x5'!S45</f>
        <v>-41.844854196851792</v>
      </c>
      <c r="W51" s="279">
        <f>'3x6'!S45</f>
        <v>-63.58065318522651</v>
      </c>
      <c r="X51" s="279">
        <f>'3x7'!S45</f>
        <v>-90.088642071452128</v>
      </c>
      <c r="Y51" s="279">
        <f>'3x8'!S45</f>
        <v>-121.13470581699865</v>
      </c>
      <c r="Z51" s="279">
        <f>'3x9'!S45</f>
        <v>-156.46422963271641</v>
      </c>
      <c r="AA51" s="279">
        <f>'3x10'!S21</f>
        <v>-195.85206127010065</v>
      </c>
    </row>
    <row r="52" spans="1:27" x14ac:dyDescent="0.2">
      <c r="A52">
        <v>2</v>
      </c>
      <c r="B52" s="1">
        <f>'1x2'!S46</f>
        <v>34.354861236122559</v>
      </c>
      <c r="C52" s="1">
        <f>'1x3'!S46</f>
        <v>73.551126323308168</v>
      </c>
      <c r="D52" s="1">
        <f>'1x4'!S46</f>
        <v>140.3579551703298</v>
      </c>
      <c r="E52" s="1">
        <f>'1x5'!S46</f>
        <v>241.57987602694215</v>
      </c>
      <c r="F52" s="1">
        <f>'1x6'!S46</f>
        <v>384.5455494477315</v>
      </c>
      <c r="G52" s="1">
        <f>'1x7'!S46</f>
        <v>576.75670525193141</v>
      </c>
      <c r="H52" s="1">
        <f>'1x8'!S46</f>
        <v>825.80626444186896</v>
      </c>
      <c r="I52" s="1">
        <f>'1x9'!S46</f>
        <v>1139.3366529492953</v>
      </c>
      <c r="J52" s="1">
        <f>'1x10'!S46</f>
        <v>1525.0113796494084</v>
      </c>
      <c r="K52">
        <v>2</v>
      </c>
      <c r="L52" s="1">
        <f>'2x3'!S46</f>
        <v>846.6885375791519</v>
      </c>
      <c r="M52" s="1">
        <f>'2x4'!S46</f>
        <v>599.44833350793283</v>
      </c>
      <c r="N52" s="1">
        <f>'2x5'!S46</f>
        <v>769.10194688981267</v>
      </c>
      <c r="O52" s="1">
        <f>'2x6'!S46</f>
        <v>1060.4694487881341</v>
      </c>
      <c r="P52" s="1">
        <f>'2x7'!S46</f>
        <v>1464.4771384610883</v>
      </c>
      <c r="Q52" s="1">
        <f>'2x8'!S46</f>
        <v>1991.6489288532596</v>
      </c>
      <c r="R52" s="1">
        <f>'2x9'!S46</f>
        <v>2656.9292059568593</v>
      </c>
      <c r="S52" s="1">
        <f>'2x10'!S46</f>
        <v>3476.7351386493624</v>
      </c>
      <c r="T52">
        <v>2</v>
      </c>
      <c r="U52" s="279">
        <f>'3x4'!S46</f>
        <v>-399.5361780076633</v>
      </c>
      <c r="V52" s="279">
        <f>'3x5'!S46</f>
        <v>-973.54144692301622</v>
      </c>
      <c r="W52" s="279">
        <f>'3x6'!S46</f>
        <v>-2081.1698458554347</v>
      </c>
      <c r="X52" s="279">
        <f>'3x7'!S46</f>
        <v>-4018.6027382514758</v>
      </c>
      <c r="Y52" s="279">
        <f>'3x8'!S46</f>
        <v>-7133.3863783234019</v>
      </c>
      <c r="Z52" s="279">
        <f>'3x9'!S46</f>
        <v>-11781.35131446083</v>
      </c>
      <c r="AA52" s="279">
        <f>'3x10'!S22</f>
        <v>-9899.4345051142318</v>
      </c>
    </row>
    <row r="53" spans="1:27" x14ac:dyDescent="0.2">
      <c r="A53">
        <v>3</v>
      </c>
      <c r="B53" s="1">
        <f>'1x2'!S47</f>
        <v>107.28080435302897</v>
      </c>
      <c r="C53" s="1">
        <f>'1x3'!S47</f>
        <v>359.9645157999625</v>
      </c>
      <c r="D53" s="1">
        <f>'1x4'!S47</f>
        <v>936.53112370886083</v>
      </c>
      <c r="E53" s="1">
        <f>'1x5'!S47</f>
        <v>2042.1544185272139</v>
      </c>
      <c r="F53" s="1">
        <f>'1x6'!S47</f>
        <v>3934.2632330324359</v>
      </c>
      <c r="G53" s="1">
        <f>'1x7'!S47</f>
        <v>6922.6495250772268</v>
      </c>
      <c r="H53" s="1">
        <f>'1x8'!S47</f>
        <v>11369.637932301544</v>
      </c>
      <c r="I53" s="1">
        <f>'1x9'!S47</f>
        <v>17690.159180198199</v>
      </c>
      <c r="J53" s="1">
        <f>'1x10'!S47</f>
        <v>26351.728279395513</v>
      </c>
      <c r="K53">
        <v>3</v>
      </c>
      <c r="L53" s="1">
        <f>'2x3'!S47</f>
        <v>1660.2386808202377</v>
      </c>
      <c r="M53" s="1">
        <f>'2x4'!S47</f>
        <v>2646.8098824982117</v>
      </c>
      <c r="N53" s="1">
        <f>'2x5'!S47</f>
        <v>4719.2592471666649</v>
      </c>
      <c r="O53" s="1">
        <f>'2x6'!S47</f>
        <v>8164.6631766030478</v>
      </c>
      <c r="P53" s="1">
        <f>'2x7'!S47</f>
        <v>13471.622926255837</v>
      </c>
      <c r="Q53" s="1">
        <f>'2x8'!S47</f>
        <v>21238.73472688744</v>
      </c>
      <c r="R53" s="1">
        <f>'2x9'!S47</f>
        <v>32164.161785325912</v>
      </c>
      <c r="S53" s="1">
        <f>'2x10'!S47</f>
        <v>47042.85060282654</v>
      </c>
      <c r="T53">
        <v>3</v>
      </c>
      <c r="U53" s="279">
        <f>'3x4'!S47</f>
        <v>-4328.9998194725631</v>
      </c>
      <c r="V53" s="279">
        <f>'3x5'!S47</f>
        <v>-16117.39968624989</v>
      </c>
      <c r="W53" s="279">
        <f>'3x6'!S47</f>
        <v>-57203.97018078823</v>
      </c>
      <c r="X53" s="279">
        <f>'3x7'!S47</f>
        <v>-231956.38855660748</v>
      </c>
      <c r="Y53" s="279">
        <f>'3x8'!S47</f>
        <v>-3662990.918232766</v>
      </c>
      <c r="Z53" s="279">
        <f>'3x9'!S47</f>
        <v>1140386.6953405067</v>
      </c>
      <c r="AA53" s="279">
        <f>'3x10'!S23</f>
        <v>253687.28009199077</v>
      </c>
    </row>
    <row r="54" spans="1:27" x14ac:dyDescent="0.2">
      <c r="A54">
        <v>4</v>
      </c>
      <c r="B54" s="1">
        <f>'1x2'!S48</f>
        <v>377.67595662898549</v>
      </c>
      <c r="C54" s="1">
        <f>'1x3'!S48</f>
        <v>1955.1568578458357</v>
      </c>
      <c r="D54" s="1">
        <f>'1x4'!S48</f>
        <v>6904.8496079137612</v>
      </c>
      <c r="E54" s="1">
        <f>'1x5'!S48</f>
        <v>19028.560658015424</v>
      </c>
      <c r="F54" s="1">
        <f>'1x6'!S48</f>
        <v>44297.07287888752</v>
      </c>
      <c r="G54" s="1">
        <f>'1x7'!S48</f>
        <v>91346.478432341275</v>
      </c>
      <c r="H54" s="1">
        <f>'1x8'!S48</f>
        <v>171975.73012756708</v>
      </c>
      <c r="I54" s="1">
        <f>'1x9'!S48</f>
        <v>301644.43983001681</v>
      </c>
      <c r="J54" s="1">
        <f>'1x10'!S48</f>
        <v>499970.29568798182</v>
      </c>
      <c r="K54">
        <v>4</v>
      </c>
      <c r="L54" s="1">
        <f>'2x3'!S48</f>
        <v>7328.2849766278905</v>
      </c>
      <c r="M54" s="1">
        <f>'2x4'!S48</f>
        <v>16789.807166478971</v>
      </c>
      <c r="N54" s="1">
        <f>'2x5'!S48</f>
        <v>38300.685859458928</v>
      </c>
      <c r="O54" s="1">
        <f>'2x6'!S48</f>
        <v>80472.284516645392</v>
      </c>
      <c r="P54" s="1">
        <f>'2x7'!S48</f>
        <v>156050.55115057615</v>
      </c>
      <c r="Q54" s="1">
        <f>'2x8'!S48</f>
        <v>282536.11521324801</v>
      </c>
      <c r="R54" s="1">
        <f>'2x9'!S48</f>
        <v>482959.47130280163</v>
      </c>
      <c r="S54" s="1">
        <f>'2x10'!S48</f>
        <v>786667.70888728718</v>
      </c>
      <c r="T54">
        <v>4</v>
      </c>
      <c r="U54" s="279">
        <f>'3x4'!S48</f>
        <v>-39841.461857917726</v>
      </c>
      <c r="V54" s="279">
        <f>'3x5'!S48</f>
        <v>-221218.92128793002</v>
      </c>
      <c r="W54" s="279">
        <f>'3x6'!S48</f>
        <v>-1601221.2885832374</v>
      </c>
      <c r="X54" s="279">
        <f>'3x7'!S48</f>
        <v>7381229.6509814076</v>
      </c>
      <c r="Y54" s="279">
        <f>'3x8'!S48</f>
        <v>4273451.3125226013</v>
      </c>
      <c r="Z54" s="279">
        <f>'3x9'!S48</f>
        <v>5043285.4162814114</v>
      </c>
      <c r="AA54" s="279">
        <f>'3x10'!S24</f>
        <v>936639.52397251199</v>
      </c>
    </row>
    <row r="55" spans="1:27" x14ac:dyDescent="0.2">
      <c r="A55">
        <v>5</v>
      </c>
      <c r="B55" s="1">
        <f>'1x2'!S49</f>
        <v>1395.5636738793728</v>
      </c>
      <c r="C55" s="1">
        <f>'1x3'!S49</f>
        <v>11108.538476272148</v>
      </c>
      <c r="D55" s="1">
        <f>'1x4'!S49</f>
        <v>53067.889772455455</v>
      </c>
      <c r="E55" s="1">
        <f>'1x5'!S49</f>
        <v>184281.2277892493</v>
      </c>
      <c r="F55" s="1">
        <f>'1x6'!S49</f>
        <v>517222.10958526313</v>
      </c>
      <c r="G55" s="1">
        <f>'1x7'!S49</f>
        <v>1247973.4662868795</v>
      </c>
      <c r="H55" s="1">
        <f>'1x8'!S49</f>
        <v>2690216.7856572415</v>
      </c>
      <c r="I55" s="1">
        <f>'1x9'!S49</f>
        <v>5315066.9059542604</v>
      </c>
      <c r="J55" s="1">
        <f>'1x10'!S49</f>
        <v>9796748.6719203703</v>
      </c>
      <c r="K55">
        <v>5</v>
      </c>
      <c r="L55" s="1">
        <f>'2x3'!S49</f>
        <v>38008.10716758683</v>
      </c>
      <c r="M55" s="1">
        <f>'2x4'!S49</f>
        <v>118595.81465454143</v>
      </c>
      <c r="N55" s="1">
        <f>'2x5'!S49</f>
        <v>340715.41735794308</v>
      </c>
      <c r="O55" s="1">
        <f>'2x6'!S49</f>
        <v>863011.10462374904</v>
      </c>
      <c r="P55" s="1">
        <f>'2x7'!S49</f>
        <v>1958825.7857991632</v>
      </c>
      <c r="Q55" s="1">
        <f>'2x8'!S49</f>
        <v>4062746.6518583191</v>
      </c>
      <c r="R55" s="1">
        <f>'2x9'!S49</f>
        <v>7826203.1991972448</v>
      </c>
      <c r="S55" s="1">
        <f>'2x10'!S49</f>
        <v>14181629.755477155</v>
      </c>
      <c r="T55">
        <v>5</v>
      </c>
      <c r="U55" s="279">
        <f>'3x4'!S49</f>
        <v>-339515.11122850946</v>
      </c>
      <c r="V55" s="279">
        <f>'3x5'!S49</f>
        <v>-2658079.0400439221</v>
      </c>
      <c r="W55" s="279">
        <f>'3x6'!S49</f>
        <v>-52858526.032938443</v>
      </c>
      <c r="X55" s="279">
        <f>'3x7'!S49</f>
        <v>39407959.711309463</v>
      </c>
      <c r="Y55" s="279">
        <f>'3x8'!S49</f>
        <v>44259160.313647375</v>
      </c>
      <c r="Z55" s="279">
        <f>'3x9'!S49</f>
        <v>65336116.984021217</v>
      </c>
      <c r="AA55" s="279">
        <f>'3x10'!S25</f>
        <v>7045688.4962075818</v>
      </c>
    </row>
    <row r="56" spans="1:27" x14ac:dyDescent="0.2">
      <c r="A56">
        <v>6</v>
      </c>
      <c r="B56" s="1">
        <f>'1x2'!S50</f>
        <v>5294.9706298575584</v>
      </c>
      <c r="C56" s="1">
        <f>'1x3'!S50</f>
        <v>64596.42350661246</v>
      </c>
      <c r="D56" s="1">
        <f>'1x4'!S50</f>
        <v>415948.91178195464</v>
      </c>
      <c r="E56" s="1">
        <f>'1x5'!S50</f>
        <v>1815281.9918917064</v>
      </c>
      <c r="F56" s="1">
        <f>'1x6'!S50</f>
        <v>6131859.7190437894</v>
      </c>
      <c r="G56" s="1">
        <f>'1x7'!S50</f>
        <v>17290649.660541821</v>
      </c>
      <c r="H56" s="1">
        <f>'1x8'!S50</f>
        <v>42642891.432846978</v>
      </c>
      <c r="I56" s="1">
        <f>'1x9'!S50</f>
        <v>94845985.101034611</v>
      </c>
      <c r="J56" s="1">
        <f>'1x10'!S50</f>
        <v>194333791.7203142</v>
      </c>
      <c r="K56">
        <v>6</v>
      </c>
      <c r="L56" s="1">
        <f>'2x3'!S50</f>
        <v>210382.70818572541</v>
      </c>
      <c r="M56" s="1">
        <f>'2x4'!S50</f>
        <v>879349.00598404475</v>
      </c>
      <c r="N56" s="1">
        <f>'2x5'!S50</f>
        <v>3163061.3934870586</v>
      </c>
      <c r="O56" s="1">
        <f>'2x6'!S50</f>
        <v>9630126.0200889539</v>
      </c>
      <c r="P56" s="1">
        <f>'2x7'!S50</f>
        <v>25540404.773839194</v>
      </c>
      <c r="Q56" s="1">
        <f>'2x8'!S50</f>
        <v>60618276.133355528</v>
      </c>
      <c r="R56" s="1">
        <f>'2x9'!S50</f>
        <v>131500547.97280264</v>
      </c>
      <c r="S56" s="1">
        <f>'2x10'!S50</f>
        <v>264968410.25892395</v>
      </c>
      <c r="T56">
        <v>6</v>
      </c>
      <c r="U56" s="279">
        <f>'3x4'!S50</f>
        <v>-2792692.1963162851</v>
      </c>
      <c r="V56" s="279">
        <f>'3x5'!S50</f>
        <v>-29316033.411308393</v>
      </c>
      <c r="W56" s="279">
        <f>'3x6'!S50</f>
        <v>-4524714738.6633301</v>
      </c>
      <c r="X56" s="279">
        <f>'3x7'!S50</f>
        <v>419323830.68071294</v>
      </c>
      <c r="Y56" s="279">
        <f>'3x8'!S50</f>
        <v>597735308.37182212</v>
      </c>
      <c r="Z56" s="279">
        <f>'3x9'!S50</f>
        <v>1023177054.2600199</v>
      </c>
      <c r="AA56" s="279">
        <f>'3x10'!S26</f>
        <v>62141987.406509534</v>
      </c>
    </row>
    <row r="57" spans="1:27" x14ac:dyDescent="0.2">
      <c r="A57">
        <v>7</v>
      </c>
      <c r="B57" s="1">
        <f>'1x2'!S51</f>
        <v>20415.231280341643</v>
      </c>
      <c r="C57" s="1">
        <f>'1x3'!S51</f>
        <v>380463.1133429801</v>
      </c>
      <c r="D57" s="1">
        <f>'1x4'!S51</f>
        <v>3292290.6291349307</v>
      </c>
      <c r="E57" s="1">
        <f>'1x5'!S51</f>
        <v>18022649.453384344</v>
      </c>
      <c r="F57" s="1">
        <f>'1x6'!S51</f>
        <v>73181404.135094658</v>
      </c>
      <c r="G57" s="1">
        <f>'1x7'!S51</f>
        <v>240981462.91497773</v>
      </c>
      <c r="H57" s="1">
        <f>'1x8'!S51</f>
        <v>679610214.1920532</v>
      </c>
      <c r="I57" s="1">
        <f>'1x9'!S51</f>
        <v>1701145596.1357481</v>
      </c>
      <c r="J57" s="1">
        <f>'1x10'!S51</f>
        <v>3873743060.3046231</v>
      </c>
      <c r="K57">
        <v>7</v>
      </c>
      <c r="L57" s="1">
        <f>'2x3'!S51</f>
        <v>1203125.5439826041</v>
      </c>
      <c r="M57" s="1">
        <f>'2x4'!S51</f>
        <v>6692211.999951507</v>
      </c>
      <c r="N57" s="1">
        <f>'2x5'!S51</f>
        <v>30058874.120501909</v>
      </c>
      <c r="O57" s="1">
        <f>'2x6'!S51</f>
        <v>109840863.93140988</v>
      </c>
      <c r="P57" s="1">
        <f>'2x7'!S51</f>
        <v>340095293.52497822</v>
      </c>
      <c r="Q57" s="1">
        <f>'2x8'!S51</f>
        <v>923193219.99445748</v>
      </c>
      <c r="R57" s="1">
        <f>'2x9'!S51</f>
        <v>2254525462.0801687</v>
      </c>
      <c r="S57" s="1">
        <f>'2x10'!S51</f>
        <v>5050211964.6327019</v>
      </c>
      <c r="T57">
        <v>7</v>
      </c>
      <c r="U57" s="279">
        <f>'3x4'!S51</f>
        <v>-22612801.225419004</v>
      </c>
      <c r="V57" s="279">
        <f>'3x5'!S51</f>
        <v>-307993643.152309</v>
      </c>
      <c r="W57" s="279">
        <f>'3x6'!S51</f>
        <v>26486172804.467716</v>
      </c>
      <c r="X57" s="279">
        <f>'3x7'!S51</f>
        <v>5221837450.5003147</v>
      </c>
      <c r="Y57" s="279">
        <f>'3x8'!S51</f>
        <v>8831173824.3358173</v>
      </c>
      <c r="Z57" s="279">
        <f>'3x9'!S51</f>
        <v>17204674996.069191</v>
      </c>
      <c r="AA57" s="279">
        <f>'3x10'!S27</f>
        <v>583578716.26005483</v>
      </c>
    </row>
    <row r="58" spans="1:27" x14ac:dyDescent="0.2">
      <c r="A58">
        <v>8</v>
      </c>
      <c r="B58" s="1">
        <f>'1x2'!S52</f>
        <v>79529.942870985877</v>
      </c>
      <c r="C58" s="1">
        <f>'1x3'!S52</f>
        <v>2257388.3120566914</v>
      </c>
      <c r="D58" s="1">
        <f>'1x4'!S52</f>
        <v>26190330.611736558</v>
      </c>
      <c r="E58" s="1">
        <f>'1x5'!S52</f>
        <v>179601382.33641893</v>
      </c>
      <c r="F58" s="1">
        <f>'1x6'!S52</f>
        <v>876000502.06615996</v>
      </c>
      <c r="G58" s="1">
        <f>'1x7'!S52</f>
        <v>3367130536.7668667</v>
      </c>
      <c r="H58" s="1">
        <f>'1x8'!S52</f>
        <v>10855703275.547094</v>
      </c>
      <c r="I58" s="1">
        <f>'1x9'!S52</f>
        <v>30575365110.51096</v>
      </c>
      <c r="J58" s="1">
        <f>'1x10'!S52</f>
        <v>77369452405.752533</v>
      </c>
      <c r="K58">
        <v>8</v>
      </c>
      <c r="L58" s="1">
        <f>'2x3'!S52</f>
        <v>7006781.202904053</v>
      </c>
      <c r="M58" s="1">
        <f>'2x4'!S52</f>
        <v>51727553.827358745</v>
      </c>
      <c r="N58" s="1">
        <f>'2x5'!S52</f>
        <v>289735918.17597723</v>
      </c>
      <c r="O58" s="1">
        <f>'2x6'!S52</f>
        <v>1269737606.9874327</v>
      </c>
      <c r="P58" s="1">
        <f>'2x7'!S52</f>
        <v>4587530714.1496801</v>
      </c>
      <c r="Q58" s="1">
        <f>'2x8'!S52</f>
        <v>14238112699.350445</v>
      </c>
      <c r="R58" s="1">
        <f>'2x9'!S52</f>
        <v>39134990048.559792</v>
      </c>
      <c r="S58" s="1">
        <f>'2x10'!S52</f>
        <v>97442443298.793915</v>
      </c>
      <c r="T58">
        <v>8</v>
      </c>
      <c r="U58" s="279">
        <f>'3x4'!S52</f>
        <v>-181846201.81881905</v>
      </c>
      <c r="V58" s="279">
        <f>'3x5'!S52</f>
        <v>-3155012444.2030468</v>
      </c>
      <c r="W58" s="279">
        <f>'3x6'!S52</f>
        <v>182200774790.9827</v>
      </c>
      <c r="X58" s="279">
        <f>'3x7'!S52</f>
        <v>69122162827.851639</v>
      </c>
      <c r="Y58" s="279">
        <f>'3x8'!S52</f>
        <v>135720851043.35542</v>
      </c>
      <c r="Z58" s="279">
        <f>'3x9'!S52</f>
        <v>298916556362.76422</v>
      </c>
      <c r="AA58" s="279">
        <f>'3x10'!S28</f>
        <v>5645097312.023406</v>
      </c>
    </row>
    <row r="59" spans="1:27" x14ac:dyDescent="0.2">
      <c r="A59">
        <v>9</v>
      </c>
      <c r="B59" s="1">
        <f>'1x2'!S53</f>
        <v>311972.17888640158</v>
      </c>
      <c r="C59" s="1">
        <f>'1x3'!S53</f>
        <v>13451990.495630955</v>
      </c>
      <c r="D59" s="1">
        <f>'1x4'!S53</f>
        <v>208895164.35273027</v>
      </c>
      <c r="E59" s="1">
        <f>'1x5'!S53</f>
        <v>1792988524.5088832</v>
      </c>
      <c r="F59" s="1">
        <f>'1x6'!S53</f>
        <v>10500121104.679403</v>
      </c>
      <c r="G59" s="1">
        <f>'1x7'!S53</f>
        <v>47099456692.361412</v>
      </c>
      <c r="H59" s="1">
        <f>'1x8'!S53</f>
        <v>173568835904.38013</v>
      </c>
      <c r="I59" s="1">
        <f>'1x9'!S53</f>
        <v>550018497106.52991</v>
      </c>
      <c r="J59" s="1">
        <f>'1x10'!S53</f>
        <v>1546526713577.9148</v>
      </c>
      <c r="K59">
        <v>9</v>
      </c>
      <c r="L59" s="1">
        <f>'2x3'!S53</f>
        <v>41250262.226405419</v>
      </c>
      <c r="M59" s="1">
        <f>'2x4'!S53</f>
        <v>403816483.57822204</v>
      </c>
      <c r="N59" s="1">
        <f>'2x5'!S53</f>
        <v>2818745180.8429899</v>
      </c>
      <c r="O59" s="1">
        <f>'2x6'!S53</f>
        <v>14807635644.47472</v>
      </c>
      <c r="P59" s="1">
        <f>'2x7'!S53</f>
        <v>62409177684.696892</v>
      </c>
      <c r="Q59" s="1">
        <f>'2x8'!S53</f>
        <v>221421322755.44724</v>
      </c>
      <c r="R59" s="1">
        <f>'2x9'!S53</f>
        <v>684900249434.13794</v>
      </c>
      <c r="S59" s="1">
        <f>'2x10'!S53</f>
        <v>1895402873500.1475</v>
      </c>
      <c r="T59">
        <v>9</v>
      </c>
      <c r="U59" s="279">
        <f>'3x4'!S53</f>
        <v>-1458026961.9914362</v>
      </c>
      <c r="V59" s="279">
        <f>'3x5'!S53</f>
        <v>-31916820520.763512</v>
      </c>
      <c r="W59" s="279">
        <f>'3x6'!S53</f>
        <v>1800738591328.2527</v>
      </c>
      <c r="X59" s="279">
        <f>'3x7'!S53</f>
        <v>940868498031.87207</v>
      </c>
      <c r="Y59" s="279">
        <f>'3x8'!S53</f>
        <v>2126295549655.0654</v>
      </c>
      <c r="Z59" s="279">
        <f>'3x9'!S53</f>
        <v>5279555635694.7295</v>
      </c>
      <c r="AA59" s="279">
        <f>'3x10'!S29</f>
        <v>55440672837.49321</v>
      </c>
    </row>
    <row r="60" spans="1:27" x14ac:dyDescent="0.2">
      <c r="A60">
        <v>10</v>
      </c>
      <c r="B60" s="1">
        <f>'1x2'!S54</f>
        <v>1229680.8748173942</v>
      </c>
      <c r="C60" s="1">
        <f>'1x3'!S54</f>
        <v>80372090.130985826</v>
      </c>
      <c r="D60" s="1">
        <f>'1x4'!S54</f>
        <v>1668484488.214165</v>
      </c>
      <c r="E60" s="1">
        <f>'1x5'!S54</f>
        <v>17915187861.989433</v>
      </c>
      <c r="F60" s="1">
        <f>'1x6'!S54</f>
        <v>125936371505.05875</v>
      </c>
      <c r="G60" s="1">
        <f>'1x7'!S54</f>
        <v>659145286158.80811</v>
      </c>
      <c r="H60" s="1">
        <f>'1x8'!S54</f>
        <v>2776270061431.6953</v>
      </c>
      <c r="I60" s="1">
        <f>'1x9'!S54</f>
        <v>9897803233753.8711</v>
      </c>
      <c r="J60" s="1">
        <f>'1x10'!S54</f>
        <v>30923468880099.031</v>
      </c>
      <c r="K60">
        <v>10</v>
      </c>
      <c r="L60" s="1">
        <f>'2x3'!S54</f>
        <v>244479757.8726413</v>
      </c>
      <c r="M60" s="1">
        <f>'2x4'!S54</f>
        <v>3173508857.9793019</v>
      </c>
      <c r="N60" s="1">
        <f>'2x5'!S54</f>
        <v>27598018566.616234</v>
      </c>
      <c r="O60" s="1">
        <f>'2x6'!S54</f>
        <v>173741829616.73453</v>
      </c>
      <c r="P60" s="1">
        <f>'2x7'!S54</f>
        <v>854043195849.35535</v>
      </c>
      <c r="Q60" s="1">
        <f>'2x8'!S54</f>
        <v>3463320235426.0654</v>
      </c>
      <c r="R60" s="1">
        <f>'2x9'!S54</f>
        <v>12054767647605.785</v>
      </c>
      <c r="S60" s="1">
        <f>'2x10'!S54</f>
        <v>37076566373889.609</v>
      </c>
      <c r="T60">
        <v>10</v>
      </c>
      <c r="U60" s="279">
        <f>'3x4'!S54</f>
        <v>-11675418240.605806</v>
      </c>
      <c r="V60" s="279">
        <f>'3x5'!S54</f>
        <v>-320928100357.68378</v>
      </c>
      <c r="W60" s="279">
        <f>'3x6'!S54</f>
        <v>19848955733435.301</v>
      </c>
      <c r="X60" s="279">
        <f>'3x7'!S54</f>
        <v>12983235385325.139</v>
      </c>
      <c r="Y60" s="279">
        <f>'3x8'!S54</f>
        <v>33642096481436.605</v>
      </c>
      <c r="Z60" s="279">
        <f>'3x9'!S54</f>
        <v>94058984595356.5</v>
      </c>
      <c r="AA60" s="279">
        <f>'3x10'!S30</f>
        <v>548911668130.13727</v>
      </c>
    </row>
    <row r="61" spans="1:27" x14ac:dyDescent="0.2">
      <c r="B61" s="367" t="s">
        <v>157</v>
      </c>
      <c r="C61" s="367"/>
      <c r="D61" s="367"/>
      <c r="E61" s="367"/>
      <c r="F61" s="367"/>
      <c r="G61" s="367"/>
      <c r="H61" s="367"/>
      <c r="I61" s="367"/>
      <c r="J61" s="367"/>
      <c r="L61" s="367" t="s">
        <v>157</v>
      </c>
      <c r="M61" s="367"/>
      <c r="N61" s="367"/>
      <c r="O61" s="367"/>
      <c r="P61" s="367"/>
      <c r="Q61" s="367"/>
      <c r="R61" s="367"/>
      <c r="S61" s="367"/>
      <c r="U61" s="367" t="s">
        <v>176</v>
      </c>
      <c r="V61" s="367"/>
      <c r="W61" s="367"/>
      <c r="X61" s="367"/>
      <c r="Y61" s="367"/>
      <c r="Z61" s="367"/>
      <c r="AA61" s="367"/>
    </row>
    <row r="62" spans="1:27" x14ac:dyDescent="0.2">
      <c r="A62" s="274" t="s">
        <v>57</v>
      </c>
      <c r="B62" s="275" t="s">
        <v>141</v>
      </c>
      <c r="C62" s="275" t="s">
        <v>142</v>
      </c>
      <c r="D62" s="275" t="s">
        <v>143</v>
      </c>
      <c r="E62" s="275" t="s">
        <v>144</v>
      </c>
      <c r="F62" s="275" t="s">
        <v>145</v>
      </c>
      <c r="G62" s="275" t="s">
        <v>146</v>
      </c>
      <c r="H62" s="275" t="s">
        <v>147</v>
      </c>
      <c r="I62" s="275" t="s">
        <v>148</v>
      </c>
      <c r="J62" s="275" t="s">
        <v>149</v>
      </c>
      <c r="K62" s="274" t="s">
        <v>57</v>
      </c>
      <c r="L62" s="275" t="s">
        <v>158</v>
      </c>
      <c r="M62" s="275" t="s">
        <v>159</v>
      </c>
      <c r="N62" s="275" t="s">
        <v>160</v>
      </c>
      <c r="O62" s="275" t="s">
        <v>161</v>
      </c>
      <c r="P62" s="275" t="s">
        <v>162</v>
      </c>
      <c r="Q62" s="275" t="s">
        <v>163</v>
      </c>
      <c r="R62" s="275" t="s">
        <v>164</v>
      </c>
      <c r="S62" s="275" t="s">
        <v>165</v>
      </c>
      <c r="T62" s="274" t="s">
        <v>57</v>
      </c>
      <c r="U62" s="275" t="s">
        <v>169</v>
      </c>
      <c r="V62" s="275" t="s">
        <v>170</v>
      </c>
      <c r="W62" s="275" t="s">
        <v>171</v>
      </c>
      <c r="X62" s="275" t="s">
        <v>172</v>
      </c>
      <c r="Y62" s="275" t="s">
        <v>173</v>
      </c>
      <c r="Z62" s="275" t="s">
        <v>174</v>
      </c>
      <c r="AA62" s="275" t="s">
        <v>175</v>
      </c>
    </row>
    <row r="63" spans="1:27" x14ac:dyDescent="0.2">
      <c r="A63" s="274">
        <v>1</v>
      </c>
      <c r="B63" s="1">
        <f t="shared" ref="B63:J63" si="0">B3/B27</f>
        <v>3.0460851252294809E-3</v>
      </c>
      <c r="C63" s="1">
        <f t="shared" si="0"/>
        <v>1.4333858483290192E-2</v>
      </c>
      <c r="D63" s="1">
        <f t="shared" si="0"/>
        <v>2.1053944417175178E-2</v>
      </c>
      <c r="E63" s="180">
        <f t="shared" si="0"/>
        <v>2.4068292638047054E-2</v>
      </c>
      <c r="F63" s="180">
        <f t="shared" si="0"/>
        <v>2.5037291324961013E-2</v>
      </c>
      <c r="G63" s="1">
        <f t="shared" si="0"/>
        <v>2.4937165657727172E-2</v>
      </c>
      <c r="H63" s="1">
        <f t="shared" si="0"/>
        <v>2.4293536791743887E-2</v>
      </c>
      <c r="I63" s="1">
        <f t="shared" si="0"/>
        <v>2.3389150415858186E-2</v>
      </c>
      <c r="J63" s="1">
        <f t="shared" si="0"/>
        <v>2.2377678417063035E-2</v>
      </c>
      <c r="K63" s="274">
        <v>1</v>
      </c>
      <c r="L63" s="1">
        <f t="shared" ref="L63:S72" si="1">L3/L27</f>
        <v>2.6016752510958963E-2</v>
      </c>
      <c r="M63" s="1">
        <f t="shared" si="1"/>
        <v>9.0991495434799684E-3</v>
      </c>
      <c r="N63" s="1">
        <f t="shared" si="1"/>
        <v>3.3266869744626639E-3</v>
      </c>
      <c r="O63" s="1">
        <f t="shared" si="1"/>
        <v>1.2062700264648134E-3</v>
      </c>
      <c r="P63" s="1">
        <f t="shared" si="1"/>
        <v>4.0131087702348773E-4</v>
      </c>
      <c r="Q63" s="1">
        <f t="shared" si="1"/>
        <v>9.7336152831723274E-5</v>
      </c>
      <c r="R63" s="1">
        <f t="shared" si="1"/>
        <v>-1.0844766207801236E-5</v>
      </c>
      <c r="S63" s="1">
        <f t="shared" si="1"/>
        <v>-4.2785101842136488E-5</v>
      </c>
      <c r="T63" s="274">
        <v>1</v>
      </c>
      <c r="U63" s="1">
        <f t="shared" ref="U63:AA72" si="2">U3/U27</f>
        <v>0.11160654509993796</v>
      </c>
      <c r="V63" s="1">
        <f t="shared" si="2"/>
        <v>7.7214734697310425E-2</v>
      </c>
      <c r="W63" s="1">
        <f t="shared" si="2"/>
        <v>5.7811418573101001E-2</v>
      </c>
      <c r="X63" s="1">
        <f t="shared" si="2"/>
        <v>4.5920013347310794E-2</v>
      </c>
      <c r="Y63" s="1">
        <f t="shared" si="2"/>
        <v>3.8134770147912223E-2</v>
      </c>
      <c r="Z63" s="1">
        <f t="shared" si="2"/>
        <v>3.2751613439073859E-2</v>
      </c>
      <c r="AA63" s="1">
        <f t="shared" si="2"/>
        <v>2.8852802903115066E-2</v>
      </c>
    </row>
    <row r="64" spans="1:27" x14ac:dyDescent="0.2">
      <c r="A64">
        <v>2</v>
      </c>
      <c r="B64" s="1">
        <f t="shared" ref="B64:J64" si="3">B4/B28</f>
        <v>1.9996443739894593E-2</v>
      </c>
      <c r="C64" s="1">
        <f t="shared" si="3"/>
        <v>5.4543268827428756E-2</v>
      </c>
      <c r="D64" s="1">
        <f t="shared" si="3"/>
        <v>6.8187188901495777E-2</v>
      </c>
      <c r="E64" s="180">
        <f t="shared" si="3"/>
        <v>7.2244834468335614E-2</v>
      </c>
      <c r="F64" s="180">
        <f t="shared" si="3"/>
        <v>7.2120813602780484E-2</v>
      </c>
      <c r="G64" s="1">
        <f t="shared" si="3"/>
        <v>7.0169464744548299E-2</v>
      </c>
      <c r="H64" s="1">
        <f t="shared" si="3"/>
        <v>6.7454843776909218E-2</v>
      </c>
      <c r="I64" s="1">
        <f t="shared" si="3"/>
        <v>6.4478208417162355E-2</v>
      </c>
      <c r="J64" s="1">
        <f t="shared" si="3"/>
        <v>6.1481641682731403E-2</v>
      </c>
      <c r="K64">
        <v>2</v>
      </c>
      <c r="L64" s="1">
        <f t="shared" si="1"/>
        <v>-1.1259228887377933E-2</v>
      </c>
      <c r="M64" s="1">
        <f t="shared" si="1"/>
        <v>-1.9289395195947912E-2</v>
      </c>
      <c r="N64" s="1">
        <f t="shared" si="1"/>
        <v>-1.6463477360180587E-2</v>
      </c>
      <c r="O64" s="1">
        <f t="shared" si="1"/>
        <v>-1.2254252468046168E-2</v>
      </c>
      <c r="P64" s="1">
        <f t="shared" si="1"/>
        <v>-8.7075723962728637E-3</v>
      </c>
      <c r="Q64" s="1">
        <f t="shared" si="1"/>
        <v>-6.0814456957275168E-3</v>
      </c>
      <c r="R64" s="1">
        <f t="shared" si="1"/>
        <v>-4.2269113590983143E-3</v>
      </c>
      <c r="S64" s="1">
        <f t="shared" si="1"/>
        <v>-2.9432319733508914E-3</v>
      </c>
      <c r="T64">
        <v>2</v>
      </c>
      <c r="U64" s="1">
        <f t="shared" si="2"/>
        <v>0.14985047499245113</v>
      </c>
      <c r="V64" s="1">
        <f t="shared" si="2"/>
        <v>6.8157201632025238E-2</v>
      </c>
      <c r="W64" s="1">
        <f t="shared" si="2"/>
        <v>4.3498655054807184E-2</v>
      </c>
      <c r="X64" s="1">
        <f t="shared" si="2"/>
        <v>2.9589115829464704E-2</v>
      </c>
      <c r="Y64" s="1">
        <f t="shared" si="2"/>
        <v>2.1290225971783476E-2</v>
      </c>
      <c r="Z64" s="1">
        <f t="shared" si="2"/>
        <v>1.6105228565579589E-2</v>
      </c>
      <c r="AA64" s="1">
        <f t="shared" si="2"/>
        <v>1.2736286800063742E-2</v>
      </c>
    </row>
    <row r="65" spans="1:27" x14ac:dyDescent="0.2">
      <c r="A65">
        <v>3</v>
      </c>
      <c r="B65" s="1">
        <f t="shared" ref="B65:J65" si="4">B5/B29</f>
        <v>3.6330657861630804E-2</v>
      </c>
      <c r="C65" s="1">
        <f t="shared" si="4"/>
        <v>9.0005664113284756E-2</v>
      </c>
      <c r="D65" s="1">
        <f t="shared" si="4"/>
        <v>0.10665133504488188</v>
      </c>
      <c r="E65" s="180">
        <f t="shared" si="4"/>
        <v>0.10928101217511767</v>
      </c>
      <c r="F65" s="180">
        <f t="shared" si="4"/>
        <v>0.106736311637863</v>
      </c>
      <c r="G65" s="1">
        <f t="shared" si="4"/>
        <v>0.10233709130333496</v>
      </c>
      <c r="H65" s="1">
        <f t="shared" si="4"/>
        <v>9.7397217001052125E-2</v>
      </c>
      <c r="I65" s="1">
        <f t="shared" si="4"/>
        <v>9.2455942179949388E-2</v>
      </c>
      <c r="J65" s="1">
        <f t="shared" si="4"/>
        <v>8.7733380112743939E-2</v>
      </c>
      <c r="K65">
        <v>3</v>
      </c>
      <c r="L65" s="1">
        <f t="shared" si="1"/>
        <v>-5.2953793745185884E-2</v>
      </c>
      <c r="M65" s="1">
        <f t="shared" si="1"/>
        <v>-5.3506946553515809E-2</v>
      </c>
      <c r="N65" s="1">
        <f t="shared" si="1"/>
        <v>-4.0872324941110733E-2</v>
      </c>
      <c r="O65" s="1">
        <f t="shared" si="1"/>
        <v>-2.8959689127348972E-2</v>
      </c>
      <c r="P65" s="1">
        <f t="shared" si="1"/>
        <v>-2.0015865420612022E-2</v>
      </c>
      <c r="Q65" s="1">
        <f t="shared" si="1"/>
        <v>-1.3740007212652276E-2</v>
      </c>
      <c r="R65" s="1">
        <f t="shared" si="1"/>
        <v>-9.4424945702204239E-3</v>
      </c>
      <c r="S65" s="1">
        <f t="shared" si="1"/>
        <v>-6.5249312330031761E-3</v>
      </c>
      <c r="T65">
        <v>3</v>
      </c>
      <c r="U65" s="1">
        <f t="shared" si="2"/>
        <v>0.22562941937975292</v>
      </c>
      <c r="V65" s="1">
        <f t="shared" si="2"/>
        <v>6.4828200096814489E-2</v>
      </c>
      <c r="W65" s="1">
        <f t="shared" si="2"/>
        <v>3.0004937606284806E-2</v>
      </c>
      <c r="X65" s="1">
        <f t="shared" si="2"/>
        <v>1.1361283761216331E-2</v>
      </c>
      <c r="Y65" s="1">
        <f t="shared" si="2"/>
        <v>1.0513804490199154E-3</v>
      </c>
      <c r="Z65" s="1">
        <f t="shared" si="2"/>
        <v>-4.7499490370053301E-3</v>
      </c>
      <c r="AA65" s="1">
        <f t="shared" si="2"/>
        <v>-8.013465266705027E-3</v>
      </c>
    </row>
    <row r="66" spans="1:27" x14ac:dyDescent="0.2">
      <c r="A66">
        <v>4</v>
      </c>
      <c r="B66" s="1">
        <f t="shared" ref="B66:J66" si="5">B6/B30</f>
        <v>5.2390375524719729E-2</v>
      </c>
      <c r="C66" s="1">
        <f t="shared" si="5"/>
        <v>0.12055016300991295</v>
      </c>
      <c r="D66" s="1">
        <f t="shared" si="5"/>
        <v>0.1360121140876045</v>
      </c>
      <c r="E66" s="1">
        <f t="shared" si="5"/>
        <v>0.13505168608684323</v>
      </c>
      <c r="F66" s="1">
        <f t="shared" si="5"/>
        <v>0.1292225905776799</v>
      </c>
      <c r="G66" s="1">
        <f t="shared" si="5"/>
        <v>0.12219742974583263</v>
      </c>
      <c r="H66" s="1">
        <f t="shared" si="5"/>
        <v>0.115198899955751</v>
      </c>
      <c r="I66" s="1">
        <f t="shared" si="5"/>
        <v>0.10862703913185069</v>
      </c>
      <c r="J66" s="1">
        <f t="shared" si="5"/>
        <v>0.10258813398067454</v>
      </c>
      <c r="K66">
        <v>4</v>
      </c>
      <c r="L66" s="1">
        <f t="shared" si="1"/>
        <v>-9.9852726210756693E-2</v>
      </c>
      <c r="M66" s="1">
        <f t="shared" si="1"/>
        <v>-9.3314805181841418E-2</v>
      </c>
      <c r="N66" s="1">
        <f t="shared" si="1"/>
        <v>-6.9140092646569826E-2</v>
      </c>
      <c r="O66" s="1">
        <f t="shared" si="1"/>
        <v>-4.8054082133749412E-2</v>
      </c>
      <c r="P66" s="1">
        <f t="shared" si="1"/>
        <v>-3.2766526418120057E-2</v>
      </c>
      <c r="Q66" s="1">
        <f t="shared" si="1"/>
        <v>-2.2273897380586299E-2</v>
      </c>
      <c r="R66" s="1">
        <f t="shared" si="1"/>
        <v>-1.5198530227934106E-2</v>
      </c>
      <c r="S66" s="1">
        <f t="shared" si="1"/>
        <v>-1.0447801852181119E-2</v>
      </c>
      <c r="T66">
        <v>4</v>
      </c>
      <c r="U66" s="1">
        <f t="shared" si="2"/>
        <v>0.36056741159837719</v>
      </c>
      <c r="V66" s="1">
        <f t="shared" si="2"/>
        <v>6.6351281774202783E-2</v>
      </c>
      <c r="W66" s="1">
        <f t="shared" si="2"/>
        <v>1.8094620070278702E-2</v>
      </c>
      <c r="X66" s="1">
        <f t="shared" si="2"/>
        <v>-7.0327158622059344E-3</v>
      </c>
      <c r="Y66" s="1">
        <f t="shared" si="2"/>
        <v>-2.0281749362919706E-2</v>
      </c>
      <c r="Z66" s="1">
        <f t="shared" si="2"/>
        <v>-2.7181125851292794E-2</v>
      </c>
      <c r="AA66" s="1">
        <f t="shared" si="2"/>
        <v>-3.0574683381310707E-2</v>
      </c>
    </row>
    <row r="67" spans="1:27" x14ac:dyDescent="0.2">
      <c r="A67">
        <v>5</v>
      </c>
      <c r="B67" s="1">
        <f t="shared" ref="B67:J67" si="6">B7/B31</f>
        <v>6.8127259859249042E-2</v>
      </c>
      <c r="C67" s="1">
        <f t="shared" si="6"/>
        <v>0.14563182593021104</v>
      </c>
      <c r="D67" s="1">
        <f t="shared" si="6"/>
        <v>0.15680393063745784</v>
      </c>
      <c r="E67" s="1">
        <f t="shared" si="6"/>
        <v>0.15145673371082047</v>
      </c>
      <c r="F67" s="1">
        <f t="shared" si="6"/>
        <v>0.14249867295515514</v>
      </c>
      <c r="G67" s="1">
        <f t="shared" si="6"/>
        <v>0.13331337436626073</v>
      </c>
      <c r="H67" s="1">
        <f t="shared" si="6"/>
        <v>0.1247894867808597</v>
      </c>
      <c r="I67" s="1">
        <f t="shared" si="6"/>
        <v>0.11710288255850988</v>
      </c>
      <c r="J67" s="1">
        <f t="shared" si="6"/>
        <v>0.11022018919987563</v>
      </c>
      <c r="K67">
        <v>5</v>
      </c>
      <c r="L67" s="1">
        <f t="shared" si="1"/>
        <v>-0.1510443647177146</v>
      </c>
      <c r="M67" s="1">
        <f t="shared" si="1"/>
        <v>-0.13744035142159092</v>
      </c>
      <c r="N67" s="1">
        <f t="shared" si="1"/>
        <v>-0.10016062283043746</v>
      </c>
      <c r="O67" s="1">
        <f t="shared" si="1"/>
        <v>-6.8704057012713343E-2</v>
      </c>
      <c r="P67" s="1">
        <f t="shared" si="1"/>
        <v>-4.6369683378745967E-2</v>
      </c>
      <c r="Q67" s="1">
        <f t="shared" si="1"/>
        <v>-3.1276990631728833E-2</v>
      </c>
      <c r="R67" s="1">
        <f t="shared" si="1"/>
        <v>-2.1218148177986427E-2</v>
      </c>
      <c r="S67" s="1">
        <f t="shared" si="1"/>
        <v>-1.4523064516984242E-2</v>
      </c>
      <c r="T67">
        <v>5</v>
      </c>
      <c r="U67" s="1">
        <f t="shared" si="2"/>
        <v>0.58444479007234762</v>
      </c>
      <c r="V67" s="1">
        <f t="shared" si="2"/>
        <v>7.2182043832836065E-2</v>
      </c>
      <c r="W67" s="1">
        <f t="shared" si="2"/>
        <v>8.6005321259416175E-3</v>
      </c>
      <c r="X67" s="1">
        <f t="shared" si="2"/>
        <v>-2.410743303185206E-2</v>
      </c>
      <c r="Y67" s="1">
        <f t="shared" si="2"/>
        <v>-4.0941956900564007E-2</v>
      </c>
      <c r="Z67" s="1">
        <f t="shared" si="2"/>
        <v>-4.9324234789455065E-2</v>
      </c>
      <c r="AA67" s="1">
        <f t="shared" si="2"/>
        <v>-5.3077832577414219E-2</v>
      </c>
    </row>
    <row r="68" spans="1:27" x14ac:dyDescent="0.2">
      <c r="A68">
        <v>6</v>
      </c>
      <c r="B68" s="1">
        <f t="shared" ref="B68:J68" si="7">B8/B32</f>
        <v>8.3340346718648345E-2</v>
      </c>
      <c r="C68" s="1">
        <f t="shared" si="7"/>
        <v>0.16529335919762597</v>
      </c>
      <c r="D68" s="1">
        <f t="shared" si="7"/>
        <v>0.17069031743310836</v>
      </c>
      <c r="E68" s="1">
        <f t="shared" si="7"/>
        <v>0.16128128443768616</v>
      </c>
      <c r="F68" s="1">
        <f t="shared" si="7"/>
        <v>0.14988050337636818</v>
      </c>
      <c r="G68" s="1">
        <f t="shared" si="7"/>
        <v>0.13918558999001668</v>
      </c>
      <c r="H68" s="1">
        <f t="shared" si="7"/>
        <v>0.12967784716296615</v>
      </c>
      <c r="I68" s="1">
        <f t="shared" si="7"/>
        <v>0.12131525851432784</v>
      </c>
      <c r="J68" s="1">
        <f t="shared" si="7"/>
        <v>0.11394551892489853</v>
      </c>
      <c r="K68">
        <v>6</v>
      </c>
      <c r="L68" s="1">
        <f t="shared" si="1"/>
        <v>-0.20523239367866372</v>
      </c>
      <c r="M68" s="1">
        <f t="shared" si="1"/>
        <v>-0.18472082920648683</v>
      </c>
      <c r="N68" s="1">
        <f t="shared" si="1"/>
        <v>-0.13317924879997131</v>
      </c>
      <c r="O68" s="1">
        <f t="shared" si="1"/>
        <v>-9.043665130346755E-2</v>
      </c>
      <c r="P68" s="1">
        <f t="shared" si="1"/>
        <v>-6.0526708684398141E-2</v>
      </c>
      <c r="Q68" s="1">
        <f t="shared" si="1"/>
        <v>-4.0558172011924597E-2</v>
      </c>
      <c r="R68" s="1">
        <f t="shared" si="1"/>
        <v>-2.7377209762555296E-2</v>
      </c>
      <c r="S68" s="1">
        <f t="shared" si="1"/>
        <v>-1.8668803215871155E-2</v>
      </c>
      <c r="T68">
        <v>6</v>
      </c>
      <c r="U68" s="1">
        <f t="shared" si="2"/>
        <v>0.9382081781212156</v>
      </c>
      <c r="V68" s="1">
        <f t="shared" si="2"/>
        <v>8.1375607157932586E-2</v>
      </c>
      <c r="W68" s="1">
        <f t="shared" si="2"/>
        <v>1.499525446341626E-3</v>
      </c>
      <c r="X68" s="1">
        <f t="shared" si="2"/>
        <v>-3.9449563909566492E-2</v>
      </c>
      <c r="Y68" s="1">
        <f t="shared" si="2"/>
        <v>-6.0319702211150419E-2</v>
      </c>
      <c r="Z68" s="1">
        <f t="shared" si="2"/>
        <v>-7.0490806904498687E-2</v>
      </c>
      <c r="AA68" s="1">
        <f t="shared" si="2"/>
        <v>-7.4812988726316393E-2</v>
      </c>
    </row>
    <row r="69" spans="1:27" x14ac:dyDescent="0.2">
      <c r="A69">
        <v>7</v>
      </c>
      <c r="B69" s="1">
        <f t="shared" ref="B69:J69" si="8">B9/B33</f>
        <v>9.7803200599092088E-2</v>
      </c>
      <c r="C69" s="1">
        <f t="shared" si="8"/>
        <v>0.18013374000435853</v>
      </c>
      <c r="D69" s="1">
        <f t="shared" si="8"/>
        <v>0.17958992597898366</v>
      </c>
      <c r="E69" s="1">
        <f t="shared" si="8"/>
        <v>0.16693671534232371</v>
      </c>
      <c r="F69" s="1">
        <f t="shared" si="8"/>
        <v>0.15383598634650961</v>
      </c>
      <c r="G69" s="1">
        <f t="shared" si="8"/>
        <v>0.14218220594246114</v>
      </c>
      <c r="H69" s="1">
        <f t="shared" si="8"/>
        <v>0.13208939621166488</v>
      </c>
      <c r="I69" s="1">
        <f t="shared" si="8"/>
        <v>0.12334454955969112</v>
      </c>
      <c r="J69" s="1">
        <f t="shared" si="8"/>
        <v>0.11571021037283116</v>
      </c>
      <c r="K69">
        <v>7</v>
      </c>
      <c r="L69" s="1">
        <f t="shared" si="1"/>
        <v>-0.26130466605221198</v>
      </c>
      <c r="M69" s="1">
        <f t="shared" si="1"/>
        <v>-0.23434763947126064</v>
      </c>
      <c r="N69" s="1">
        <f t="shared" si="1"/>
        <v>-0.16776711189055771</v>
      </c>
      <c r="O69" s="1">
        <f t="shared" si="1"/>
        <v>-0.11301472465232917</v>
      </c>
      <c r="P69" s="1">
        <f t="shared" si="1"/>
        <v>-7.5096171486441238E-2</v>
      </c>
      <c r="Q69" s="1">
        <f t="shared" si="1"/>
        <v>-5.0028730463927543E-2</v>
      </c>
      <c r="R69" s="1">
        <f t="shared" si="1"/>
        <v>-3.3618318032908399E-2</v>
      </c>
      <c r="S69" s="1">
        <f t="shared" si="1"/>
        <v>-2.2847047187892145E-2</v>
      </c>
      <c r="T69">
        <v>7</v>
      </c>
      <c r="U69" s="1">
        <f t="shared" si="2"/>
        <v>1.4792208838678231</v>
      </c>
      <c r="V69" s="1">
        <f t="shared" si="2"/>
        <v>9.2907524579345674E-2</v>
      </c>
      <c r="W69" s="1">
        <f t="shared" si="2"/>
        <v>-3.6890599733309971E-3</v>
      </c>
      <c r="X69" s="1">
        <f t="shared" si="2"/>
        <v>-5.3240248558874659E-2</v>
      </c>
      <c r="Y69" s="1">
        <f t="shared" si="2"/>
        <v>-7.8430310803888334E-2</v>
      </c>
      <c r="Z69" s="1">
        <f t="shared" si="2"/>
        <v>-9.0604447974564919E-2</v>
      </c>
      <c r="AA69" s="1">
        <f t="shared" si="2"/>
        <v>-9.5653773364293815E-2</v>
      </c>
    </row>
    <row r="70" spans="1:27" x14ac:dyDescent="0.2">
      <c r="A70">
        <v>8</v>
      </c>
      <c r="B70" s="1">
        <f t="shared" ref="B70:J70" si="9">B10/B34</f>
        <v>0.11132857418062655</v>
      </c>
      <c r="C70" s="1">
        <f t="shared" si="9"/>
        <v>0.19101592752160448</v>
      </c>
      <c r="D70" s="1">
        <f t="shared" si="9"/>
        <v>0.18513277950819462</v>
      </c>
      <c r="E70" s="1">
        <f t="shared" si="9"/>
        <v>0.17010793883806957</v>
      </c>
      <c r="F70" s="1">
        <f t="shared" si="9"/>
        <v>0.15590503589973684</v>
      </c>
      <c r="G70" s="1">
        <f t="shared" si="9"/>
        <v>0.14367740157999714</v>
      </c>
      <c r="H70" s="1">
        <f t="shared" si="9"/>
        <v>0.13325399527484555</v>
      </c>
      <c r="I70" s="1">
        <f t="shared" si="9"/>
        <v>0.12430235516088851</v>
      </c>
      <c r="J70" s="1">
        <f t="shared" si="9"/>
        <v>0.11652972634985025</v>
      </c>
      <c r="K70">
        <v>8</v>
      </c>
      <c r="L70" s="1">
        <f t="shared" si="1"/>
        <v>-0.31847738093381395</v>
      </c>
      <c r="M70" s="1">
        <f t="shared" si="1"/>
        <v>-0.28579087374517359</v>
      </c>
      <c r="N70" s="1">
        <f t="shared" si="1"/>
        <v>-0.20367762990486485</v>
      </c>
      <c r="O70" s="1">
        <f t="shared" si="1"/>
        <v>-0.13631346416750131</v>
      </c>
      <c r="P70" s="1">
        <f t="shared" si="1"/>
        <v>-9.0005365470251453E-2</v>
      </c>
      <c r="Q70" s="1">
        <f t="shared" si="1"/>
        <v>-5.9642720936948779E-2</v>
      </c>
      <c r="R70" s="1">
        <f t="shared" si="1"/>
        <v>-3.9911339171882901E-2</v>
      </c>
      <c r="S70" s="1">
        <f t="shared" si="1"/>
        <v>-2.7037631516336577E-2</v>
      </c>
      <c r="T70">
        <v>8</v>
      </c>
      <c r="U70" s="1">
        <f t="shared" si="2"/>
        <v>2.2887422163986244</v>
      </c>
      <c r="V70" s="1">
        <f t="shared" si="2"/>
        <v>0.10593564777829007</v>
      </c>
      <c r="W70" s="1">
        <f t="shared" si="2"/>
        <v>-7.5213954040380818E-3</v>
      </c>
      <c r="X70" s="1">
        <f t="shared" si="2"/>
        <v>-6.5844467057936062E-2</v>
      </c>
      <c r="Y70" s="1">
        <f t="shared" si="2"/>
        <v>-9.5513314241508371E-2</v>
      </c>
      <c r="Z70" s="1">
        <f t="shared" si="2"/>
        <v>-0.10982336391773211</v>
      </c>
      <c r="AA70" s="1">
        <f t="shared" si="2"/>
        <v>-0.11570582524314188</v>
      </c>
    </row>
    <row r="71" spans="1:27" x14ac:dyDescent="0.2">
      <c r="A71">
        <v>9</v>
      </c>
      <c r="B71" s="1">
        <f t="shared" ref="B71:J71" si="10">B11/B35</f>
        <v>0.12379294002445078</v>
      </c>
      <c r="C71" s="1">
        <f t="shared" si="10"/>
        <v>0.19882403448932856</v>
      </c>
      <c r="D71" s="1">
        <f t="shared" si="10"/>
        <v>0.18851551628202454</v>
      </c>
      <c r="E71" s="1">
        <f t="shared" si="10"/>
        <v>0.17185377326906096</v>
      </c>
      <c r="F71" s="1">
        <f t="shared" si="10"/>
        <v>0.15696913995363085</v>
      </c>
      <c r="G71" s="1">
        <f t="shared" si="10"/>
        <v>0.14441164286050595</v>
      </c>
      <c r="H71" s="1">
        <f t="shared" si="10"/>
        <v>0.13380789188296396</v>
      </c>
      <c r="I71" s="1">
        <f t="shared" si="10"/>
        <v>0.124747798498275</v>
      </c>
      <c r="J71" s="1">
        <f t="shared" si="10"/>
        <v>0.11690485505614963</v>
      </c>
      <c r="K71">
        <v>9</v>
      </c>
      <c r="L71" s="1">
        <f t="shared" si="1"/>
        <v>-0.37625387061796867</v>
      </c>
      <c r="M71" s="1">
        <f t="shared" si="1"/>
        <v>-0.33868921043692429</v>
      </c>
      <c r="N71" s="1">
        <f t="shared" si="1"/>
        <v>-0.24075262582305498</v>
      </c>
      <c r="O71" s="1">
        <f t="shared" si="1"/>
        <v>-0.16025893932470636</v>
      </c>
      <c r="P71" s="1">
        <f t="shared" si="1"/>
        <v>-0.10521235566303964</v>
      </c>
      <c r="Q71" s="1">
        <f t="shared" si="1"/>
        <v>-6.9373487026294436E-2</v>
      </c>
      <c r="R71" s="1">
        <f t="shared" si="1"/>
        <v>-4.6238605545862996E-2</v>
      </c>
      <c r="S71" s="1">
        <f t="shared" si="1"/>
        <v>-3.1228654947928126E-2</v>
      </c>
      <c r="T71">
        <v>9</v>
      </c>
      <c r="U71" s="1">
        <f t="shared" si="2"/>
        <v>3.4820834999415196</v>
      </c>
      <c r="V71" s="1">
        <f t="shared" si="2"/>
        <v>0.11986656955096013</v>
      </c>
      <c r="W71" s="1">
        <f t="shared" si="2"/>
        <v>-1.0460618344652641E-2</v>
      </c>
      <c r="X71" s="1">
        <f t="shared" si="2"/>
        <v>-7.761700475564054E-2</v>
      </c>
      <c r="Y71" s="1">
        <f t="shared" si="2"/>
        <v>-0.11184149479067519</v>
      </c>
      <c r="Z71" s="1">
        <f t="shared" si="2"/>
        <v>-0.12836126865926284</v>
      </c>
      <c r="AA71" s="1">
        <f t="shared" si="2"/>
        <v>-0.13514110383756367</v>
      </c>
    </row>
    <row r="72" spans="1:27" x14ac:dyDescent="0.2">
      <c r="A72">
        <v>10</v>
      </c>
      <c r="B72" s="1">
        <f t="shared" ref="B72:J72" si="11">B12/B36</f>
        <v>0.13513714444521788</v>
      </c>
      <c r="C72" s="1">
        <f t="shared" si="11"/>
        <v>0.20433468298349433</v>
      </c>
      <c r="D72" s="1">
        <f t="shared" si="11"/>
        <v>0.19054909413057403</v>
      </c>
      <c r="E72" s="1">
        <f t="shared" si="11"/>
        <v>0.17280184217411287</v>
      </c>
      <c r="F72" s="1">
        <f t="shared" si="11"/>
        <v>0.15750947748969168</v>
      </c>
      <c r="G72" s="1">
        <f t="shared" si="11"/>
        <v>0.14476786230934702</v>
      </c>
      <c r="H72" s="1">
        <f t="shared" si="11"/>
        <v>0.13406826968712535</v>
      </c>
      <c r="I72" s="1">
        <f t="shared" si="11"/>
        <v>0.12495261365450309</v>
      </c>
      <c r="J72" s="1">
        <f t="shared" si="11"/>
        <v>0.11707466171814028</v>
      </c>
      <c r="K72">
        <v>10</v>
      </c>
      <c r="L72" s="1">
        <f t="shared" si="1"/>
        <v>-0.43433917605516875</v>
      </c>
      <c r="M72" s="1">
        <f t="shared" si="1"/>
        <v>-0.39277767273560743</v>
      </c>
      <c r="N72" s="1">
        <f t="shared" si="1"/>
        <v>-0.27887682316422951</v>
      </c>
      <c r="O72" s="1">
        <f t="shared" si="1"/>
        <v>-0.18480182022218233</v>
      </c>
      <c r="P72" s="1">
        <f t="shared" si="1"/>
        <v>-0.12069056930599448</v>
      </c>
      <c r="Q72" s="1">
        <f t="shared" si="1"/>
        <v>-7.9204254267701724E-2</v>
      </c>
      <c r="R72" s="1">
        <f t="shared" si="1"/>
        <v>-5.2588953739429754E-2</v>
      </c>
      <c r="S72" s="1">
        <f t="shared" si="1"/>
        <v>-3.5412584511883748E-2</v>
      </c>
      <c r="T72">
        <v>10</v>
      </c>
      <c r="U72" s="1">
        <f t="shared" si="2"/>
        <v>5.2224463237200194</v>
      </c>
      <c r="V72" s="1">
        <f t="shared" si="2"/>
        <v>0.13431970323905287</v>
      </c>
      <c r="W72" s="1">
        <f t="shared" si="2"/>
        <v>-1.2840338145897962E-2</v>
      </c>
      <c r="X72" s="1">
        <f t="shared" si="2"/>
        <v>-8.8838162369756862E-2</v>
      </c>
      <c r="Y72" s="1">
        <f t="shared" si="2"/>
        <v>-0.12764801115257809</v>
      </c>
      <c r="Z72" s="1">
        <f t="shared" si="2"/>
        <v>-0.14641379442139368</v>
      </c>
      <c r="AA72" s="1">
        <f t="shared" si="2"/>
        <v>-0.1541266350152791</v>
      </c>
    </row>
  </sheetData>
  <sheetProtection sheet="1" objects="1" scenarios="1"/>
  <mergeCells count="18">
    <mergeCell ref="B1:J1"/>
    <mergeCell ref="L1:S1"/>
    <mergeCell ref="U1:AA1"/>
    <mergeCell ref="B13:J13"/>
    <mergeCell ref="L13:S13"/>
    <mergeCell ref="U13:AA13"/>
    <mergeCell ref="B25:J25"/>
    <mergeCell ref="L25:S25"/>
    <mergeCell ref="U25:AA25"/>
    <mergeCell ref="B37:J37"/>
    <mergeCell ref="L37:S37"/>
    <mergeCell ref="U37:AA37"/>
    <mergeCell ref="B49:J49"/>
    <mergeCell ref="L49:S49"/>
    <mergeCell ref="U49:AA49"/>
    <mergeCell ref="B61:J61"/>
    <mergeCell ref="L61:S61"/>
    <mergeCell ref="U61:AA61"/>
  </mergeCells>
  <conditionalFormatting sqref="B15:J24">
    <cfRule type="colorScale" priority="1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3:J12">
    <cfRule type="colorScale" priority="13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B27:J36">
    <cfRule type="colorScale" priority="11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39:J48">
    <cfRule type="colorScale" priority="10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51:J60">
    <cfRule type="colorScale" priority="9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15:S24">
    <cfRule type="colorScale" priority="14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L3:S12">
    <cfRule type="colorScale" priority="15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L27:S36">
    <cfRule type="cellIs" dxfId="117" priority="8" operator="lessThanOrEqual">
      <formula>0</formula>
    </cfRule>
    <cfRule type="colorScale" priority="16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39:S48">
    <cfRule type="cellIs" dxfId="116" priority="6" operator="lessThanOrEqual">
      <formula>0</formula>
    </cfRule>
    <cfRule type="colorScale" priority="17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51:S60">
    <cfRule type="cellIs" dxfId="115" priority="4" operator="lessThanOrEqual">
      <formula>0</formula>
    </cfRule>
    <cfRule type="colorScale" priority="18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15:AA24">
    <cfRule type="colorScale" priority="19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3:AA12">
    <cfRule type="colorScale" priority="20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27:AA36">
    <cfRule type="cellIs" dxfId="114" priority="7" operator="lessThanOrEqual">
      <formula>0</formula>
    </cfRule>
    <cfRule type="colorScale" priority="21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39:AA48">
    <cfRule type="cellIs" dxfId="113" priority="5" operator="lessThanOrEqual">
      <formula>0</formula>
    </cfRule>
    <cfRule type="colorScale" priority="22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51:AA60">
    <cfRule type="colorScale" priority="23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63:J72">
    <cfRule type="cellIs" dxfId="112" priority="1" operator="equal">
      <formula>MAX($B$63:$J$72)</formula>
    </cfRule>
    <cfRule type="colorScale" priority="24">
      <colorScale>
        <cfvo type="num" val="0"/>
        <cfvo type="percentile" val="50"/>
        <cfvo type="num" val="MAX($B$64:$J$72)"/>
        <color rgb="FFFF0000"/>
        <color rgb="FFFFEB84"/>
        <color rgb="FF00B050"/>
      </colorScale>
    </cfRule>
  </conditionalFormatting>
  <conditionalFormatting sqref="L63:S72">
    <cfRule type="colorScale" priority="3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63:AA72">
    <cfRule type="colorScale" priority="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>
    <pageSetUpPr fitToPage="1"/>
  </sheetPr>
  <dimension ref="A1:AH46"/>
  <sheetViews>
    <sheetView view="pageLayout" topLeftCell="A28" zoomScale="90" zoomScaleNormal="70" zoomScaleSheetLayoutView="75" zoomScalePageLayoutView="90" workbookViewId="0">
      <selection activeCell="P30" sqref="P30"/>
    </sheetView>
  </sheetViews>
  <sheetFormatPr baseColWidth="10" defaultColWidth="11" defaultRowHeight="16" x14ac:dyDescent="0.2"/>
  <cols>
    <col min="1" max="1" width="5.83203125" style="31" bestFit="1" customWidth="1"/>
    <col min="2" max="11" width="3.6640625" customWidth="1"/>
    <col min="12" max="12" width="4.83203125" customWidth="1"/>
    <col min="13" max="13" width="6.83203125" customWidth="1"/>
    <col min="14" max="22" width="7.83203125" customWidth="1"/>
    <col min="23" max="23" width="5.33203125" customWidth="1"/>
    <col min="24" max="34" width="6.5" customWidth="1"/>
  </cols>
  <sheetData>
    <row r="1" spans="1:34" ht="21" x14ac:dyDescent="0.25">
      <c r="A1" s="368" t="str">
        <f>Rules!B18</f>
        <v>20191030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 t="str">
        <f>Rules!B19</f>
        <v>Best Methods</v>
      </c>
      <c r="U1" s="368"/>
      <c r="V1" s="368"/>
      <c r="W1" s="368"/>
      <c r="X1" s="368"/>
      <c r="Y1" s="368"/>
      <c r="Z1" s="368"/>
      <c r="AA1" s="368"/>
      <c r="AB1" s="368"/>
      <c r="AC1" s="368"/>
      <c r="AD1" s="368"/>
      <c r="AE1" s="368"/>
      <c r="AF1" s="368"/>
      <c r="AG1" s="368"/>
      <c r="AH1" s="368"/>
    </row>
    <row r="2" spans="1:34" ht="21" x14ac:dyDescent="0.25">
      <c r="A2" s="248"/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</row>
    <row r="3" spans="1:34" ht="21" x14ac:dyDescent="0.25">
      <c r="A3" s="371" t="s">
        <v>199</v>
      </c>
      <c r="B3" s="371"/>
      <c r="C3" s="371"/>
      <c r="D3" s="371"/>
      <c r="E3" s="375">
        <f>'WL Prob'!P15</f>
        <v>0.41745743785701095</v>
      </c>
      <c r="F3" s="375"/>
      <c r="G3" s="375"/>
      <c r="H3" s="371" t="s">
        <v>200</v>
      </c>
      <c r="I3" s="371"/>
      <c r="J3" s="371"/>
      <c r="K3" s="371"/>
      <c r="L3" s="371"/>
      <c r="M3" s="375">
        <f>'WL Prob'!R15</f>
        <v>0.58254256214298905</v>
      </c>
      <c r="N3" s="375"/>
      <c r="O3" s="371" t="s">
        <v>201</v>
      </c>
      <c r="P3" s="371"/>
      <c r="Q3" s="371"/>
      <c r="R3" s="372">
        <f>Analysis!K2</f>
        <v>-3.2215330709750079E-2</v>
      </c>
      <c r="S3" s="372"/>
      <c r="T3" s="371" t="s">
        <v>186</v>
      </c>
      <c r="U3" s="371"/>
      <c r="V3" s="254">
        <v>1</v>
      </c>
      <c r="W3" s="371" t="s">
        <v>202</v>
      </c>
      <c r="X3" s="371"/>
      <c r="Y3" s="371"/>
      <c r="Z3" s="371"/>
      <c r="AA3" s="371"/>
      <c r="AB3" s="372">
        <f>Analysis!G2</f>
        <v>1.3182834500645289</v>
      </c>
      <c r="AC3" s="372"/>
      <c r="AD3" s="371" t="s">
        <v>187</v>
      </c>
      <c r="AE3" s="371"/>
      <c r="AF3" s="371"/>
      <c r="AG3" s="372" t="s">
        <v>203</v>
      </c>
      <c r="AH3" s="372"/>
    </row>
    <row r="4" spans="1:34" ht="21" x14ac:dyDescent="0.25">
      <c r="A4" s="371" t="s">
        <v>63</v>
      </c>
      <c r="B4" s="371"/>
      <c r="C4" s="371"/>
      <c r="D4" s="371"/>
      <c r="E4" s="372" t="str">
        <f>Rules!B3</f>
        <v>Pay 3 to 2</v>
      </c>
      <c r="F4" s="372"/>
      <c r="G4" s="372"/>
      <c r="H4" s="372"/>
      <c r="I4" s="371" t="s">
        <v>188</v>
      </c>
      <c r="J4" s="371"/>
      <c r="K4" s="371"/>
      <c r="L4" s="372" t="str">
        <f>Rules!B4</f>
        <v>Stand</v>
      </c>
      <c r="M4" s="372"/>
      <c r="N4" s="373" t="s">
        <v>54</v>
      </c>
      <c r="O4" s="373"/>
      <c r="P4" s="372" t="str">
        <f>Rules!B6</f>
        <v>9,10,11</v>
      </c>
      <c r="Q4" s="372"/>
      <c r="R4" s="371" t="s">
        <v>189</v>
      </c>
      <c r="S4" s="371"/>
      <c r="T4" s="371"/>
      <c r="U4" s="254" t="str">
        <f>Rules!B7</f>
        <v>No</v>
      </c>
      <c r="V4" s="371" t="s">
        <v>73</v>
      </c>
      <c r="W4" s="371"/>
      <c r="X4" s="371"/>
      <c r="Y4" s="371"/>
      <c r="Z4" s="254" t="str">
        <f>Rules!B9</f>
        <v>No</v>
      </c>
      <c r="AA4" s="253" t="s">
        <v>50</v>
      </c>
      <c r="AB4" s="372" t="str">
        <f>Rules!B10</f>
        <v>European</v>
      </c>
      <c r="AC4" s="372"/>
      <c r="AD4" s="371" t="s">
        <v>190</v>
      </c>
      <c r="AE4" s="371"/>
      <c r="AF4" s="254">
        <f>Rules!B11</f>
        <v>2</v>
      </c>
      <c r="AG4" s="369"/>
      <c r="AH4" s="370"/>
    </row>
    <row r="5" spans="1:34" ht="21" x14ac:dyDescent="0.25">
      <c r="A5" s="247"/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47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</row>
    <row r="6" spans="1:34" x14ac:dyDescent="0.2">
      <c r="A6" s="374" t="str">
        <f>Rules!I2</f>
        <v>My Basic Strategy</v>
      </c>
      <c r="B6" s="374"/>
      <c r="C6" s="374"/>
      <c r="D6" s="374"/>
      <c r="E6" s="374"/>
      <c r="F6" s="374"/>
      <c r="G6" s="374"/>
      <c r="H6" s="374"/>
      <c r="I6" s="374"/>
      <c r="J6" s="374"/>
      <c r="K6" s="374"/>
      <c r="M6" s="306" t="s">
        <v>178</v>
      </c>
      <c r="N6" s="307"/>
      <c r="O6" s="307"/>
      <c r="P6" s="307"/>
      <c r="Q6" s="307"/>
      <c r="R6" s="307"/>
      <c r="S6" s="307"/>
      <c r="T6" s="307"/>
      <c r="U6" s="307"/>
      <c r="V6" s="308"/>
      <c r="X6" s="306" t="s">
        <v>152</v>
      </c>
      <c r="Y6" s="307"/>
      <c r="Z6" s="307"/>
      <c r="AA6" s="307"/>
      <c r="AB6" s="307"/>
      <c r="AC6" s="307"/>
      <c r="AD6" s="307"/>
      <c r="AE6" s="307"/>
      <c r="AF6" s="307"/>
      <c r="AG6" s="307"/>
      <c r="AH6" s="307"/>
    </row>
    <row r="7" spans="1:34" x14ac:dyDescent="0.2">
      <c r="A7" s="174" t="str">
        <f>Rules!I3</f>
        <v>Hard</v>
      </c>
      <c r="B7" s="48" t="str">
        <f>Rules!J3</f>
        <v>A</v>
      </c>
      <c r="C7" s="48">
        <f>Rules!K3</f>
        <v>2</v>
      </c>
      <c r="D7" s="48">
        <f>Rules!L3</f>
        <v>3</v>
      </c>
      <c r="E7" s="48">
        <f>Rules!M3</f>
        <v>4</v>
      </c>
      <c r="F7" s="48">
        <f>Rules!N3</f>
        <v>5</v>
      </c>
      <c r="G7" s="48">
        <f>Rules!O3</f>
        <v>6</v>
      </c>
      <c r="H7" s="48">
        <f>Rules!P3</f>
        <v>7</v>
      </c>
      <c r="I7" s="48">
        <f>Rules!Q3</f>
        <v>8</v>
      </c>
      <c r="J7" s="48">
        <f>Rules!R3</f>
        <v>9</v>
      </c>
      <c r="K7" s="48">
        <f>Rules!S3</f>
        <v>10</v>
      </c>
      <c r="M7" s="177" t="s">
        <v>134</v>
      </c>
      <c r="N7" s="177" t="str">
        <f>'Strategy Summary'!B2</f>
        <v>1x2</v>
      </c>
      <c r="O7" s="177" t="str">
        <f>'Strategy Summary'!C2</f>
        <v>1x3</v>
      </c>
      <c r="P7" s="177" t="str">
        <f>'Strategy Summary'!D2</f>
        <v>1x4</v>
      </c>
      <c r="Q7" s="177" t="str">
        <f>'Strategy Summary'!E2</f>
        <v>1x5</v>
      </c>
      <c r="R7" s="177" t="str">
        <f>'Strategy Summary'!F2</f>
        <v>1x6</v>
      </c>
      <c r="S7" s="177" t="str">
        <f>'Strategy Summary'!G2</f>
        <v>1x7</v>
      </c>
      <c r="T7" s="177" t="str">
        <f>'Strategy Summary'!H2</f>
        <v>1x8</v>
      </c>
      <c r="U7" s="177" t="str">
        <f>'Strategy Summary'!I2</f>
        <v>1x9</v>
      </c>
      <c r="V7" s="177" t="str">
        <f>'Strategy Summary'!J2</f>
        <v>1x10</v>
      </c>
      <c r="X7" s="249" t="str">
        <f>ER!A2</f>
        <v>Hard</v>
      </c>
      <c r="Y7" s="250" t="str">
        <f>ER!B2</f>
        <v>Ace</v>
      </c>
      <c r="Z7" s="250">
        <f>ER!C2</f>
        <v>2</v>
      </c>
      <c r="AA7" s="250">
        <f>ER!D2</f>
        <v>3</v>
      </c>
      <c r="AB7" s="250">
        <f>ER!E2</f>
        <v>4</v>
      </c>
      <c r="AC7" s="250">
        <f>ER!F2</f>
        <v>5</v>
      </c>
      <c r="AD7" s="250">
        <f>ER!G2</f>
        <v>6</v>
      </c>
      <c r="AE7" s="250">
        <f>ER!H2</f>
        <v>7</v>
      </c>
      <c r="AF7" s="250">
        <f>ER!I2</f>
        <v>8</v>
      </c>
      <c r="AG7" s="251">
        <f>ER!J2</f>
        <v>9</v>
      </c>
      <c r="AH7" s="179">
        <f>ER!K2</f>
        <v>10</v>
      </c>
    </row>
    <row r="8" spans="1:34" x14ac:dyDescent="0.2">
      <c r="A8" s="174" t="str">
        <f>Rules!I4</f>
        <v>5-8</v>
      </c>
      <c r="B8" s="49" t="str">
        <f>Rules!J4</f>
        <v>H</v>
      </c>
      <c r="C8" s="49" t="str">
        <f>Rules!K4</f>
        <v>H</v>
      </c>
      <c r="D8" s="49" t="str">
        <f>Rules!L4</f>
        <v>H</v>
      </c>
      <c r="E8" s="49" t="str">
        <f>Rules!M4</f>
        <v>H</v>
      </c>
      <c r="F8" s="49" t="str">
        <f>Rules!N4</f>
        <v>H</v>
      </c>
      <c r="G8" s="49" t="str">
        <f>Rules!O4</f>
        <v>H</v>
      </c>
      <c r="H8" s="49" t="str">
        <f>Rules!P4</f>
        <v>H</v>
      </c>
      <c r="I8" s="49" t="str">
        <f>Rules!Q4</f>
        <v>H</v>
      </c>
      <c r="J8" s="49" t="str">
        <f>Rules!R4</f>
        <v>H</v>
      </c>
      <c r="K8" s="49" t="str">
        <f>Rules!S4</f>
        <v>H</v>
      </c>
      <c r="M8" s="177">
        <v>1</v>
      </c>
      <c r="N8" s="1">
        <f>'Strategy Summary'!B3</f>
        <v>8.8550719485284368E-2</v>
      </c>
      <c r="O8" s="1">
        <f>'Strategy Summary'!C3</f>
        <v>0.3735662319295775</v>
      </c>
      <c r="P8" s="1">
        <f>'Strategy Summary'!D3</f>
        <v>0.69910452506149046</v>
      </c>
      <c r="Q8" s="1">
        <f>'Strategy Summary'!E3</f>
        <v>1.0481326433028733</v>
      </c>
      <c r="R8" s="1">
        <f>'Strategy Summary'!F3</f>
        <v>1.4122238931461972</v>
      </c>
      <c r="S8" s="1">
        <f>'Strategy Summary'!G3</f>
        <v>1.7864120993682504</v>
      </c>
      <c r="T8" s="1">
        <f>'Strategy Summary'!H3</f>
        <v>2.1674692073715383</v>
      </c>
      <c r="U8" s="1">
        <f>'Strategy Summary'!I3</f>
        <v>2.5531918611407871</v>
      </c>
      <c r="V8" s="1">
        <f>'Strategy Summary'!J3</f>
        <v>2.9420469065609449</v>
      </c>
      <c r="X8" s="179">
        <f>ER!A3</f>
        <v>5</v>
      </c>
      <c r="Y8" s="34">
        <f>ER!B3</f>
        <v>-0.40632230211141912</v>
      </c>
      <c r="Z8" s="34">
        <f>ER!C3</f>
        <v>-0.12821556706374745</v>
      </c>
      <c r="AA8" s="34">
        <f>ER!D3</f>
        <v>-9.5310227261489883E-2</v>
      </c>
      <c r="AB8" s="34">
        <f>ER!E3</f>
        <v>-6.1479464199694238E-2</v>
      </c>
      <c r="AC8" s="34">
        <f>ER!F3</f>
        <v>-2.397897039185962E-2</v>
      </c>
      <c r="AD8" s="34">
        <f>ER!G3</f>
        <v>-1.1863378384401623E-3</v>
      </c>
      <c r="AE8" s="34">
        <f>ER!H3</f>
        <v>-0.11944744188414852</v>
      </c>
      <c r="AF8" s="34">
        <f>ER!I3</f>
        <v>-0.18809330390318518</v>
      </c>
      <c r="AG8" s="34">
        <f>ER!J3</f>
        <v>-0.26661505335795899</v>
      </c>
      <c r="AH8" s="34">
        <f>ER!K3</f>
        <v>-0.3577434525808979</v>
      </c>
    </row>
    <row r="9" spans="1:34" x14ac:dyDescent="0.2">
      <c r="A9" s="174">
        <f>Rules!I5</f>
        <v>9</v>
      </c>
      <c r="B9" s="49" t="str">
        <f>Rules!J5</f>
        <v>H</v>
      </c>
      <c r="C9" s="49" t="str">
        <f>Rules!K5</f>
        <v>H</v>
      </c>
      <c r="D9" s="49" t="str">
        <f>Rules!L5</f>
        <v>D</v>
      </c>
      <c r="E9" s="49" t="str">
        <f>Rules!M5</f>
        <v>D</v>
      </c>
      <c r="F9" s="49" t="str">
        <f>Rules!N5</f>
        <v>D</v>
      </c>
      <c r="G9" s="49" t="str">
        <f>Rules!O5</f>
        <v>D</v>
      </c>
      <c r="H9" s="49" t="str">
        <f>Rules!P5</f>
        <v>H</v>
      </c>
      <c r="I9" s="49" t="str">
        <f>Rules!Q5</f>
        <v>H</v>
      </c>
      <c r="J9" s="49" t="str">
        <f>Rules!R5</f>
        <v>H</v>
      </c>
      <c r="K9" s="49" t="str">
        <f>Rules!S5</f>
        <v>H</v>
      </c>
      <c r="M9" s="177">
        <f>'Strategy Summary'!A4</f>
        <v>2</v>
      </c>
      <c r="N9" s="1">
        <f>'Strategy Summary'!B4</f>
        <v>0.42935940618750656</v>
      </c>
      <c r="O9" s="1">
        <f>'Strategy Summary'!C4</f>
        <v>2.4070313133674213</v>
      </c>
      <c r="P9" s="1">
        <f>'Strategy Summary'!D4</f>
        <v>5.5828584017657237</v>
      </c>
      <c r="Q9" s="1">
        <f>'Strategy Summary'!E4</f>
        <v>9.9730846596842717</v>
      </c>
      <c r="R9" s="1">
        <f>'Strategy Summary'!F4</f>
        <v>15.60022756509299</v>
      </c>
      <c r="S9" s="1">
        <f>'Strategy Summary'!G4</f>
        <v>22.483727386309575</v>
      </c>
      <c r="T9" s="1">
        <f>'Strategy Summary'!H4</f>
        <v>30.637547906855588</v>
      </c>
      <c r="U9" s="1">
        <f>'Strategy Summary'!I4</f>
        <v>40.07039245427827</v>
      </c>
      <c r="V9" s="1">
        <f>'Strategy Summary'!J4</f>
        <v>50.786776736416925</v>
      </c>
      <c r="X9" s="179">
        <f>ER!A4</f>
        <v>6</v>
      </c>
      <c r="Y9" s="34">
        <f>ER!B4</f>
        <v>-0.41968690347101079</v>
      </c>
      <c r="Z9" s="34">
        <f>ER!C4</f>
        <v>-0.14075911746001987</v>
      </c>
      <c r="AA9" s="34">
        <f>ER!D4</f>
        <v>-0.10729107800860835</v>
      </c>
      <c r="AB9" s="34">
        <f>ER!E4</f>
        <v>-7.2917141926387305E-2</v>
      </c>
      <c r="AC9" s="34">
        <f>ER!F4</f>
        <v>-3.4915973330102178E-2</v>
      </c>
      <c r="AD9" s="34">
        <f>ER!G4</f>
        <v>-1.3005835529874294E-2</v>
      </c>
      <c r="AE9" s="34">
        <f>ER!H4</f>
        <v>-0.15193270723669944</v>
      </c>
      <c r="AF9" s="34">
        <f>ER!I4</f>
        <v>-0.21724188132078476</v>
      </c>
      <c r="AG9" s="34">
        <f>ER!J4</f>
        <v>-0.29264070019772598</v>
      </c>
      <c r="AH9" s="34">
        <f>ER!K4</f>
        <v>-0.38050766229289529</v>
      </c>
    </row>
    <row r="10" spans="1:34" x14ac:dyDescent="0.2">
      <c r="A10" s="174">
        <f>Rules!I6</f>
        <v>10</v>
      </c>
      <c r="B10" s="49" t="str">
        <f>Rules!J6</f>
        <v>H</v>
      </c>
      <c r="C10" s="49" t="str">
        <f>Rules!K6</f>
        <v>D</v>
      </c>
      <c r="D10" s="49" t="str">
        <f>Rules!L6</f>
        <v>D</v>
      </c>
      <c r="E10" s="49" t="str">
        <f>Rules!M6</f>
        <v>D</v>
      </c>
      <c r="F10" s="49" t="str">
        <f>Rules!N6</f>
        <v>D</v>
      </c>
      <c r="G10" s="49" t="str">
        <f>Rules!O6</f>
        <v>D</v>
      </c>
      <c r="H10" s="49" t="str">
        <f>Rules!P6</f>
        <v>D</v>
      </c>
      <c r="I10" s="49" t="str">
        <f>Rules!Q6</f>
        <v>D</v>
      </c>
      <c r="J10" s="49" t="str">
        <f>Rules!R6</f>
        <v>D</v>
      </c>
      <c r="K10" s="49" t="str">
        <f>Rules!S6</f>
        <v>H</v>
      </c>
      <c r="M10" s="177">
        <f>'Strategy Summary'!A5</f>
        <v>3</v>
      </c>
      <c r="N10" s="1">
        <f>'Strategy Summary'!B5</f>
        <v>1.4121674630690029</v>
      </c>
      <c r="O10" s="1">
        <f>'Strategy Summary'!C5</f>
        <v>10.684725578250754</v>
      </c>
      <c r="P10" s="1">
        <f>'Strategy Summary'!D5</f>
        <v>31.102587955746611</v>
      </c>
      <c r="Q10" s="1">
        <f>'Strategy Summary'!E5</f>
        <v>66.888098320941396</v>
      </c>
      <c r="R10" s="1">
        <f>'Strategy Summary'!F5</f>
        <v>122.49418525120679</v>
      </c>
      <c r="S10" s="1">
        <f>'Strategy Summary'!G5</f>
        <v>202.5259789346953</v>
      </c>
      <c r="T10" s="1">
        <f>'Strategy Summary'!H5</f>
        <v>311.67587477729876</v>
      </c>
      <c r="U10" s="1">
        <f>'Strategy Summary'!I5</f>
        <v>454.67666118380748</v>
      </c>
      <c r="V10" s="1">
        <f>'Strategy Summary'!J5</f>
        <v>636.27043104416862</v>
      </c>
      <c r="X10" s="179">
        <f>ER!A5</f>
        <v>7</v>
      </c>
      <c r="Y10" s="34">
        <f>ER!B5</f>
        <v>-0.39971038372569095</v>
      </c>
      <c r="Z10" s="34">
        <f>ER!C5</f>
        <v>-0.10918342786661633</v>
      </c>
      <c r="AA10" s="34">
        <f>ER!D5</f>
        <v>-7.6582981904463582E-2</v>
      </c>
      <c r="AB10" s="34">
        <f>ER!E5</f>
        <v>-4.3021794004341876E-2</v>
      </c>
      <c r="AC10" s="34">
        <f>ER!F5</f>
        <v>-7.2713609029408845E-3</v>
      </c>
      <c r="AD10" s="34">
        <f>ER!G5</f>
        <v>2.9185342353860864E-2</v>
      </c>
      <c r="AE10" s="34">
        <f>ER!H5</f>
        <v>-6.8807799580427764E-2</v>
      </c>
      <c r="AF10" s="34">
        <f>ER!I5</f>
        <v>-0.21060476872434966</v>
      </c>
      <c r="AG10" s="34">
        <f>ER!J5</f>
        <v>-0.28536544048687662</v>
      </c>
      <c r="AH10" s="34">
        <f>ER!K5</f>
        <v>-0.36507789921394679</v>
      </c>
    </row>
    <row r="11" spans="1:34" x14ac:dyDescent="0.2">
      <c r="A11" s="174">
        <f>Rules!I7</f>
        <v>11</v>
      </c>
      <c r="B11" s="49" t="str">
        <f>Rules!J7</f>
        <v>H</v>
      </c>
      <c r="C11" s="49" t="str">
        <f>Rules!K7</f>
        <v>D</v>
      </c>
      <c r="D11" s="49" t="str">
        <f>Rules!L7</f>
        <v>D</v>
      </c>
      <c r="E11" s="49" t="str">
        <f>Rules!M7</f>
        <v>D</v>
      </c>
      <c r="F11" s="49" t="str">
        <f>Rules!N7</f>
        <v>D</v>
      </c>
      <c r="G11" s="49" t="str">
        <f>Rules!O7</f>
        <v>D</v>
      </c>
      <c r="H11" s="49" t="str">
        <f>Rules!P7</f>
        <v>D</v>
      </c>
      <c r="I11" s="49" t="str">
        <f>Rules!Q7</f>
        <v>D</v>
      </c>
      <c r="J11" s="49" t="str">
        <f>Rules!R7</f>
        <v>D</v>
      </c>
      <c r="K11" s="49" t="str">
        <f>Rules!S7</f>
        <v>H</v>
      </c>
      <c r="M11" s="177">
        <f>'Strategy Summary'!A6</f>
        <v>4</v>
      </c>
      <c r="N11" s="1">
        <f>'Strategy Summary'!B6</f>
        <v>3.9292509606000623</v>
      </c>
      <c r="O11" s="1">
        <f>'Strategy Summary'!C6</f>
        <v>40.594128007873358</v>
      </c>
      <c r="P11" s="1">
        <f>'Strategy Summary'!D6</f>
        <v>149.71847998438395</v>
      </c>
      <c r="Q11" s="1">
        <f>'Strategy Summary'!E6</f>
        <v>390.60981423998044</v>
      </c>
      <c r="R11" s="1">
        <f>'Strategy Summary'!F6</f>
        <v>842.53447940787851</v>
      </c>
      <c r="S11" s="1">
        <f>'Strategy Summary'!G6</f>
        <v>1605.4574974494758</v>
      </c>
      <c r="T11" s="1">
        <f>'Strategy Summary'!H6</f>
        <v>2800.3658706782348</v>
      </c>
      <c r="U11" s="1">
        <f>'Strategy Summary'!I6</f>
        <v>4569.3220713612909</v>
      </c>
      <c r="V11" s="1">
        <f>'Strategy Summary'!J6</f>
        <v>7075.3556304241429</v>
      </c>
      <c r="X11" s="179">
        <f>ER!A6</f>
        <v>8</v>
      </c>
      <c r="Y11" s="34">
        <f>ER!B6</f>
        <v>-0.33034033459070061</v>
      </c>
      <c r="Z11" s="34">
        <f>ER!C6</f>
        <v>-2.1798188008805671E-2</v>
      </c>
      <c r="AA11" s="34">
        <f>ER!D6</f>
        <v>8.0052625306546912E-3</v>
      </c>
      <c r="AB11" s="34">
        <f>ER!E6</f>
        <v>3.8784473277208804E-2</v>
      </c>
      <c r="AC11" s="34">
        <f>ER!F6</f>
        <v>7.0804635983033826E-2</v>
      </c>
      <c r="AD11" s="34">
        <f>ER!G6</f>
        <v>0.11496015009622321</v>
      </c>
      <c r="AE11" s="34">
        <f>ER!H6</f>
        <v>8.2207439363742862E-2</v>
      </c>
      <c r="AF11" s="34">
        <f>ER!I6</f>
        <v>-5.989827565865629E-2</v>
      </c>
      <c r="AG11" s="34">
        <f>ER!J6</f>
        <v>-0.2101863319982176</v>
      </c>
      <c r="AH11" s="34">
        <f>ER!K6</f>
        <v>-0.30177738614031369</v>
      </c>
    </row>
    <row r="12" spans="1:34" x14ac:dyDescent="0.2">
      <c r="A12" s="174">
        <f>Rules!I8</f>
        <v>12</v>
      </c>
      <c r="B12" s="49" t="str">
        <f>Rules!J8</f>
        <v>H</v>
      </c>
      <c r="C12" s="49" t="str">
        <f>Rules!K8</f>
        <v>H</v>
      </c>
      <c r="D12" s="49" t="str">
        <f>Rules!L8</f>
        <v>H</v>
      </c>
      <c r="E12" s="49" t="str">
        <f>Rules!M8</f>
        <v>S</v>
      </c>
      <c r="F12" s="49" t="str">
        <f>Rules!N8</f>
        <v>S</v>
      </c>
      <c r="G12" s="49" t="str">
        <f>Rules!O8</f>
        <v>S</v>
      </c>
      <c r="H12" s="49" t="str">
        <f>Rules!P8</f>
        <v>H</v>
      </c>
      <c r="I12" s="49" t="str">
        <f>Rules!Q8</f>
        <v>H</v>
      </c>
      <c r="J12" s="49" t="str">
        <f>Rules!R8</f>
        <v>H</v>
      </c>
      <c r="K12" s="49" t="str">
        <f>Rules!S8</f>
        <v>H</v>
      </c>
      <c r="M12" s="306" t="s">
        <v>179</v>
      </c>
      <c r="N12" s="307"/>
      <c r="O12" s="307"/>
      <c r="P12" s="307"/>
      <c r="Q12" s="307"/>
      <c r="R12" s="307"/>
      <c r="S12" s="307"/>
      <c r="T12" s="307"/>
      <c r="U12" s="307"/>
      <c r="V12" s="308"/>
      <c r="X12" s="179">
        <f>ER!A7</f>
        <v>9</v>
      </c>
      <c r="Y12" s="34">
        <f>ER!B7</f>
        <v>-0.25192476177072076</v>
      </c>
      <c r="Z12" s="34">
        <f>ER!C7</f>
        <v>7.444603757634051E-2</v>
      </c>
      <c r="AA12" s="34">
        <f>ER!D7</f>
        <v>0.12081635332999656</v>
      </c>
      <c r="AB12" s="34">
        <f>ER!E7</f>
        <v>0.1819489340524216</v>
      </c>
      <c r="AC12" s="34">
        <f>ER!F7</f>
        <v>0.24305722487303633</v>
      </c>
      <c r="AD12" s="34">
        <f>ER!G7</f>
        <v>0.31705474570166692</v>
      </c>
      <c r="AE12" s="34">
        <f>ER!H7</f>
        <v>0.17186785993695267</v>
      </c>
      <c r="AF12" s="34">
        <f>ER!I7</f>
        <v>9.8376217435392585E-2</v>
      </c>
      <c r="AG12" s="34">
        <f>ER!J7</f>
        <v>-5.217805346265169E-2</v>
      </c>
      <c r="AH12" s="34">
        <f>ER!K7</f>
        <v>-0.21343169035706566</v>
      </c>
    </row>
    <row r="13" spans="1:34" x14ac:dyDescent="0.2">
      <c r="A13" s="174">
        <f>Rules!I9</f>
        <v>13</v>
      </c>
      <c r="B13" s="49" t="str">
        <f>Rules!J9</f>
        <v>H</v>
      </c>
      <c r="C13" s="49" t="str">
        <f>Rules!K9</f>
        <v>S</v>
      </c>
      <c r="D13" s="49" t="str">
        <f>Rules!L9</f>
        <v>S</v>
      </c>
      <c r="E13" s="49" t="str">
        <f>Rules!M9</f>
        <v>S</v>
      </c>
      <c r="F13" s="49" t="str">
        <f>Rules!N9</f>
        <v>S</v>
      </c>
      <c r="G13" s="49" t="str">
        <f>Rules!O9</f>
        <v>S</v>
      </c>
      <c r="H13" s="49" t="str">
        <f>Rules!P9</f>
        <v>H</v>
      </c>
      <c r="I13" s="49" t="str">
        <f>Rules!Q9</f>
        <v>H</v>
      </c>
      <c r="J13" s="49" t="str">
        <f>Rules!R9</f>
        <v>H</v>
      </c>
      <c r="K13" s="49" t="str">
        <f>Rules!S9</f>
        <v>H</v>
      </c>
      <c r="M13" s="177" t="s">
        <v>134</v>
      </c>
      <c r="N13" s="177" t="str">
        <f>'Strategy Summary'!B14</f>
        <v>1x2</v>
      </c>
      <c r="O13" s="177" t="str">
        <f>'Strategy Summary'!C14</f>
        <v>1x3</v>
      </c>
      <c r="P13" s="177" t="str">
        <f>'Strategy Summary'!D14</f>
        <v>1x4</v>
      </c>
      <c r="Q13" s="177" t="str">
        <f>'Strategy Summary'!E14</f>
        <v>1x5</v>
      </c>
      <c r="R13" s="177" t="str">
        <f>'Strategy Summary'!F14</f>
        <v>1x6</v>
      </c>
      <c r="S13" s="177" t="str">
        <f>'Strategy Summary'!G14</f>
        <v>1x7</v>
      </c>
      <c r="T13" s="177" t="str">
        <f>'Strategy Summary'!H14</f>
        <v>1x8</v>
      </c>
      <c r="U13" s="177" t="str">
        <f>'Strategy Summary'!I14</f>
        <v>1x9</v>
      </c>
      <c r="V13" s="177" t="str">
        <f>'Strategy Summary'!J14</f>
        <v>1x10</v>
      </c>
      <c r="X13" s="179">
        <f>ER!A8</f>
        <v>10</v>
      </c>
      <c r="Y13" s="34">
        <f>ER!B8</f>
        <v>-0.14666789263035868</v>
      </c>
      <c r="Z13" s="34">
        <f>ER!C8</f>
        <v>0.3589394124422991</v>
      </c>
      <c r="AA13" s="34">
        <f>ER!D8</f>
        <v>0.40932067017593915</v>
      </c>
      <c r="AB13" s="34">
        <f>ER!E8</f>
        <v>0.460940243794354</v>
      </c>
      <c r="AC13" s="34">
        <f>ER!F8</f>
        <v>0.51251710900326775</v>
      </c>
      <c r="AD13" s="34">
        <f>ER!G8</f>
        <v>0.57559016859776857</v>
      </c>
      <c r="AE13" s="34">
        <f>ER!H8</f>
        <v>0.39241245528243773</v>
      </c>
      <c r="AF13" s="34">
        <f>ER!I8</f>
        <v>0.28663571688628381</v>
      </c>
      <c r="AG13" s="34">
        <f>ER!J8</f>
        <v>0.1443283683807712</v>
      </c>
      <c r="AH13" s="34">
        <f>ER!K8</f>
        <v>-4.4990260383613007E-2</v>
      </c>
    </row>
    <row r="14" spans="1:34" x14ac:dyDescent="0.2">
      <c r="A14" s="174">
        <f>Rules!I10</f>
        <v>14</v>
      </c>
      <c r="B14" s="49" t="str">
        <f>Rules!J10</f>
        <v>H</v>
      </c>
      <c r="C14" s="49" t="str">
        <f>Rules!K10</f>
        <v>S</v>
      </c>
      <c r="D14" s="49" t="str">
        <f>Rules!L10</f>
        <v>S</v>
      </c>
      <c r="E14" s="49" t="str">
        <f>Rules!M10</f>
        <v>S</v>
      </c>
      <c r="F14" s="49" t="str">
        <f>Rules!N10</f>
        <v>S</v>
      </c>
      <c r="G14" s="49" t="str">
        <f>Rules!O10</f>
        <v>S</v>
      </c>
      <c r="H14" s="49" t="str">
        <f>Rules!P10</f>
        <v>H</v>
      </c>
      <c r="I14" s="49" t="str">
        <f>Rules!Q10</f>
        <v>H</v>
      </c>
      <c r="J14" s="49" t="str">
        <f>Rules!R10</f>
        <v>H</v>
      </c>
      <c r="K14" s="49" t="str">
        <f>Rules!S10</f>
        <v>H</v>
      </c>
      <c r="M14" s="177">
        <f>'Strategy Summary'!A16</f>
        <v>2</v>
      </c>
      <c r="N14" s="1">
        <f>'Strategy Summary'!B16</f>
        <v>0.46572739415337044</v>
      </c>
      <c r="O14" s="1">
        <f>'Strategy Summary'!C16</f>
        <v>0.61181931874426798</v>
      </c>
      <c r="P14" s="1">
        <f>'Strategy Summary'!D16</f>
        <v>0.68396550721688909</v>
      </c>
      <c r="Q14" s="1">
        <f>'Strategy Summary'!E16</f>
        <v>0.72439808678634787</v>
      </c>
      <c r="R14" s="1">
        <f>'Strategy Summary'!F16</f>
        <v>0.74893598538226158</v>
      </c>
      <c r="S14" s="1">
        <f>'Strategy Summary'!G16</f>
        <v>0.76462049939647958</v>
      </c>
      <c r="T14" s="1">
        <f>'Strategy Summary'!H16</f>
        <v>0.7750001756556687</v>
      </c>
      <c r="U14" s="1">
        <f>'Strategy Summary'!I16</f>
        <v>0.78203399995387746</v>
      </c>
      <c r="V14" s="1">
        <f>'Strategy Summary'!J16</f>
        <v>0.78687937415645604</v>
      </c>
      <c r="X14" s="179">
        <f>ER!A9</f>
        <v>11</v>
      </c>
      <c r="Y14" s="34">
        <f>ER!B9</f>
        <v>-4.1986836980868178E-2</v>
      </c>
      <c r="Z14" s="34">
        <f>ER!C9</f>
        <v>0.47064092333946889</v>
      </c>
      <c r="AA14" s="34">
        <f>ER!D9</f>
        <v>0.51779525312221675</v>
      </c>
      <c r="AB14" s="34">
        <f>ER!E9</f>
        <v>0.56604055041797607</v>
      </c>
      <c r="AC14" s="34">
        <f>ER!F9</f>
        <v>0.61469901790902803</v>
      </c>
      <c r="AD14" s="34">
        <f>ER!G9</f>
        <v>0.66738009490756944</v>
      </c>
      <c r="AE14" s="34">
        <f>ER!H9</f>
        <v>0.46288894886429077</v>
      </c>
      <c r="AF14" s="34">
        <f>ER!I9</f>
        <v>0.35069259087031512</v>
      </c>
      <c r="AG14" s="34">
        <f>ER!J9</f>
        <v>0.22778342315245487</v>
      </c>
      <c r="AH14" s="34">
        <f>ER!K9</f>
        <v>5.9690795265877464E-2</v>
      </c>
    </row>
    <row r="15" spans="1:34" x14ac:dyDescent="0.2">
      <c r="A15" s="174">
        <f>Rules!I11</f>
        <v>15</v>
      </c>
      <c r="B15" s="49" t="str">
        <f>Rules!J11</f>
        <v>H</v>
      </c>
      <c r="C15" s="49" t="str">
        <f>Rules!K11</f>
        <v>S</v>
      </c>
      <c r="D15" s="49" t="str">
        <f>Rules!L11</f>
        <v>S</v>
      </c>
      <c r="E15" s="49" t="str">
        <f>Rules!M11</f>
        <v>S</v>
      </c>
      <c r="F15" s="49" t="str">
        <f>Rules!N11</f>
        <v>S</v>
      </c>
      <c r="G15" s="49" t="str">
        <f>Rules!O11</f>
        <v>S</v>
      </c>
      <c r="H15" s="49" t="str">
        <f>Rules!P11</f>
        <v>H</v>
      </c>
      <c r="I15" s="49" t="str">
        <f>Rules!Q11</f>
        <v>H</v>
      </c>
      <c r="J15" s="49" t="str">
        <f>Rules!R11</f>
        <v>H</v>
      </c>
      <c r="K15" s="49" t="str">
        <f>Rules!S11</f>
        <v>H</v>
      </c>
      <c r="M15" s="177">
        <f>'Strategy Summary'!A17</f>
        <v>3</v>
      </c>
      <c r="N15" s="1">
        <f>'Strategy Summary'!B17</f>
        <v>0.64317191147208108</v>
      </c>
      <c r="O15" s="1">
        <f>'Strategy Summary'!C17</f>
        <v>0.78341055193537878</v>
      </c>
      <c r="P15" s="1">
        <f>'Strategy Summary'!D17</f>
        <v>0.84353843668476636</v>
      </c>
      <c r="Q15" s="1">
        <f>'Strategy Summary'!E17</f>
        <v>0.87407689830200419</v>
      </c>
      <c r="R15" s="1">
        <f>'Strategy Summary'!F17</f>
        <v>0.8913994291370505</v>
      </c>
      <c r="S15" s="1">
        <f>'Strategy Summary'!G17</f>
        <v>0.90196679427164039</v>
      </c>
      <c r="T15" s="1">
        <f>'Strategy Summary'!H17</f>
        <v>0.90873606191507839</v>
      </c>
      <c r="U15" s="1">
        <f>'Strategy Summary'!I17</f>
        <v>0.91321959488546556</v>
      </c>
      <c r="V15" s="1">
        <f>'Strategy Summary'!J17</f>
        <v>0.91625868876611938</v>
      </c>
      <c r="X15" s="179">
        <f>ER!A10</f>
        <v>12</v>
      </c>
      <c r="Y15" s="34">
        <f>ER!B10</f>
        <v>-0.46566058377683939</v>
      </c>
      <c r="Z15" s="34">
        <f>ER!C10</f>
        <v>-0.25338998596663809</v>
      </c>
      <c r="AA15" s="34">
        <f>ER!D10</f>
        <v>-0.2336908997980866</v>
      </c>
      <c r="AB15" s="34">
        <f>ER!E10</f>
        <v>-0.21106310899491437</v>
      </c>
      <c r="AC15" s="34">
        <f>ER!F10</f>
        <v>-0.16719266083547524</v>
      </c>
      <c r="AD15" s="34">
        <f>ER!G10</f>
        <v>-0.1536990158300045</v>
      </c>
      <c r="AE15" s="34">
        <f>ER!H10</f>
        <v>-0.21284771451731424</v>
      </c>
      <c r="AF15" s="34">
        <f>ER!I10</f>
        <v>-0.27157480502428616</v>
      </c>
      <c r="AG15" s="34">
        <f>ER!J10</f>
        <v>-0.3400132806089356</v>
      </c>
      <c r="AH15" s="34">
        <f>ER!K10</f>
        <v>-0.42069618899826788</v>
      </c>
    </row>
    <row r="16" spans="1:34" x14ac:dyDescent="0.2">
      <c r="A16" s="174">
        <f>Rules!I12</f>
        <v>16</v>
      </c>
      <c r="B16" s="49" t="str">
        <f>Rules!J12</f>
        <v>S</v>
      </c>
      <c r="C16" s="49" t="str">
        <f>Rules!K12</f>
        <v>S</v>
      </c>
      <c r="D16" s="49" t="str">
        <f>Rules!L12</f>
        <v>S</v>
      </c>
      <c r="E16" s="49" t="str">
        <f>Rules!M12</f>
        <v>S</v>
      </c>
      <c r="F16" s="49" t="str">
        <f>Rules!N12</f>
        <v>S</v>
      </c>
      <c r="G16" s="49" t="str">
        <f>Rules!O12</f>
        <v>S</v>
      </c>
      <c r="H16" s="49" t="str">
        <f>Rules!P12</f>
        <v>H</v>
      </c>
      <c r="I16" s="49" t="str">
        <f>Rules!Q12</f>
        <v>H</v>
      </c>
      <c r="J16" s="49" t="str">
        <f>Rules!R12</f>
        <v>H</v>
      </c>
      <c r="K16" s="49" t="str">
        <f>Rules!S12</f>
        <v>H</v>
      </c>
      <c r="M16" s="177">
        <f>'Strategy Summary'!A18</f>
        <v>4</v>
      </c>
      <c r="N16" s="1">
        <f>'Strategy Summary'!B18</f>
        <v>0.74667183613445132</v>
      </c>
      <c r="O16" s="1">
        <f>'Strategy Summary'!C18</f>
        <v>0.87307572952522516</v>
      </c>
      <c r="P16" s="1">
        <f>'Strategy Summary'!D18</f>
        <v>0.91935383975987739</v>
      </c>
      <c r="Q16" s="1">
        <f>'Strategy Summary'!E18</f>
        <v>0.94042846022944293</v>
      </c>
      <c r="R16" s="1">
        <f>'Strategy Summary'!F18</f>
        <v>0.95153014094728505</v>
      </c>
      <c r="S16" s="1">
        <f>'Strategy Summary'!G18</f>
        <v>0.95796796441162091</v>
      </c>
      <c r="T16" s="1">
        <f>'Strategy Summary'!H18</f>
        <v>0.96194968835013461</v>
      </c>
      <c r="U16" s="1">
        <f>'Strategy Summary'!I18</f>
        <v>0.96452299987346923</v>
      </c>
      <c r="V16" s="1">
        <f>'Strategy Summary'!J18</f>
        <v>0.96623740283459492</v>
      </c>
      <c r="X16" s="179">
        <f>ER!A11</f>
        <v>13</v>
      </c>
      <c r="Y16" s="34">
        <f>ER!B11</f>
        <v>-0.50382768493563657</v>
      </c>
      <c r="Z16" s="34">
        <f>ER!C11</f>
        <v>-0.29278372720927726</v>
      </c>
      <c r="AA16" s="34">
        <f>ER!D11</f>
        <v>-0.2522502292357135</v>
      </c>
      <c r="AB16" s="34">
        <f>ER!E11</f>
        <v>-0.21106310899491437</v>
      </c>
      <c r="AC16" s="34">
        <f>ER!F11</f>
        <v>-0.16719266083547524</v>
      </c>
      <c r="AD16" s="34">
        <f>ER!G11</f>
        <v>-0.1536990158300045</v>
      </c>
      <c r="AE16" s="34">
        <f>ER!H11</f>
        <v>-0.26907287776607752</v>
      </c>
      <c r="AF16" s="34">
        <f>ER!I11</f>
        <v>-0.32360517609397998</v>
      </c>
      <c r="AG16" s="34">
        <f>ER!J11</f>
        <v>-0.38715518913686875</v>
      </c>
      <c r="AH16" s="34">
        <f>ER!K11</f>
        <v>-0.46207503264124877</v>
      </c>
    </row>
    <row r="17" spans="1:34" x14ac:dyDescent="0.2">
      <c r="A17" s="174" t="str">
        <f>Rules!I13</f>
        <v>17-21</v>
      </c>
      <c r="B17" s="49" t="str">
        <f>Rules!J13</f>
        <v>S</v>
      </c>
      <c r="C17" s="49" t="str">
        <f>Rules!K13</f>
        <v>S</v>
      </c>
      <c r="D17" s="49" t="str">
        <f>Rules!L13</f>
        <v>S</v>
      </c>
      <c r="E17" s="49" t="str">
        <f>Rules!M13</f>
        <v>S</v>
      </c>
      <c r="F17" s="49" t="str">
        <f>Rules!N13</f>
        <v>S</v>
      </c>
      <c r="G17" s="49" t="str">
        <f>Rules!O13</f>
        <v>S</v>
      </c>
      <c r="H17" s="49" t="str">
        <f>Rules!P13</f>
        <v>S</v>
      </c>
      <c r="I17" s="49" t="str">
        <f>Rules!Q13</f>
        <v>S</v>
      </c>
      <c r="J17" s="49" t="str">
        <f>Rules!R13</f>
        <v>S</v>
      </c>
      <c r="K17" s="49" t="str">
        <f>Rules!S13</f>
        <v>S</v>
      </c>
      <c r="M17" s="306" t="s">
        <v>193</v>
      </c>
      <c r="N17" s="307"/>
      <c r="O17" s="307"/>
      <c r="P17" s="307"/>
      <c r="Q17" s="307"/>
      <c r="R17" s="307"/>
      <c r="S17" s="307"/>
      <c r="T17" s="307"/>
      <c r="U17" s="307"/>
      <c r="V17" s="308"/>
      <c r="X17" s="179">
        <f>ER!A12</f>
        <v>14</v>
      </c>
      <c r="Y17" s="34">
        <f>ER!B12</f>
        <v>-0.53926856458309114</v>
      </c>
      <c r="Z17" s="34">
        <f>ER!C12</f>
        <v>-0.29278372720927726</v>
      </c>
      <c r="AA17" s="34">
        <f>ER!D12</f>
        <v>-0.2522502292357135</v>
      </c>
      <c r="AB17" s="34">
        <f>ER!E12</f>
        <v>-0.21106310899491437</v>
      </c>
      <c r="AC17" s="34">
        <f>ER!F12</f>
        <v>-0.16719266083547524</v>
      </c>
      <c r="AD17" s="34">
        <f>ER!G12</f>
        <v>-0.1536990158300045</v>
      </c>
      <c r="AE17" s="34">
        <f>ER!H12</f>
        <v>-0.3212819579256434</v>
      </c>
      <c r="AF17" s="34">
        <f>ER!I12</f>
        <v>-0.37191909208726714</v>
      </c>
      <c r="AG17" s="34">
        <f>ER!J12</f>
        <v>-0.43092981848423528</v>
      </c>
      <c r="AH17" s="34">
        <f>ER!K12</f>
        <v>-0.50049824459544523</v>
      </c>
    </row>
    <row r="18" spans="1:34" x14ac:dyDescent="0.2">
      <c r="A18" s="174" t="str">
        <f>Rules!I14</f>
        <v>Soft</v>
      </c>
      <c r="B18" s="174" t="str">
        <f>Rules!J14</f>
        <v>A</v>
      </c>
      <c r="C18" s="174">
        <f>Rules!K14</f>
        <v>2</v>
      </c>
      <c r="D18" s="174">
        <f>Rules!L14</f>
        <v>3</v>
      </c>
      <c r="E18" s="174">
        <f>Rules!M14</f>
        <v>4</v>
      </c>
      <c r="F18" s="174">
        <f>Rules!N14</f>
        <v>5</v>
      </c>
      <c r="G18" s="174">
        <f>Rules!O14</f>
        <v>6</v>
      </c>
      <c r="H18" s="174">
        <f>Rules!P14</f>
        <v>7</v>
      </c>
      <c r="I18" s="174">
        <f>Rules!Q14</f>
        <v>8</v>
      </c>
      <c r="J18" s="174">
        <f>Rules!R14</f>
        <v>9</v>
      </c>
      <c r="K18" s="174">
        <f>Rules!S14</f>
        <v>10</v>
      </c>
      <c r="M18" s="177" t="s">
        <v>134</v>
      </c>
      <c r="N18" s="177" t="str">
        <f>'Strategy Summary'!B26</f>
        <v>1x2</v>
      </c>
      <c r="O18" s="177" t="str">
        <f>'Strategy Summary'!C26</f>
        <v>1x3</v>
      </c>
      <c r="P18" s="177" t="str">
        <f>'Strategy Summary'!D26</f>
        <v>1x4</v>
      </c>
      <c r="Q18" s="177" t="str">
        <f>'Strategy Summary'!E26</f>
        <v>1x5</v>
      </c>
      <c r="R18" s="177" t="str">
        <f>'Strategy Summary'!F26</f>
        <v>1x6</v>
      </c>
      <c r="S18" s="177" t="str">
        <f>'Strategy Summary'!G26</f>
        <v>1x7</v>
      </c>
      <c r="T18" s="177" t="str">
        <f>'Strategy Summary'!H26</f>
        <v>1x8</v>
      </c>
      <c r="U18" s="177" t="str">
        <f>'Strategy Summary'!I26</f>
        <v>1x9</v>
      </c>
      <c r="V18" s="177" t="str">
        <f>'Strategy Summary'!J26</f>
        <v>1x10</v>
      </c>
      <c r="X18" s="179">
        <f>ER!A13</f>
        <v>15</v>
      </c>
      <c r="Y18" s="34">
        <f>ER!B13</f>
        <v>-0.572177952827156</v>
      </c>
      <c r="Z18" s="34">
        <f>ER!C13</f>
        <v>-0.29278372720927726</v>
      </c>
      <c r="AA18" s="34">
        <f>ER!D13</f>
        <v>-0.2522502292357135</v>
      </c>
      <c r="AB18" s="34">
        <f>ER!E13</f>
        <v>-0.21106310899491437</v>
      </c>
      <c r="AC18" s="34">
        <f>ER!F13</f>
        <v>-0.16719266083547524</v>
      </c>
      <c r="AD18" s="34">
        <f>ER!G13</f>
        <v>-0.1536990158300045</v>
      </c>
      <c r="AE18" s="34">
        <f>ER!H13</f>
        <v>-0.36976181807381175</v>
      </c>
      <c r="AF18" s="34">
        <f>ER!I13</f>
        <v>-0.41678201408103371</v>
      </c>
      <c r="AG18" s="34">
        <f>ER!J13</f>
        <v>-0.47157768859250415</v>
      </c>
      <c r="AH18" s="34">
        <f>ER!K13</f>
        <v>-0.53617694141005634</v>
      </c>
    </row>
    <row r="19" spans="1:34" x14ac:dyDescent="0.2">
      <c r="A19" s="174">
        <f>Rules!I15</f>
        <v>13</v>
      </c>
      <c r="B19" s="49" t="str">
        <f>Rules!J15</f>
        <v>H</v>
      </c>
      <c r="C19" s="49" t="str">
        <f>Rules!K15</f>
        <v>H</v>
      </c>
      <c r="D19" s="49" t="str">
        <f>Rules!L15</f>
        <v>H</v>
      </c>
      <c r="E19" s="49" t="str">
        <f>Rules!M15</f>
        <v>H</v>
      </c>
      <c r="F19" s="49" t="str">
        <f>Rules!N15</f>
        <v>H</v>
      </c>
      <c r="G19" s="49" t="str">
        <f>Rules!O15</f>
        <v>H</v>
      </c>
      <c r="H19" s="49" t="str">
        <f>Rules!P15</f>
        <v>H</v>
      </c>
      <c r="I19" s="49" t="str">
        <f>Rules!Q15</f>
        <v>H</v>
      </c>
      <c r="J19" s="49" t="str">
        <f>Rules!R15</f>
        <v>H</v>
      </c>
      <c r="K19" s="49" t="str">
        <f>Rules!S15</f>
        <v>H</v>
      </c>
      <c r="M19" s="177">
        <f>'Strategy Summary'!A28</f>
        <v>2</v>
      </c>
      <c r="N19" s="1">
        <f>'Strategy Summary'!B28</f>
        <v>12.883072963545962</v>
      </c>
      <c r="O19" s="1">
        <f>'Strategy Summary'!C28</f>
        <v>19.613633686215511</v>
      </c>
      <c r="P19" s="1">
        <f>'Strategy Summary'!D28</f>
        <v>29.241240660485374</v>
      </c>
      <c r="Q19" s="1">
        <f>'Strategy Summary'!E28</f>
        <v>41.413693033190086</v>
      </c>
      <c r="R19" s="1">
        <f>'Strategy Summary'!F28</f>
        <v>56.079559294460843</v>
      </c>
      <c r="S19" s="1">
        <f>'Strategy Summary'!G28</f>
        <v>73.238946698657955</v>
      </c>
      <c r="T19" s="1">
        <f>'Strategy Summary'!H28</f>
        <v>92.903204749710255</v>
      </c>
      <c r="U19" s="1">
        <f>'Strategy Summary'!I28</f>
        <v>115.08451039891871</v>
      </c>
      <c r="V19" s="1">
        <f>'Strategy Summary'!J28</f>
        <v>139.79270980119577</v>
      </c>
      <c r="X19" s="179">
        <f>ER!A14</f>
        <v>16</v>
      </c>
      <c r="Y19" s="34">
        <f>ER!B14</f>
        <v>-0.57578184676460165</v>
      </c>
      <c r="Z19" s="34">
        <f>ER!C14</f>
        <v>-0.29278372720927726</v>
      </c>
      <c r="AA19" s="34">
        <f>ER!D14</f>
        <v>-0.2522502292357135</v>
      </c>
      <c r="AB19" s="34">
        <f>ER!E14</f>
        <v>-0.21106310899491437</v>
      </c>
      <c r="AC19" s="34">
        <f>ER!F14</f>
        <v>-0.16719266083547524</v>
      </c>
      <c r="AD19" s="34">
        <f>ER!G14</f>
        <v>-0.1536990158300045</v>
      </c>
      <c r="AE19" s="34">
        <f>ER!H14</f>
        <v>-0.41477883106853947</v>
      </c>
      <c r="AF19" s="34">
        <f>ER!I14</f>
        <v>-0.45844044164667419</v>
      </c>
      <c r="AG19" s="34">
        <f>ER!J14</f>
        <v>-0.50932213940732529</v>
      </c>
      <c r="AH19" s="34">
        <f>ER!K14</f>
        <v>-0.56930715988076652</v>
      </c>
    </row>
    <row r="20" spans="1:34" x14ac:dyDescent="0.2">
      <c r="A20" s="174">
        <f>Rules!I16</f>
        <v>14</v>
      </c>
      <c r="B20" s="49" t="str">
        <f>Rules!J16</f>
        <v>H</v>
      </c>
      <c r="C20" s="49" t="str">
        <f>Rules!K16</f>
        <v>H</v>
      </c>
      <c r="D20" s="49" t="str">
        <f>Rules!L16</f>
        <v>H</v>
      </c>
      <c r="E20" s="49" t="str">
        <f>Rules!M16</f>
        <v>H</v>
      </c>
      <c r="F20" s="49" t="str">
        <f>Rules!N16</f>
        <v>H</v>
      </c>
      <c r="G20" s="49" t="str">
        <f>Rules!O16</f>
        <v>H</v>
      </c>
      <c r="H20" s="49" t="str">
        <f>Rules!P16</f>
        <v>H</v>
      </c>
      <c r="I20" s="49" t="str">
        <f>Rules!Q16</f>
        <v>H</v>
      </c>
      <c r="J20" s="49" t="str">
        <f>Rules!R16</f>
        <v>H</v>
      </c>
      <c r="K20" s="49" t="str">
        <f>Rules!S16</f>
        <v>H</v>
      </c>
      <c r="M20" s="177">
        <f>'Strategy Summary'!A29</f>
        <v>3</v>
      </c>
      <c r="N20" s="1">
        <f>'Strategy Summary'!B29</f>
        <v>21.767119723802981</v>
      </c>
      <c r="O20" s="1">
        <f>'Strategy Summary'!C29</f>
        <v>49.782326653186303</v>
      </c>
      <c r="P20" s="1">
        <f>'Strategy Summary'!D29</f>
        <v>99.580524546258616</v>
      </c>
      <c r="Q20" s="1">
        <f>'Strategy Summary'!E29</f>
        <v>177.3299355023631</v>
      </c>
      <c r="R20" s="1">
        <f>'Strategy Summary'!F29</f>
        <v>289.43253895704834</v>
      </c>
      <c r="S20" s="1">
        <f>'Strategy Summary'!G29</f>
        <v>442.36661763385865</v>
      </c>
      <c r="T20" s="1">
        <f>'Strategy Summary'!H29</f>
        <v>642.65084712196108</v>
      </c>
      <c r="U20" s="1">
        <f>'Strategy Summary'!I29</f>
        <v>896.82701136380854</v>
      </c>
      <c r="V20" s="1">
        <f>'Strategy Summary'!J29</f>
        <v>1211.4482663130677</v>
      </c>
      <c r="X20" s="179">
        <f>ER!A15</f>
        <v>17</v>
      </c>
      <c r="Y20" s="34">
        <f>ER!B15</f>
        <v>-0.46435750824198752</v>
      </c>
      <c r="Z20" s="34">
        <f>ER!C15</f>
        <v>-0.15297458768154204</v>
      </c>
      <c r="AA20" s="34">
        <f>ER!D15</f>
        <v>-0.11721624142457365</v>
      </c>
      <c r="AB20" s="34">
        <f>ER!E15</f>
        <v>-8.0573373145316152E-2</v>
      </c>
      <c r="AC20" s="34">
        <f>ER!F15</f>
        <v>-4.4941375564924446E-2</v>
      </c>
      <c r="AD20" s="34">
        <f>ER!G15</f>
        <v>1.1739160673341853E-2</v>
      </c>
      <c r="AE20" s="34">
        <f>ER!H15</f>
        <v>-0.10680898948269468</v>
      </c>
      <c r="AF20" s="34">
        <f>ER!I15</f>
        <v>-0.38195097104844711</v>
      </c>
      <c r="AG20" s="34">
        <f>ER!J15</f>
        <v>-0.42315423964521737</v>
      </c>
      <c r="AH20" s="34">
        <f>ER!K15</f>
        <v>-0.46435750824198763</v>
      </c>
    </row>
    <row r="21" spans="1:34" x14ac:dyDescent="0.2">
      <c r="A21" s="174">
        <f>Rules!I17</f>
        <v>15</v>
      </c>
      <c r="B21" s="49" t="str">
        <f>Rules!J17</f>
        <v>H</v>
      </c>
      <c r="C21" s="49" t="str">
        <f>Rules!K17</f>
        <v>H</v>
      </c>
      <c r="D21" s="49" t="str">
        <f>Rules!L17</f>
        <v>H</v>
      </c>
      <c r="E21" s="49" t="str">
        <f>Rules!M17</f>
        <v>H</v>
      </c>
      <c r="F21" s="49" t="str">
        <f>Rules!N17</f>
        <v>H</v>
      </c>
      <c r="G21" s="49" t="str">
        <f>Rules!O17</f>
        <v>H</v>
      </c>
      <c r="H21" s="49" t="str">
        <f>Rules!P17</f>
        <v>H</v>
      </c>
      <c r="I21" s="49" t="str">
        <f>Rules!Q17</f>
        <v>H</v>
      </c>
      <c r="J21" s="49" t="str">
        <f>Rules!R17</f>
        <v>H</v>
      </c>
      <c r="K21" s="49" t="str">
        <f>Rules!S17</f>
        <v>H</v>
      </c>
      <c r="M21" s="177">
        <f>'Strategy Summary'!A30</f>
        <v>4</v>
      </c>
      <c r="N21" s="1">
        <f>'Strategy Summary'!B30</f>
        <v>40.178293258402711</v>
      </c>
      <c r="O21" s="1">
        <f>'Strategy Summary'!C30</f>
        <v>137.44512181693045</v>
      </c>
      <c r="P21" s="1">
        <f>'Strategy Summary'!D30</f>
        <v>369.8249632467988</v>
      </c>
      <c r="Q21" s="1">
        <f>'Strategy Summary'!E30</f>
        <v>829.4091820761123</v>
      </c>
      <c r="R21" s="1">
        <f>'Strategy Summary'!F30</f>
        <v>1633.1589858550701</v>
      </c>
      <c r="S21" s="1">
        <f>'Strategy Summary'!G30</f>
        <v>2922.8534815563962</v>
      </c>
      <c r="T21" s="1">
        <f>'Strategy Summary'!H30</f>
        <v>4865.119305799446</v>
      </c>
      <c r="U21" s="1">
        <f>'Strategy Summary'!I30</f>
        <v>7651.4505107375808</v>
      </c>
      <c r="V21" s="1">
        <f>'Strategy Summary'!J30</f>
        <v>11498.209412518325</v>
      </c>
      <c r="X21" s="179">
        <f>ER!A16</f>
        <v>18</v>
      </c>
      <c r="Y21" s="34">
        <f>ER!B16</f>
        <v>-0.24150883119675959</v>
      </c>
      <c r="Z21" s="34">
        <f>ER!C16</f>
        <v>0.12174190222088771</v>
      </c>
      <c r="AA21" s="34">
        <f>ER!D16</f>
        <v>0.14830007284131119</v>
      </c>
      <c r="AB21" s="34">
        <f>ER!E16</f>
        <v>0.17585443719748528</v>
      </c>
      <c r="AC21" s="34">
        <f>ER!F16</f>
        <v>0.19956119497617719</v>
      </c>
      <c r="AD21" s="34">
        <f>ER!G16</f>
        <v>0.28344391604689856</v>
      </c>
      <c r="AE21" s="34">
        <f>ER!H16</f>
        <v>0.3995541673365518</v>
      </c>
      <c r="AF21" s="34">
        <f>ER!I16</f>
        <v>0.10595134861912359</v>
      </c>
      <c r="AG21" s="34">
        <f>ER!J16</f>
        <v>-0.18316335667343331</v>
      </c>
      <c r="AH21" s="34">
        <f>ER!K16</f>
        <v>-0.24150883119675959</v>
      </c>
    </row>
    <row r="22" spans="1:34" x14ac:dyDescent="0.2">
      <c r="A22" s="174">
        <f>Rules!I18</f>
        <v>16</v>
      </c>
      <c r="B22" s="49" t="str">
        <f>Rules!J18</f>
        <v>H</v>
      </c>
      <c r="C22" s="49" t="str">
        <f>Rules!K18</f>
        <v>H</v>
      </c>
      <c r="D22" s="49" t="str">
        <f>Rules!L18</f>
        <v>H</v>
      </c>
      <c r="E22" s="49" t="str">
        <f>Rules!M18</f>
        <v>H</v>
      </c>
      <c r="F22" s="49" t="str">
        <f>Rules!N18</f>
        <v>H</v>
      </c>
      <c r="G22" s="49" t="str">
        <f>Rules!O18</f>
        <v>H</v>
      </c>
      <c r="H22" s="49" t="str">
        <f>Rules!P18</f>
        <v>H</v>
      </c>
      <c r="I22" s="49" t="str">
        <f>Rules!Q18</f>
        <v>H</v>
      </c>
      <c r="J22" s="49" t="str">
        <f>Rules!R18</f>
        <v>H</v>
      </c>
      <c r="K22" s="49" t="str">
        <f>Rules!S18</f>
        <v>H</v>
      </c>
      <c r="M22" s="306" t="s">
        <v>194</v>
      </c>
      <c r="N22" s="307"/>
      <c r="O22" s="307"/>
      <c r="P22" s="307"/>
      <c r="Q22" s="307"/>
      <c r="R22" s="307"/>
      <c r="S22" s="307"/>
      <c r="T22" s="307"/>
      <c r="U22" s="307"/>
      <c r="V22" s="308"/>
      <c r="X22" s="179">
        <f>ER!A17</f>
        <v>19</v>
      </c>
      <c r="Y22" s="34">
        <f>ER!B17</f>
        <v>-1.8660154151531549E-2</v>
      </c>
      <c r="Z22" s="34">
        <f>ER!C17</f>
        <v>0.38630468602058987</v>
      </c>
      <c r="AA22" s="34">
        <f>ER!D17</f>
        <v>0.40436293659776001</v>
      </c>
      <c r="AB22" s="34">
        <f>ER!E17</f>
        <v>0.42317892482749647</v>
      </c>
      <c r="AC22" s="34">
        <f>ER!F17</f>
        <v>0.43951210416088371</v>
      </c>
      <c r="AD22" s="34">
        <f>ER!G17</f>
        <v>0.49597707378731909</v>
      </c>
      <c r="AE22" s="34">
        <f>ER!H17</f>
        <v>0.6159764957534315</v>
      </c>
      <c r="AF22" s="34">
        <f>ER!I17</f>
        <v>0.5938536682866945</v>
      </c>
      <c r="AG22" s="34">
        <f>ER!J17</f>
        <v>0.28759675706758142</v>
      </c>
      <c r="AH22" s="34">
        <f>ER!K17</f>
        <v>-1.8660154151531536E-2</v>
      </c>
    </row>
    <row r="23" spans="1:34" x14ac:dyDescent="0.2">
      <c r="A23" s="174">
        <f>Rules!I19</f>
        <v>17</v>
      </c>
      <c r="B23" s="49" t="str">
        <f>Rules!J19</f>
        <v>H</v>
      </c>
      <c r="C23" s="49" t="str">
        <f>Rules!K19</f>
        <v>H</v>
      </c>
      <c r="D23" s="49" t="str">
        <f>Rules!L19</f>
        <v>H</v>
      </c>
      <c r="E23" s="49" t="str">
        <f>Rules!M19</f>
        <v>H</v>
      </c>
      <c r="F23" s="49" t="str">
        <f>Rules!N19</f>
        <v>H</v>
      </c>
      <c r="G23" s="49" t="str">
        <f>Rules!O19</f>
        <v>H</v>
      </c>
      <c r="H23" s="49" t="str">
        <f>Rules!P19</f>
        <v>H</v>
      </c>
      <c r="I23" s="49" t="str">
        <f>Rules!Q19</f>
        <v>H</v>
      </c>
      <c r="J23" s="49" t="str">
        <f>Rules!R19</f>
        <v>H</v>
      </c>
      <c r="K23" s="49" t="str">
        <f>Rules!S19</f>
        <v>H</v>
      </c>
      <c r="M23" s="177" t="s">
        <v>134</v>
      </c>
      <c r="N23" s="177" t="str">
        <f>'Strategy Summary'!B50</f>
        <v>1x2</v>
      </c>
      <c r="O23" s="177" t="str">
        <f>'Strategy Summary'!C50</f>
        <v>1x3</v>
      </c>
      <c r="P23" s="177" t="str">
        <f>'Strategy Summary'!D50</f>
        <v>1x4</v>
      </c>
      <c r="Q23" s="177" t="str">
        <f>'Strategy Summary'!E50</f>
        <v>1x5</v>
      </c>
      <c r="R23" s="177" t="str">
        <f>'Strategy Summary'!F50</f>
        <v>1x6</v>
      </c>
      <c r="S23" s="177" t="str">
        <f>'Strategy Summary'!G50</f>
        <v>1x7</v>
      </c>
      <c r="T23" s="177" t="str">
        <f>'Strategy Summary'!H50</f>
        <v>1x8</v>
      </c>
      <c r="U23" s="177" t="str">
        <f>'Strategy Summary'!I50</f>
        <v>1x9</v>
      </c>
      <c r="V23" s="177" t="str">
        <f>'Strategy Summary'!J50</f>
        <v>1x10</v>
      </c>
      <c r="X23" s="179" t="str">
        <f>ER!A18</f>
        <v>Soft</v>
      </c>
      <c r="Y23" s="179" t="str">
        <f>ER!B18</f>
        <v>Ace</v>
      </c>
      <c r="Z23" s="179">
        <f>ER!C18</f>
        <v>2</v>
      </c>
      <c r="AA23" s="179">
        <f>ER!D18</f>
        <v>3</v>
      </c>
      <c r="AB23" s="179">
        <f>ER!E18</f>
        <v>4</v>
      </c>
      <c r="AC23" s="179">
        <f>ER!F18</f>
        <v>5</v>
      </c>
      <c r="AD23" s="179">
        <f>ER!G18</f>
        <v>6</v>
      </c>
      <c r="AE23" s="179">
        <f>ER!H18</f>
        <v>7</v>
      </c>
      <c r="AF23" s="179">
        <f>ER!I18</f>
        <v>8</v>
      </c>
      <c r="AG23" s="179">
        <f>ER!J18</f>
        <v>9</v>
      </c>
      <c r="AH23" s="179">
        <f>ER!K18</f>
        <v>10</v>
      </c>
    </row>
    <row r="24" spans="1:34" x14ac:dyDescent="0.2">
      <c r="A24" s="174">
        <f>Rules!I20</f>
        <v>18</v>
      </c>
      <c r="B24" s="49" t="str">
        <f>Rules!J20</f>
        <v>S</v>
      </c>
      <c r="C24" s="49" t="str">
        <f>Rules!K20</f>
        <v>S</v>
      </c>
      <c r="D24" s="49" t="str">
        <f>Rules!L20</f>
        <v>S</v>
      </c>
      <c r="E24" s="49" t="str">
        <f>Rules!M20</f>
        <v>S</v>
      </c>
      <c r="F24" s="49" t="str">
        <f>Rules!N20</f>
        <v>S</v>
      </c>
      <c r="G24" s="49" t="str">
        <f>Rules!O20</f>
        <v>S</v>
      </c>
      <c r="H24" s="49" t="str">
        <f>Rules!P20</f>
        <v>S</v>
      </c>
      <c r="I24" s="49" t="str">
        <f>Rules!Q20</f>
        <v>S</v>
      </c>
      <c r="J24" s="49" t="str">
        <f>Rules!R20</f>
        <v>H</v>
      </c>
      <c r="K24" s="49" t="str">
        <f>Rules!S20</f>
        <v>H</v>
      </c>
      <c r="M24" s="177">
        <v>1</v>
      </c>
      <c r="N24" s="1">
        <f>'Strategy Summary (2)'!B27</f>
        <v>29.070336462975007</v>
      </c>
      <c r="O24" s="1">
        <f>'Strategy Summary (2)'!C27</f>
        <v>26.061805505130753</v>
      </c>
      <c r="P24" s="1">
        <f>'Strategy Summary (2)'!D27</f>
        <v>33.205394258150598</v>
      </c>
      <c r="Q24" s="1">
        <f>'Strategy Summary (2)'!E27</f>
        <v>43.548275694720019</v>
      </c>
      <c r="R24" s="1">
        <f>'Strategy Summary (2)'!F27</f>
        <v>56.404819308000611</v>
      </c>
      <c r="S24" s="1">
        <f>'Strategy Summary (2)'!G27</f>
        <v>71.636533352967589</v>
      </c>
      <c r="T24" s="1">
        <f>'Strategy Summary (2)'!H27</f>
        <v>89.219994023601728</v>
      </c>
      <c r="U24" s="1">
        <f>'Strategy Summary (2)'!I27</f>
        <v>109.16137678133387</v>
      </c>
      <c r="V24" s="1">
        <f>'Strategy Summary (2)'!J27</f>
        <v>131.47239189556083</v>
      </c>
      <c r="X24" s="179">
        <f>ER!A19</f>
        <v>13</v>
      </c>
      <c r="Y24" s="34">
        <f>ER!B19</f>
        <v>-0.23472177802444921</v>
      </c>
      <c r="Z24" s="34">
        <f>ER!C19</f>
        <v>4.6636132695309543E-2</v>
      </c>
      <c r="AA24" s="34">
        <f>ER!D19</f>
        <v>7.4118813392744051E-2</v>
      </c>
      <c r="AB24" s="34">
        <f>ER!E19</f>
        <v>0.10247714687203523</v>
      </c>
      <c r="AC24" s="34">
        <f>ER!F19</f>
        <v>0.13336273848321728</v>
      </c>
      <c r="AD24" s="34">
        <f>ER!G19</f>
        <v>0.16169271124923693</v>
      </c>
      <c r="AE24" s="34">
        <f>ER!H19</f>
        <v>0.12238569517899196</v>
      </c>
      <c r="AF24" s="34">
        <f>ER!I19</f>
        <v>5.4057070196311334E-2</v>
      </c>
      <c r="AG24" s="34">
        <f>ER!J19</f>
        <v>-3.7694688127479885E-2</v>
      </c>
      <c r="AH24" s="34">
        <f>ER!K19</f>
        <v>-0.16080628455762785</v>
      </c>
    </row>
    <row r="25" spans="1:34" x14ac:dyDescent="0.2">
      <c r="A25" s="174">
        <f>Rules!I21</f>
        <v>19</v>
      </c>
      <c r="B25" s="49" t="str">
        <f>Rules!J21</f>
        <v>S</v>
      </c>
      <c r="C25" s="49" t="str">
        <f>Rules!K21</f>
        <v>S</v>
      </c>
      <c r="D25" s="49" t="str">
        <f>Rules!L21</f>
        <v>S</v>
      </c>
      <c r="E25" s="49" t="str">
        <f>Rules!M21</f>
        <v>S</v>
      </c>
      <c r="F25" s="49" t="str">
        <f>Rules!N21</f>
        <v>S</v>
      </c>
      <c r="G25" s="49" t="str">
        <f>Rules!O21</f>
        <v>S</v>
      </c>
      <c r="H25" s="49" t="str">
        <f>Rules!P21</f>
        <v>S</v>
      </c>
      <c r="I25" s="49" t="str">
        <f>Rules!Q21</f>
        <v>S</v>
      </c>
      <c r="J25" s="49" t="str">
        <f>Rules!R21</f>
        <v>S</v>
      </c>
      <c r="K25" s="49" t="str">
        <f>Rules!S21</f>
        <v>S</v>
      </c>
      <c r="M25" s="177">
        <v>2</v>
      </c>
      <c r="N25" s="1">
        <f>'Strategy Summary (2)'!B28</f>
        <v>21.471788272576603</v>
      </c>
      <c r="O25" s="1">
        <f>'Strategy Summary (2)'!C28</f>
        <v>44.130675793984899</v>
      </c>
      <c r="P25" s="1">
        <f>'Strategy Summary (2)'!D28</f>
        <v>81.875473849359054</v>
      </c>
      <c r="Q25" s="1">
        <f>'Strategy Summary (2)'!E28</f>
        <v>138.04564344396695</v>
      </c>
      <c r="R25" s="1">
        <f>'Strategy Summary (2)'!F28</f>
        <v>216.30687156434897</v>
      </c>
      <c r="S25" s="1">
        <f>'Strategy Summary (2)'!G28</f>
        <v>320.42039180662857</v>
      </c>
      <c r="T25" s="1">
        <f>'Strategy Summary (2)'!H28</f>
        <v>454.19344544302788</v>
      </c>
      <c r="U25" s="1">
        <f>'Strategy Summary (2)'!I28</f>
        <v>621.45635615416097</v>
      </c>
      <c r="V25" s="1">
        <f>'Strategy Summary (2)'!J28</f>
        <v>826.04783064342951</v>
      </c>
      <c r="X25" s="179">
        <f>ER!A20</f>
        <v>14</v>
      </c>
      <c r="Y25" s="34">
        <f>ER!B20</f>
        <v>-0.26406959413166387</v>
      </c>
      <c r="Z25" s="34">
        <f>ER!C20</f>
        <v>2.2391856987839083E-2</v>
      </c>
      <c r="AA25" s="34">
        <f>ER!D20</f>
        <v>5.0806738919282814E-2</v>
      </c>
      <c r="AB25" s="34">
        <f>ER!E20</f>
        <v>8.0081414310110233E-2</v>
      </c>
      <c r="AC25" s="34">
        <f>ER!F20</f>
        <v>0.11189449567473925</v>
      </c>
      <c r="AD25" s="34">
        <f>ER!G20</f>
        <v>0.1391647307435768</v>
      </c>
      <c r="AE25" s="34">
        <f>ER!H20</f>
        <v>7.9507488494468148E-2</v>
      </c>
      <c r="AF25" s="34">
        <f>ER!I20</f>
        <v>1.3277219463208478E-2</v>
      </c>
      <c r="AG25" s="34">
        <f>ER!J20</f>
        <v>-7.516318944168382E-2</v>
      </c>
      <c r="AH25" s="34">
        <f>ER!K20</f>
        <v>-0.1933035414076569</v>
      </c>
    </row>
    <row r="26" spans="1:34" x14ac:dyDescent="0.2">
      <c r="A26" s="174" t="str">
        <f>Rules!I22</f>
        <v>Pair</v>
      </c>
      <c r="B26" s="174" t="str">
        <f>Rules!J22</f>
        <v>A</v>
      </c>
      <c r="C26" s="174">
        <f>Rules!K22</f>
        <v>2</v>
      </c>
      <c r="D26" s="174">
        <f>Rules!L22</f>
        <v>3</v>
      </c>
      <c r="E26" s="174">
        <f>Rules!M22</f>
        <v>4</v>
      </c>
      <c r="F26" s="174">
        <f>Rules!N22</f>
        <v>5</v>
      </c>
      <c r="G26" s="174">
        <f>Rules!O22</f>
        <v>6</v>
      </c>
      <c r="H26" s="174">
        <f>Rules!P22</f>
        <v>7</v>
      </c>
      <c r="I26" s="174">
        <f>Rules!Q22</f>
        <v>8</v>
      </c>
      <c r="J26" s="174">
        <f>Rules!R22</f>
        <v>9</v>
      </c>
      <c r="K26" s="174">
        <f>Rules!S22</f>
        <v>10</v>
      </c>
      <c r="M26" s="177">
        <v>3</v>
      </c>
      <c r="N26" s="1">
        <f>'Strategy Summary (2)'!B29</f>
        <v>38.869856649648177</v>
      </c>
      <c r="O26" s="1">
        <f>'Strategy Summary (2)'!C29</f>
        <v>118.71170201913657</v>
      </c>
      <c r="P26" s="1">
        <f>'Strategy Summary (2)'!D29</f>
        <v>291.6286790283288</v>
      </c>
      <c r="Q26" s="1">
        <f>'Strategy Summary (2)'!E29</f>
        <v>612.07429350815653</v>
      </c>
      <c r="R26" s="1">
        <f>'Strategy Summary (2)'!F29</f>
        <v>1147.6336719110868</v>
      </c>
      <c r="S26" s="1">
        <f>'Strategy Summary (2)'!G29</f>
        <v>1979.0085525725256</v>
      </c>
      <c r="T26" s="1">
        <f>'Strategy Summary (2)'!H29</f>
        <v>3200.0490812168882</v>
      </c>
      <c r="U26" s="1">
        <f>'Strategy Summary (2)'!I29</f>
        <v>4917.7656996762689</v>
      </c>
      <c r="V26" s="1">
        <f>'Strategy Summary (2)'!J29</f>
        <v>7252.3186753606624</v>
      </c>
      <c r="X26" s="179">
        <f>ER!A21</f>
        <v>15</v>
      </c>
      <c r="Y26" s="34">
        <f>ER!B21</f>
        <v>-0.29312934580507005</v>
      </c>
      <c r="Z26" s="34">
        <f>ER!C21</f>
        <v>-1.2068474052636583E-4</v>
      </c>
      <c r="AA26" s="34">
        <f>ER!D21</f>
        <v>2.9159812622497363E-2</v>
      </c>
      <c r="AB26" s="34">
        <f>ER!E21</f>
        <v>5.9285376931179926E-2</v>
      </c>
      <c r="AC26" s="34">
        <f>ER!F21</f>
        <v>9.1959698781152482E-2</v>
      </c>
      <c r="AD26" s="34">
        <f>ER!G21</f>
        <v>0.11824589170260671</v>
      </c>
      <c r="AE26" s="34">
        <f>ER!H21</f>
        <v>3.7028282279269235E-2</v>
      </c>
      <c r="AF26" s="34">
        <f>ER!I21</f>
        <v>-2.7054780502901672E-2</v>
      </c>
      <c r="AG26" s="34">
        <f>ER!J21</f>
        <v>-0.11218876868994289</v>
      </c>
      <c r="AH26" s="34">
        <f>ER!K21</f>
        <v>-0.22543993358238781</v>
      </c>
    </row>
    <row r="27" spans="1:34" x14ac:dyDescent="0.2">
      <c r="A27" s="174" t="str">
        <f>Rules!I23</f>
        <v>A</v>
      </c>
      <c r="B27" s="49" t="str">
        <f>Rules!J23</f>
        <v>P</v>
      </c>
      <c r="C27" s="49" t="str">
        <f>Rules!K23</f>
        <v>P</v>
      </c>
      <c r="D27" s="49" t="str">
        <f>Rules!L23</f>
        <v>P</v>
      </c>
      <c r="E27" s="49" t="str">
        <f>Rules!M23</f>
        <v>P</v>
      </c>
      <c r="F27" s="49" t="str">
        <f>Rules!N23</f>
        <v>P</v>
      </c>
      <c r="G27" s="49" t="str">
        <f>Rules!O23</f>
        <v>P</v>
      </c>
      <c r="H27" s="49" t="str">
        <f>Rules!P23</f>
        <v>P</v>
      </c>
      <c r="I27" s="49" t="str">
        <f>Rules!Q23</f>
        <v>P</v>
      </c>
      <c r="J27" s="49" t="str">
        <f>Rules!R23</f>
        <v>P</v>
      </c>
      <c r="K27" s="49" t="str">
        <f>Rules!S23</f>
        <v>P</v>
      </c>
      <c r="M27" s="306" t="s">
        <v>195</v>
      </c>
      <c r="N27" s="307"/>
      <c r="O27" s="307"/>
      <c r="P27" s="307"/>
      <c r="Q27" s="307"/>
      <c r="R27" s="307"/>
      <c r="S27" s="307"/>
      <c r="T27" s="307"/>
      <c r="U27" s="307"/>
      <c r="V27" s="308"/>
      <c r="X27" s="179">
        <f>ER!A22</f>
        <v>16</v>
      </c>
      <c r="Y27" s="34">
        <f>ER!B22</f>
        <v>-0.31409107314591783</v>
      </c>
      <c r="Z27" s="34">
        <f>ER!C22</f>
        <v>-2.1025187774008566E-2</v>
      </c>
      <c r="AA27" s="34">
        <f>ER!D22</f>
        <v>9.0590953469108244E-3</v>
      </c>
      <c r="AB27" s="34">
        <f>ER!E22</f>
        <v>3.9974770793601705E-2</v>
      </c>
      <c r="AC27" s="34">
        <f>ER!F22</f>
        <v>7.3448815951393354E-2</v>
      </c>
      <c r="AD27" s="34">
        <f>ER!G22</f>
        <v>9.8821255450277368E-2</v>
      </c>
      <c r="AE27" s="34">
        <f>ER!H22</f>
        <v>-4.8901571730158942E-3</v>
      </c>
      <c r="AF27" s="34">
        <f>ER!I22</f>
        <v>-6.6794847920094103E-2</v>
      </c>
      <c r="AG27" s="34">
        <f>ER!J22</f>
        <v>-0.14864353463007471</v>
      </c>
      <c r="AH27" s="34">
        <f>ER!K22</f>
        <v>-0.25710121084742421</v>
      </c>
    </row>
    <row r="28" spans="1:34" x14ac:dyDescent="0.2">
      <c r="A28" s="174">
        <f>Rules!I24</f>
        <v>2</v>
      </c>
      <c r="B28" s="49" t="str">
        <f>Rules!J24</f>
        <v>H</v>
      </c>
      <c r="C28" s="49" t="str">
        <f>Rules!K24</f>
        <v>H</v>
      </c>
      <c r="D28" s="49" t="str">
        <f>Rules!L24</f>
        <v>H</v>
      </c>
      <c r="E28" s="49" t="str">
        <f>Rules!M24</f>
        <v>P</v>
      </c>
      <c r="F28" s="49" t="str">
        <f>Rules!N24</f>
        <v>P</v>
      </c>
      <c r="G28" s="49" t="str">
        <f>Rules!O24</f>
        <v>P</v>
      </c>
      <c r="H28" s="49" t="str">
        <f>Rules!P24</f>
        <v>P</v>
      </c>
      <c r="I28" s="49" t="str">
        <f>Rules!Q24</f>
        <v>H</v>
      </c>
      <c r="J28" s="49" t="str">
        <f>Rules!R24</f>
        <v>H</v>
      </c>
      <c r="K28" s="49" t="str">
        <f>Rules!S24</f>
        <v>H</v>
      </c>
      <c r="M28" s="177" t="s">
        <v>134</v>
      </c>
      <c r="N28" s="177" t="str">
        <f>'Strategy Summary'!B62</f>
        <v>1x2</v>
      </c>
      <c r="O28" s="177" t="str">
        <f>'Strategy Summary'!C62</f>
        <v>1x3</v>
      </c>
      <c r="P28" s="177" t="str">
        <f>'Strategy Summary'!D62</f>
        <v>1x4</v>
      </c>
      <c r="Q28" s="177" t="str">
        <f>'Strategy Summary'!E62</f>
        <v>1x5</v>
      </c>
      <c r="R28" s="177" t="str">
        <f>'Strategy Summary'!F62</f>
        <v>1x6</v>
      </c>
      <c r="S28" s="177" t="str">
        <f>'Strategy Summary'!G62</f>
        <v>1x7</v>
      </c>
      <c r="T28" s="177" t="str">
        <f>'Strategy Summary'!H62</f>
        <v>1x8</v>
      </c>
      <c r="U28" s="177" t="str">
        <f>'Strategy Summary'!I62</f>
        <v>1x9</v>
      </c>
      <c r="V28" s="177" t="str">
        <f>'Strategy Summary'!J62</f>
        <v>1x10</v>
      </c>
      <c r="X28" s="179">
        <f>ER!A23</f>
        <v>17</v>
      </c>
      <c r="Y28" s="34">
        <f>ER!B23</f>
        <v>-0.30094774596936263</v>
      </c>
      <c r="Z28" s="34">
        <f>ER!C23</f>
        <v>-4.9104358288916297E-4</v>
      </c>
      <c r="AA28" s="34">
        <f>ER!D23</f>
        <v>2.8975282965620523E-2</v>
      </c>
      <c r="AB28" s="34">
        <f>ER!E23</f>
        <v>5.9326275337164343E-2</v>
      </c>
      <c r="AC28" s="34">
        <f>ER!F23</f>
        <v>9.1189077686774395E-2</v>
      </c>
      <c r="AD28" s="34">
        <f>ER!G23</f>
        <v>0.12805214364549905</v>
      </c>
      <c r="AE28" s="34">
        <f>ER!H23</f>
        <v>5.3823463716116654E-2</v>
      </c>
      <c r="AF28" s="34">
        <f>ER!I23</f>
        <v>-7.2915398729642075E-2</v>
      </c>
      <c r="AG28" s="34">
        <f>ER!J23</f>
        <v>-0.14978689218213323</v>
      </c>
      <c r="AH28" s="34">
        <f>ER!K23</f>
        <v>-0.24941602102444038</v>
      </c>
    </row>
    <row r="29" spans="1:34" x14ac:dyDescent="0.2">
      <c r="A29" s="174">
        <f>Rules!I25</f>
        <v>3</v>
      </c>
      <c r="B29" s="49" t="str">
        <f>Rules!J25</f>
        <v>H</v>
      </c>
      <c r="C29" s="49" t="str">
        <f>Rules!K25</f>
        <v>H</v>
      </c>
      <c r="D29" s="49" t="str">
        <f>Rules!L25</f>
        <v>H</v>
      </c>
      <c r="E29" s="49" t="str">
        <f>Rules!M25</f>
        <v>P</v>
      </c>
      <c r="F29" s="49" t="str">
        <f>Rules!N25</f>
        <v>P</v>
      </c>
      <c r="G29" s="49" t="str">
        <f>Rules!O25</f>
        <v>P</v>
      </c>
      <c r="H29" s="49" t="str">
        <f>Rules!P25</f>
        <v>P</v>
      </c>
      <c r="I29" s="49" t="str">
        <f>Rules!Q25</f>
        <v>H</v>
      </c>
      <c r="J29" s="49" t="str">
        <f>Rules!R25</f>
        <v>H</v>
      </c>
      <c r="K29" s="49" t="str">
        <f>Rules!S25</f>
        <v>H</v>
      </c>
      <c r="M29" s="177">
        <f>'Strategy Summary'!A63</f>
        <v>2</v>
      </c>
      <c r="N29" s="1">
        <f>'Strategy Summary'!B63</f>
        <v>3.3327406233157657E-2</v>
      </c>
      <c r="O29" s="1">
        <f>'Strategy Summary'!C63</f>
        <v>0.12272235486171469</v>
      </c>
      <c r="P29" s="1">
        <f>'Strategy Summary'!D63</f>
        <v>0.1909241289241882</v>
      </c>
      <c r="Q29" s="1">
        <f>'Strategy Summary'!E63</f>
        <v>0.24081611489445204</v>
      </c>
      <c r="R29" s="1">
        <f>'Strategy Summary'!F63</f>
        <v>0.27818028103929615</v>
      </c>
      <c r="S29" s="1">
        <f>'Strategy Summary'!G63</f>
        <v>0.30699140825739879</v>
      </c>
      <c r="T29" s="1">
        <f>'Strategy Summary'!H63</f>
        <v>0.32977923624266731</v>
      </c>
      <c r="U29" s="1">
        <f>'Strategy Summary'!I63</f>
        <v>0.34818232545267669</v>
      </c>
      <c r="V29" s="1">
        <f>'Strategy Summary'!J63</f>
        <v>0.36330060994341279</v>
      </c>
      <c r="X29" s="179">
        <f>ER!A24</f>
        <v>18</v>
      </c>
      <c r="Y29" s="34">
        <f>ER!B24</f>
        <v>-0.24150883119675959</v>
      </c>
      <c r="Z29" s="34">
        <f>ER!C24</f>
        <v>0.12174190222088771</v>
      </c>
      <c r="AA29" s="34">
        <f>ER!D24</f>
        <v>0.14830007284131119</v>
      </c>
      <c r="AB29" s="34">
        <f>ER!E24</f>
        <v>0.17585443719748528</v>
      </c>
      <c r="AC29" s="34">
        <f>ER!F24</f>
        <v>0.19956119497617719</v>
      </c>
      <c r="AD29" s="34">
        <f>ER!G24</f>
        <v>0.28344391604689856</v>
      </c>
      <c r="AE29" s="34">
        <f>ER!H24</f>
        <v>0.3995541673365518</v>
      </c>
      <c r="AF29" s="34">
        <f>ER!I24</f>
        <v>0.10595134861912359</v>
      </c>
      <c r="AG29" s="34">
        <f>ER!J24</f>
        <v>-0.10074430758041522</v>
      </c>
      <c r="AH29" s="34">
        <f>ER!K24</f>
        <v>-0.20109793381277147</v>
      </c>
    </row>
    <row r="30" spans="1:34" x14ac:dyDescent="0.2">
      <c r="A30" s="174">
        <f>Rules!I26</f>
        <v>4</v>
      </c>
      <c r="B30" s="49" t="str">
        <f>Rules!J26</f>
        <v>H</v>
      </c>
      <c r="C30" s="49" t="str">
        <f>Rules!K26</f>
        <v>H</v>
      </c>
      <c r="D30" s="49" t="str">
        <f>Rules!L26</f>
        <v>H</v>
      </c>
      <c r="E30" s="49" t="str">
        <f>Rules!M26</f>
        <v>H</v>
      </c>
      <c r="F30" s="49" t="str">
        <f>Rules!N26</f>
        <v>H</v>
      </c>
      <c r="G30" s="49" t="str">
        <f>Rules!O26</f>
        <v>H</v>
      </c>
      <c r="H30" s="49" t="str">
        <f>Rules!P26</f>
        <v>H</v>
      </c>
      <c r="I30" s="49" t="str">
        <f>Rules!Q26</f>
        <v>H</v>
      </c>
      <c r="J30" s="49" t="str">
        <f>Rules!R26</f>
        <v>H</v>
      </c>
      <c r="K30" s="49" t="str">
        <f>Rules!S26</f>
        <v>H</v>
      </c>
      <c r="M30" s="177">
        <f>'Strategy Summary'!A64</f>
        <v>3</v>
      </c>
      <c r="N30" s="1">
        <f>'Strategy Summary'!B64</f>
        <v>6.4876174752912144E-2</v>
      </c>
      <c r="O30" s="1">
        <f>'Strategy Summary'!C64</f>
        <v>0.21462889134706367</v>
      </c>
      <c r="P30" s="1">
        <f>'Strategy Summary'!D64</f>
        <v>0.31233605263143976</v>
      </c>
      <c r="Q30" s="1">
        <f>'Strategy Summary'!E64</f>
        <v>0.37719575170121261</v>
      </c>
      <c r="R30" s="1">
        <f>'Strategy Summary'!F64</f>
        <v>0.42322188684315437</v>
      </c>
      <c r="S30" s="1">
        <f>'Strategy Summary'!G64</f>
        <v>0.45782382951491951</v>
      </c>
      <c r="T30" s="1">
        <f>'Strategy Summary'!H64</f>
        <v>0.48498477232715681</v>
      </c>
      <c r="U30" s="1">
        <f>'Strategy Summary'!I64</f>
        <v>0.50698368294279939</v>
      </c>
      <c r="V30" s="1">
        <f>'Strategy Summary'!J64</f>
        <v>0.52521469445872382</v>
      </c>
      <c r="X30" s="179">
        <f>ER!A25</f>
        <v>19</v>
      </c>
      <c r="Y30" s="34">
        <f>ER!B25</f>
        <v>-1.8660154151531549E-2</v>
      </c>
      <c r="Z30" s="34">
        <f>ER!C25</f>
        <v>0.38630468602058987</v>
      </c>
      <c r="AA30" s="34">
        <f>ER!D25</f>
        <v>0.40436293659776001</v>
      </c>
      <c r="AB30" s="34">
        <f>ER!E25</f>
        <v>0.42317892482749647</v>
      </c>
      <c r="AC30" s="34">
        <f>ER!F25</f>
        <v>0.43951210416088371</v>
      </c>
      <c r="AD30" s="34">
        <f>ER!G25</f>
        <v>0.49597707378731909</v>
      </c>
      <c r="AE30" s="34">
        <f>ER!H25</f>
        <v>0.6159764957534315</v>
      </c>
      <c r="AF30" s="34">
        <f>ER!I25</f>
        <v>0.5938536682866945</v>
      </c>
      <c r="AG30" s="34">
        <f>ER!J25</f>
        <v>0.28759675706758142</v>
      </c>
      <c r="AH30" s="34">
        <f>ER!K25</f>
        <v>-1.8660154151531536E-2</v>
      </c>
    </row>
    <row r="31" spans="1:34" x14ac:dyDescent="0.2">
      <c r="A31" s="174">
        <f>Rules!I27</f>
        <v>5</v>
      </c>
      <c r="B31" s="49" t="str">
        <f>Rules!J27</f>
        <v>H</v>
      </c>
      <c r="C31" s="49" t="str">
        <f>Rules!K27</f>
        <v>D</v>
      </c>
      <c r="D31" s="49" t="str">
        <f>Rules!L27</f>
        <v>D</v>
      </c>
      <c r="E31" s="49" t="str">
        <f>Rules!M27</f>
        <v>D</v>
      </c>
      <c r="F31" s="49" t="str">
        <f>Rules!N27</f>
        <v>D</v>
      </c>
      <c r="G31" s="49" t="str">
        <f>Rules!O27</f>
        <v>D</v>
      </c>
      <c r="H31" s="49" t="str">
        <f>Rules!P27</f>
        <v>D</v>
      </c>
      <c r="I31" s="49" t="str">
        <f>Rules!Q27</f>
        <v>D</v>
      </c>
      <c r="J31" s="49" t="str">
        <f>Rules!R27</f>
        <v>D</v>
      </c>
      <c r="K31" s="49" t="str">
        <f>Rules!S27</f>
        <v>H</v>
      </c>
      <c r="M31" s="177">
        <f>'Strategy Summary'!A65</f>
        <v>4</v>
      </c>
      <c r="N31" s="1">
        <f>'Strategy Summary'!B65</f>
        <v>9.7795367646143508E-2</v>
      </c>
      <c r="O31" s="1">
        <f>'Strategy Summary'!C65</f>
        <v>0.29534789937428674</v>
      </c>
      <c r="P31" s="1">
        <f>'Strategy Summary'!D65</f>
        <v>0.40483605722545801</v>
      </c>
      <c r="Q31" s="1">
        <f>'Strategy Summary'!E65</f>
        <v>0.47094946943104299</v>
      </c>
      <c r="R31" s="1">
        <f>'Strategy Summary'!F65</f>
        <v>0.51589250446842094</v>
      </c>
      <c r="S31" s="1">
        <f>'Strategy Summary'!G65</f>
        <v>0.54927744670751766</v>
      </c>
      <c r="T31" s="1">
        <f>'Strategy Summary'!H65</f>
        <v>0.57560065738574384</v>
      </c>
      <c r="U31" s="1">
        <f>'Strategy Summary'!I65</f>
        <v>0.59718377122729627</v>
      </c>
      <c r="V31" s="1">
        <f>'Strategy Summary'!J65</f>
        <v>0.61534412677517125</v>
      </c>
      <c r="X31" s="179">
        <f>ER!A26</f>
        <v>20</v>
      </c>
      <c r="Y31" s="34">
        <f>ER!B26</f>
        <v>0.20418852289369649</v>
      </c>
      <c r="Z31" s="34">
        <f>ER!C26</f>
        <v>0.63998657521683877</v>
      </c>
      <c r="AA31" s="34">
        <f>ER!D26</f>
        <v>0.65027209425148136</v>
      </c>
      <c r="AB31" s="34">
        <f>ER!E26</f>
        <v>0.66104996194807186</v>
      </c>
      <c r="AC31" s="34">
        <f>ER!F26</f>
        <v>0.67035969063279999</v>
      </c>
      <c r="AD31" s="34">
        <f>ER!G26</f>
        <v>0.70395857017134467</v>
      </c>
      <c r="AE31" s="34">
        <f>ER!H26</f>
        <v>0.77322722653717491</v>
      </c>
      <c r="AF31" s="34">
        <f>ER!I26</f>
        <v>0.79181515955189841</v>
      </c>
      <c r="AG31" s="34">
        <f>ER!J26</f>
        <v>0.75835687080859626</v>
      </c>
      <c r="AH31" s="34">
        <f>ER!K26</f>
        <v>0.43495775366292722</v>
      </c>
    </row>
    <row r="32" spans="1:34" x14ac:dyDescent="0.2">
      <c r="A32" s="174">
        <f>Rules!I28</f>
        <v>6</v>
      </c>
      <c r="B32" s="49" t="str">
        <f>Rules!J28</f>
        <v>H</v>
      </c>
      <c r="C32" s="49" t="str">
        <f>Rules!K28</f>
        <v>H</v>
      </c>
      <c r="D32" s="49" t="str">
        <f>Rules!L28</f>
        <v>P</v>
      </c>
      <c r="E32" s="49" t="str">
        <f>Rules!M28</f>
        <v>P</v>
      </c>
      <c r="F32" s="49" t="str">
        <f>Rules!N28</f>
        <v>P</v>
      </c>
      <c r="G32" s="49" t="str">
        <f>Rules!O28</f>
        <v>P</v>
      </c>
      <c r="H32" s="49" t="str">
        <f>Rules!P28</f>
        <v>H</v>
      </c>
      <c r="I32" s="49" t="str">
        <f>Rules!Q28</f>
        <v>H</v>
      </c>
      <c r="J32" s="49" t="str">
        <f>Rules!R28</f>
        <v>H</v>
      </c>
      <c r="K32" s="49" t="str">
        <f>Rules!S28</f>
        <v>H</v>
      </c>
      <c r="M32" s="306" t="s">
        <v>196</v>
      </c>
      <c r="N32" s="307"/>
      <c r="O32" s="307"/>
      <c r="P32" s="307"/>
      <c r="Q32" s="307"/>
      <c r="R32" s="307"/>
      <c r="S32" s="307"/>
      <c r="T32" s="307"/>
      <c r="U32" s="307"/>
      <c r="V32" s="308"/>
      <c r="X32" s="179">
        <f>ER!A27</f>
        <v>21</v>
      </c>
      <c r="Y32" s="34">
        <f>ER!B27</f>
        <v>1.5</v>
      </c>
      <c r="Z32" s="34">
        <f>ER!C27</f>
        <v>1.5</v>
      </c>
      <c r="AA32" s="34">
        <f>ER!D27</f>
        <v>1.5</v>
      </c>
      <c r="AB32" s="34">
        <f>ER!E27</f>
        <v>1.5</v>
      </c>
      <c r="AC32" s="34">
        <f>ER!F27</f>
        <v>1.5</v>
      </c>
      <c r="AD32" s="34">
        <f>ER!G27</f>
        <v>1.5</v>
      </c>
      <c r="AE32" s="34">
        <f>ER!H27</f>
        <v>1.5</v>
      </c>
      <c r="AF32" s="34">
        <f>ER!I27</f>
        <v>1.5</v>
      </c>
      <c r="AG32" s="34">
        <f>ER!J27</f>
        <v>1.5</v>
      </c>
      <c r="AH32" s="34">
        <f>ER!K27</f>
        <v>1.5</v>
      </c>
    </row>
    <row r="33" spans="1:34" x14ac:dyDescent="0.2">
      <c r="A33" s="174">
        <f>Rules!I29</f>
        <v>7</v>
      </c>
      <c r="B33" s="49" t="str">
        <f>Rules!J29</f>
        <v>H</v>
      </c>
      <c r="C33" s="49" t="str">
        <f>Rules!K29</f>
        <v>P</v>
      </c>
      <c r="D33" s="49" t="str">
        <f>Rules!L29</f>
        <v>P</v>
      </c>
      <c r="E33" s="49" t="str">
        <f>Rules!M29</f>
        <v>P</v>
      </c>
      <c r="F33" s="49" t="str">
        <f>Rules!N29</f>
        <v>P</v>
      </c>
      <c r="G33" s="49" t="str">
        <f>Rules!O29</f>
        <v>P</v>
      </c>
      <c r="H33" s="49" t="str">
        <f>Rules!P29</f>
        <v>P</v>
      </c>
      <c r="I33" s="49" t="str">
        <f>Rules!Q29</f>
        <v>H</v>
      </c>
      <c r="J33" s="49" t="str">
        <f>Rules!R29</f>
        <v>H</v>
      </c>
      <c r="K33" s="49" t="str">
        <f>Rules!S29</f>
        <v>H</v>
      </c>
      <c r="M33" s="177" t="s">
        <v>134</v>
      </c>
      <c r="N33" s="177" t="str">
        <f>N23</f>
        <v>1x2</v>
      </c>
      <c r="O33" s="177" t="str">
        <f t="shared" ref="O33:V33" si="0">O23</f>
        <v>1x3</v>
      </c>
      <c r="P33" s="177" t="str">
        <f t="shared" si="0"/>
        <v>1x4</v>
      </c>
      <c r="Q33" s="177" t="str">
        <f t="shared" si="0"/>
        <v>1x5</v>
      </c>
      <c r="R33" s="177" t="str">
        <f t="shared" si="0"/>
        <v>1x6</v>
      </c>
      <c r="S33" s="177" t="str">
        <f t="shared" si="0"/>
        <v>1x7</v>
      </c>
      <c r="T33" s="177" t="str">
        <f t="shared" si="0"/>
        <v>1x8</v>
      </c>
      <c r="U33" s="177" t="str">
        <f t="shared" si="0"/>
        <v>1x9</v>
      </c>
      <c r="V33" s="177" t="str">
        <f t="shared" si="0"/>
        <v>1x10</v>
      </c>
      <c r="X33" s="179" t="str">
        <f>ER!A28</f>
        <v>Pair</v>
      </c>
      <c r="Y33" s="179" t="str">
        <f>ER!B28</f>
        <v>Ace</v>
      </c>
      <c r="Z33" s="179">
        <f>ER!C28</f>
        <v>2</v>
      </c>
      <c r="AA33" s="179">
        <f>ER!D28</f>
        <v>3</v>
      </c>
      <c r="AB33" s="179">
        <f>ER!E28</f>
        <v>4</v>
      </c>
      <c r="AC33" s="179">
        <f>ER!F28</f>
        <v>5</v>
      </c>
      <c r="AD33" s="179">
        <f>ER!G28</f>
        <v>6</v>
      </c>
      <c r="AE33" s="179">
        <f>ER!H28</f>
        <v>7</v>
      </c>
      <c r="AF33" s="179">
        <f>ER!I28</f>
        <v>8</v>
      </c>
      <c r="AG33" s="179">
        <f>ER!J28</f>
        <v>9</v>
      </c>
      <c r="AH33" s="179">
        <f>ER!K28</f>
        <v>10</v>
      </c>
    </row>
    <row r="34" spans="1:34" x14ac:dyDescent="0.2">
      <c r="A34" s="174">
        <f>Rules!I30</f>
        <v>8</v>
      </c>
      <c r="B34" s="49" t="str">
        <f>Rules!J30</f>
        <v>S</v>
      </c>
      <c r="C34" s="49" t="str">
        <f>Rules!K30</f>
        <v>P</v>
      </c>
      <c r="D34" s="49" t="str">
        <f>Rules!L30</f>
        <v>P</v>
      </c>
      <c r="E34" s="49" t="str">
        <f>Rules!M30</f>
        <v>P</v>
      </c>
      <c r="F34" s="49" t="str">
        <f>Rules!N30</f>
        <v>P</v>
      </c>
      <c r="G34" s="49" t="str">
        <f>Rules!O30</f>
        <v>P</v>
      </c>
      <c r="H34" s="49" t="str">
        <f>Rules!P30</f>
        <v>P</v>
      </c>
      <c r="I34" s="49" t="str">
        <f>Rules!Q30</f>
        <v>P</v>
      </c>
      <c r="J34" s="49" t="str">
        <f>Rules!R30</f>
        <v>P</v>
      </c>
      <c r="K34" s="49" t="str">
        <f>Rules!S30</f>
        <v>H</v>
      </c>
      <c r="M34" s="177">
        <v>1</v>
      </c>
      <c r="N34" s="1">
        <f>'Strategy Summary (2)'!B63</f>
        <v>3.0460851252294809E-3</v>
      </c>
      <c r="O34" s="1">
        <f>'Strategy Summary (2)'!C63</f>
        <v>1.4333858483290192E-2</v>
      </c>
      <c r="P34" s="1">
        <f>'Strategy Summary (2)'!D63</f>
        <v>2.1053944417175178E-2</v>
      </c>
      <c r="Q34" s="1">
        <f>'Strategy Summary (2)'!E63</f>
        <v>2.4068292638047054E-2</v>
      </c>
      <c r="R34" s="1">
        <f>'Strategy Summary (2)'!F63</f>
        <v>2.5037291324961013E-2</v>
      </c>
      <c r="S34" s="1">
        <f>'Strategy Summary (2)'!G63</f>
        <v>2.4937165657727172E-2</v>
      </c>
      <c r="T34" s="1">
        <f>'Strategy Summary (2)'!H63</f>
        <v>2.4293536791743887E-2</v>
      </c>
      <c r="U34" s="1">
        <f>'Strategy Summary (2)'!I63</f>
        <v>2.3389150415858186E-2</v>
      </c>
      <c r="V34" s="1">
        <f>'Strategy Summary (2)'!J63</f>
        <v>2.2377678417063035E-2</v>
      </c>
      <c r="X34" s="179" t="str">
        <f>ER!A29</f>
        <v>Ace</v>
      </c>
      <c r="Y34" s="34">
        <f>ER!B29</f>
        <v>-0.11815715102876453</v>
      </c>
      <c r="Z34" s="34">
        <f>ER!C29</f>
        <v>0.47064092333946894</v>
      </c>
      <c r="AA34" s="34">
        <f>ER!D29</f>
        <v>0.51779525312221664</v>
      </c>
      <c r="AB34" s="34">
        <f>ER!E29</f>
        <v>0.56604055041797596</v>
      </c>
      <c r="AC34" s="34">
        <f>ER!F29</f>
        <v>0.61469901790902803</v>
      </c>
      <c r="AD34" s="34">
        <f>ER!G29</f>
        <v>0.66738009490756944</v>
      </c>
      <c r="AE34" s="34">
        <f>ER!H29</f>
        <v>0.46288894886429088</v>
      </c>
      <c r="AF34" s="34">
        <f>ER!I29</f>
        <v>0.35069259087031512</v>
      </c>
      <c r="AG34" s="34">
        <f>ER!J29</f>
        <v>0.22778342315245487</v>
      </c>
      <c r="AH34" s="34">
        <f>ER!K29</f>
        <v>5.9357641870643733E-2</v>
      </c>
    </row>
    <row r="35" spans="1:34" x14ac:dyDescent="0.2">
      <c r="A35" s="174">
        <f>Rules!I31</f>
        <v>9</v>
      </c>
      <c r="B35" s="49" t="str">
        <f>Rules!J31</f>
        <v>S</v>
      </c>
      <c r="C35" s="49" t="str">
        <f>Rules!K31</f>
        <v>P</v>
      </c>
      <c r="D35" s="49" t="str">
        <f>Rules!L31</f>
        <v>P</v>
      </c>
      <c r="E35" s="49" t="str">
        <f>Rules!M31</f>
        <v>P</v>
      </c>
      <c r="F35" s="49" t="str">
        <f>Rules!N31</f>
        <v>P</v>
      </c>
      <c r="G35" s="49" t="str">
        <f>Rules!O31</f>
        <v>P</v>
      </c>
      <c r="H35" s="49" t="str">
        <f>Rules!P31</f>
        <v>S</v>
      </c>
      <c r="I35" s="49" t="str">
        <f>Rules!Q31</f>
        <v>P</v>
      </c>
      <c r="J35" s="49" t="str">
        <f>Rules!R31</f>
        <v>P</v>
      </c>
      <c r="K35" s="49" t="str">
        <f>Rules!S31</f>
        <v>S</v>
      </c>
      <c r="M35" s="177">
        <v>2</v>
      </c>
      <c r="N35" s="1">
        <f>'Strategy Summary (2)'!B64</f>
        <v>1.9996443739894593E-2</v>
      </c>
      <c r="O35" s="1">
        <f>'Strategy Summary (2)'!C64</f>
        <v>5.4543268827428756E-2</v>
      </c>
      <c r="P35" s="1">
        <f>'Strategy Summary (2)'!D64</f>
        <v>6.8187188901495777E-2</v>
      </c>
      <c r="Q35" s="1">
        <f>'Strategy Summary (2)'!E64</f>
        <v>7.2244834468335614E-2</v>
      </c>
      <c r="R35" s="1">
        <f>'Strategy Summary (2)'!F64</f>
        <v>7.2120813602780484E-2</v>
      </c>
      <c r="S35" s="1">
        <f>'Strategy Summary (2)'!G64</f>
        <v>7.0169464744548299E-2</v>
      </c>
      <c r="T35" s="1">
        <f>'Strategy Summary (2)'!H64</f>
        <v>6.7454843776909218E-2</v>
      </c>
      <c r="U35" s="1">
        <f>'Strategy Summary (2)'!I64</f>
        <v>6.4478208417162355E-2</v>
      </c>
      <c r="V35" s="1">
        <f>'Strategy Summary (2)'!J64</f>
        <v>6.1481641682731403E-2</v>
      </c>
      <c r="X35" s="179">
        <f>ER!A30</f>
        <v>2</v>
      </c>
      <c r="Y35" s="34">
        <f>ER!B30</f>
        <v>-0.38538530661686615</v>
      </c>
      <c r="Z35" s="34">
        <f>ER!C30</f>
        <v>-0.11491332761892134</v>
      </c>
      <c r="AA35" s="34">
        <f>ER!D30</f>
        <v>-8.2613314299744348E-2</v>
      </c>
      <c r="AB35" s="34">
        <f>ER!E30</f>
        <v>-4.4200824271668777E-2</v>
      </c>
      <c r="AC35" s="34">
        <f>ER!F30</f>
        <v>2.7460064569567143E-2</v>
      </c>
      <c r="AD35" s="34">
        <f>ER!G30</f>
        <v>7.7766823892602463E-2</v>
      </c>
      <c r="AE35" s="34">
        <f>ER!H30</f>
        <v>-5.4514042751724494E-2</v>
      </c>
      <c r="AF35" s="34">
        <f>ER!I30</f>
        <v>-0.15933415266020512</v>
      </c>
      <c r="AG35" s="34">
        <f>ER!J30</f>
        <v>-0.24066617915336547</v>
      </c>
      <c r="AH35" s="34">
        <f>ER!K30</f>
        <v>-0.33509986436351097</v>
      </c>
    </row>
    <row r="36" spans="1:34" x14ac:dyDescent="0.2">
      <c r="A36" s="174">
        <f>Rules!I32</f>
        <v>10</v>
      </c>
      <c r="B36" s="49" t="str">
        <f>Rules!J32</f>
        <v>S</v>
      </c>
      <c r="C36" s="49" t="str">
        <f>Rules!K32</f>
        <v>S</v>
      </c>
      <c r="D36" s="49" t="str">
        <f>Rules!L32</f>
        <v>S</v>
      </c>
      <c r="E36" s="49" t="str">
        <f>Rules!M32</f>
        <v>S</v>
      </c>
      <c r="F36" s="49" t="str">
        <f>Rules!N32</f>
        <v>S</v>
      </c>
      <c r="G36" s="49" t="str">
        <f>Rules!O32</f>
        <v>S</v>
      </c>
      <c r="H36" s="49" t="str">
        <f>Rules!P32</f>
        <v>S</v>
      </c>
      <c r="I36" s="49" t="str">
        <f>Rules!Q32</f>
        <v>S</v>
      </c>
      <c r="J36" s="49" t="str">
        <f>Rules!R32</f>
        <v>S</v>
      </c>
      <c r="K36" s="49" t="str">
        <f>Rules!S32</f>
        <v>S</v>
      </c>
      <c r="M36" s="177">
        <v>3</v>
      </c>
      <c r="N36" s="1">
        <f>'Strategy Summary (2)'!B65</f>
        <v>3.6330657861630804E-2</v>
      </c>
      <c r="O36" s="1">
        <f>'Strategy Summary (2)'!C65</f>
        <v>9.0005664113284756E-2</v>
      </c>
      <c r="P36" s="1">
        <f>'Strategy Summary (2)'!D65</f>
        <v>0.10665133504488188</v>
      </c>
      <c r="Q36" s="1">
        <f>'Strategy Summary (2)'!E65</f>
        <v>0.10928101217511767</v>
      </c>
      <c r="R36" s="1">
        <f>'Strategy Summary (2)'!F65</f>
        <v>0.106736311637863</v>
      </c>
      <c r="S36" s="1">
        <f>'Strategy Summary (2)'!G65</f>
        <v>0.10233709130333496</v>
      </c>
      <c r="T36" s="1">
        <f>'Strategy Summary (2)'!H65</f>
        <v>9.7397217001052125E-2</v>
      </c>
      <c r="U36" s="1">
        <f>'Strategy Summary (2)'!I65</f>
        <v>9.2455942179949388E-2</v>
      </c>
      <c r="V36" s="1">
        <f>'Strategy Summary (2)'!J65</f>
        <v>8.7733380112743939E-2</v>
      </c>
      <c r="X36" s="179">
        <f>ER!A31</f>
        <v>3</v>
      </c>
      <c r="Y36" s="34">
        <f>ER!B31</f>
        <v>-0.41968690347101079</v>
      </c>
      <c r="Z36" s="34">
        <f>ER!C31</f>
        <v>-0.14075911746001987</v>
      </c>
      <c r="AA36" s="34">
        <f>ER!D31</f>
        <v>-0.10729107800860835</v>
      </c>
      <c r="AB36" s="34">
        <f>ER!E31</f>
        <v>-7.2522581417810678E-2</v>
      </c>
      <c r="AC36" s="34">
        <f>ER!F31</f>
        <v>3.3991424279375615E-4</v>
      </c>
      <c r="AD36" s="34">
        <f>ER!G31</f>
        <v>4.8942606413118719E-2</v>
      </c>
      <c r="AE36" s="34">
        <f>ER!H31</f>
        <v>-0.11487517708071333</v>
      </c>
      <c r="AF36" s="34">
        <f>ER!I31</f>
        <v>-0.21724188132078476</v>
      </c>
      <c r="AG36" s="34">
        <f>ER!J31</f>
        <v>-0.29264070019772598</v>
      </c>
      <c r="AH36" s="34">
        <f>ER!K31</f>
        <v>-0.38050766229289529</v>
      </c>
    </row>
    <row r="37" spans="1:34" x14ac:dyDescent="0.2">
      <c r="A37" s="321" t="str">
        <f>Summary!B32</f>
        <v>EV = -0.0322153307097501</v>
      </c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M37" s="306" t="s">
        <v>197</v>
      </c>
      <c r="N37" s="307"/>
      <c r="O37" s="307"/>
      <c r="P37" s="307"/>
      <c r="Q37" s="307"/>
      <c r="R37" s="307"/>
      <c r="S37" s="307"/>
      <c r="T37" s="307"/>
      <c r="U37" s="307"/>
      <c r="V37" s="308"/>
      <c r="X37" s="179">
        <f>ER!A32</f>
        <v>4</v>
      </c>
      <c r="Y37" s="34">
        <f>ER!B32</f>
        <v>-0.33034033459070061</v>
      </c>
      <c r="Z37" s="34">
        <f>ER!C32</f>
        <v>-2.1798188008805671E-2</v>
      </c>
      <c r="AA37" s="34">
        <f>ER!D32</f>
        <v>8.0052625306546912E-3</v>
      </c>
      <c r="AB37" s="34">
        <f>ER!E32</f>
        <v>3.8784473277208804E-2</v>
      </c>
      <c r="AC37" s="34">
        <f>ER!F32</f>
        <v>7.0804635983033826E-2</v>
      </c>
      <c r="AD37" s="34">
        <f>ER!G32</f>
        <v>0.11496015009622321</v>
      </c>
      <c r="AE37" s="34">
        <f>ER!H32</f>
        <v>8.2207439363742862E-2</v>
      </c>
      <c r="AF37" s="34">
        <f>ER!I32</f>
        <v>-5.989827565865629E-2</v>
      </c>
      <c r="AG37" s="34">
        <f>ER!J32</f>
        <v>-0.2101863319982176</v>
      </c>
      <c r="AH37" s="34">
        <f>ER!K32</f>
        <v>-0.30177738614031369</v>
      </c>
    </row>
    <row r="38" spans="1:34" x14ac:dyDescent="0.2">
      <c r="A38" s="321" t="str">
        <f>Summary!B33</f>
        <v>EV = -3.22153307097501 %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M38" s="177" t="s">
        <v>134</v>
      </c>
      <c r="N38" s="177" t="str">
        <f>N28</f>
        <v>1x2</v>
      </c>
      <c r="O38" s="177" t="str">
        <f t="shared" ref="O38:V38" si="1">O28</f>
        <v>1x3</v>
      </c>
      <c r="P38" s="177" t="str">
        <f t="shared" si="1"/>
        <v>1x4</v>
      </c>
      <c r="Q38" s="177" t="str">
        <f t="shared" si="1"/>
        <v>1x5</v>
      </c>
      <c r="R38" s="177" t="str">
        <f t="shared" si="1"/>
        <v>1x6</v>
      </c>
      <c r="S38" s="177" t="str">
        <f t="shared" si="1"/>
        <v>1x7</v>
      </c>
      <c r="T38" s="177" t="str">
        <f t="shared" si="1"/>
        <v>1x8</v>
      </c>
      <c r="U38" s="177" t="str">
        <f t="shared" si="1"/>
        <v>1x9</v>
      </c>
      <c r="V38" s="177" t="str">
        <f t="shared" si="1"/>
        <v>1x10</v>
      </c>
      <c r="X38" s="179">
        <f>ER!A33</f>
        <v>5</v>
      </c>
      <c r="Y38" s="34">
        <f>ER!B33</f>
        <v>-0.14666789263035868</v>
      </c>
      <c r="Z38" s="34">
        <f>ER!C33</f>
        <v>0.3589394124422991</v>
      </c>
      <c r="AA38" s="34">
        <f>ER!D33</f>
        <v>0.40932067017593915</v>
      </c>
      <c r="AB38" s="34">
        <f>ER!E33</f>
        <v>0.460940243794354</v>
      </c>
      <c r="AC38" s="34">
        <f>ER!F33</f>
        <v>0.51251710900326775</v>
      </c>
      <c r="AD38" s="34">
        <f>ER!G33</f>
        <v>0.57559016859776857</v>
      </c>
      <c r="AE38" s="34">
        <f>ER!H33</f>
        <v>0.39241245528243773</v>
      </c>
      <c r="AF38" s="34">
        <f>ER!I33</f>
        <v>0.28663571688628381</v>
      </c>
      <c r="AG38" s="34">
        <f>ER!J33</f>
        <v>0.1443283683807712</v>
      </c>
      <c r="AH38" s="34">
        <f>ER!K33</f>
        <v>-4.4990260383613007E-2</v>
      </c>
    </row>
    <row r="39" spans="1:34" x14ac:dyDescent="0.2">
      <c r="A39" s="325" t="str">
        <f>Summary!B34</f>
        <v>H = Hit</v>
      </c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M39" s="177">
        <v>2</v>
      </c>
      <c r="N39" s="1">
        <f>N9*N19</f>
        <v>5.5314685574984148</v>
      </c>
      <c r="O39" s="1">
        <f t="shared" ref="O39:V39" si="2">O9*O19</f>
        <v>47.210630451638821</v>
      </c>
      <c r="P39" s="1">
        <f t="shared" si="2"/>
        <v>163.24970609944427</v>
      </c>
      <c r="Q39" s="1">
        <f t="shared" si="2"/>
        <v>413.02226669018143</v>
      </c>
      <c r="R39" s="1">
        <f t="shared" si="2"/>
        <v>874.85388674371484</v>
      </c>
      <c r="S39" s="1">
        <f t="shared" si="2"/>
        <v>1646.684511633083</v>
      </c>
      <c r="T39" s="1">
        <f t="shared" si="2"/>
        <v>2846.3263862196613</v>
      </c>
      <c r="U39" s="1">
        <f t="shared" si="2"/>
        <v>4611.4814970931411</v>
      </c>
      <c r="V39" s="1">
        <f t="shared" si="2"/>
        <v>7099.6211420520513</v>
      </c>
      <c r="X39" s="179">
        <f>ER!A34</f>
        <v>6</v>
      </c>
      <c r="Y39" s="34">
        <f>ER!B34</f>
        <v>-0.46566058377683939</v>
      </c>
      <c r="Z39" s="34">
        <f>ER!C34</f>
        <v>-0.25338998596663809</v>
      </c>
      <c r="AA39" s="34">
        <f>ER!D34</f>
        <v>-0.2145821560172167</v>
      </c>
      <c r="AB39" s="34">
        <f>ER!E34</f>
        <v>-0.14583428385277461</v>
      </c>
      <c r="AC39" s="34">
        <f>ER!F34</f>
        <v>-6.9831946660204355E-2</v>
      </c>
      <c r="AD39" s="34">
        <f>ER!G34</f>
        <v>-2.6011671059748588E-2</v>
      </c>
      <c r="AE39" s="34">
        <f>ER!H34</f>
        <v>-0.21284771451731424</v>
      </c>
      <c r="AF39" s="34">
        <f>ER!I34</f>
        <v>-0.27157480502428616</v>
      </c>
      <c r="AG39" s="34">
        <f>ER!J34</f>
        <v>-0.3400132806089356</v>
      </c>
      <c r="AH39" s="34">
        <f>ER!K34</f>
        <v>-0.42069618899826788</v>
      </c>
    </row>
    <row r="40" spans="1:34" x14ac:dyDescent="0.2">
      <c r="A40" s="326" t="str">
        <f>Summary!B35</f>
        <v>D = Double</v>
      </c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M40" s="177">
        <v>3</v>
      </c>
      <c r="N40" s="1">
        <f t="shared" ref="N40:V40" si="3">N10*N20</f>
        <v>30.738818238682111</v>
      </c>
      <c r="O40" s="1">
        <f t="shared" si="3"/>
        <v>531.91049893613399</v>
      </c>
      <c r="P40" s="1">
        <f t="shared" si="3"/>
        <v>3097.212023379393</v>
      </c>
      <c r="Q40" s="1">
        <f t="shared" si="3"/>
        <v>11861.262161128259</v>
      </c>
      <c r="R40" s="1">
        <f t="shared" si="3"/>
        <v>35453.803044731801</v>
      </c>
      <c r="S40" s="1">
        <f t="shared" si="3"/>
        <v>89590.73228432727</v>
      </c>
      <c r="T40" s="1">
        <f t="shared" si="3"/>
        <v>200298.76495310932</v>
      </c>
      <c r="U40" s="1">
        <f t="shared" si="3"/>
        <v>407766.31118634902</v>
      </c>
      <c r="V40" s="1">
        <f t="shared" si="3"/>
        <v>770808.71059472638</v>
      </c>
      <c r="X40" s="179">
        <f>ER!A35</f>
        <v>7</v>
      </c>
      <c r="Y40" s="34">
        <f>ER!B35</f>
        <v>-0.53926856458309114</v>
      </c>
      <c r="Z40" s="34">
        <f>ER!C35</f>
        <v>-0.21836685573323267</v>
      </c>
      <c r="AA40" s="34">
        <f>ER!D35</f>
        <v>-0.15316596380892716</v>
      </c>
      <c r="AB40" s="34">
        <f>ER!E35</f>
        <v>-8.6043588008683752E-2</v>
      </c>
      <c r="AC40" s="34">
        <f>ER!F35</f>
        <v>-1.4542721805881769E-2</v>
      </c>
      <c r="AD40" s="34">
        <f>ER!G35</f>
        <v>5.8370684707721728E-2</v>
      </c>
      <c r="AE40" s="34">
        <f>ER!H35</f>
        <v>-0.13761559916085553</v>
      </c>
      <c r="AF40" s="34">
        <f>ER!I35</f>
        <v>-0.37191909208726714</v>
      </c>
      <c r="AG40" s="34">
        <f>ER!J35</f>
        <v>-0.43092981848423528</v>
      </c>
      <c r="AH40" s="34">
        <f>ER!K35</f>
        <v>-0.50049824459544523</v>
      </c>
    </row>
    <row r="41" spans="1:34" x14ac:dyDescent="0.2">
      <c r="A41" s="322" t="str">
        <f>Summary!B36</f>
        <v>S = Stand</v>
      </c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M41" s="177">
        <v>4</v>
      </c>
      <c r="N41" s="1">
        <f t="shared" ref="N41:V41" si="4">N11*N21</f>
        <v>157.87059738084986</v>
      </c>
      <c r="O41" s="1">
        <f t="shared" si="4"/>
        <v>5579.4648690942222</v>
      </c>
      <c r="P41" s="1">
        <f t="shared" si="4"/>
        <v>55369.631357591374</v>
      </c>
      <c r="Q41" s="1">
        <f t="shared" si="4"/>
        <v>323975.36653968436</v>
      </c>
      <c r="R41" s="1">
        <f t="shared" si="4"/>
        <v>1375992.7559377004</v>
      </c>
      <c r="S41" s="1">
        <f t="shared" si="4"/>
        <v>4692517.0359110199</v>
      </c>
      <c r="T41" s="1">
        <f t="shared" si="4"/>
        <v>13624114.060738554</v>
      </c>
      <c r="U41" s="1">
        <f t="shared" si="4"/>
        <v>34961941.696641847</v>
      </c>
      <c r="V41" s="1">
        <f t="shared" si="4"/>
        <v>81353920.70665741</v>
      </c>
      <c r="X41" s="179">
        <f>ER!A36</f>
        <v>8</v>
      </c>
      <c r="Y41" s="34">
        <f>ER!B36</f>
        <v>-0.57578184676460165</v>
      </c>
      <c r="Z41" s="34">
        <f>ER!C36</f>
        <v>-4.3596376017611342E-2</v>
      </c>
      <c r="AA41" s="34">
        <f>ER!D36</f>
        <v>1.6010525061309382E-2</v>
      </c>
      <c r="AB41" s="34">
        <f>ER!E36</f>
        <v>7.7568946554417609E-2</v>
      </c>
      <c r="AC41" s="34">
        <f>ER!F36</f>
        <v>0.14160927196606765</v>
      </c>
      <c r="AD41" s="34">
        <f>ER!G36</f>
        <v>0.22992030019244641</v>
      </c>
      <c r="AE41" s="34">
        <f>ER!H36</f>
        <v>0.16441487872748572</v>
      </c>
      <c r="AF41" s="34">
        <f>ER!I36</f>
        <v>-0.11979655131731258</v>
      </c>
      <c r="AG41" s="34">
        <f>ER!J36</f>
        <v>-0.42037266399643519</v>
      </c>
      <c r="AH41" s="34">
        <f>ER!K36</f>
        <v>-0.56930715988076652</v>
      </c>
    </row>
    <row r="42" spans="1:34" x14ac:dyDescent="0.2">
      <c r="A42" s="323" t="str">
        <f>Summary!B37</f>
        <v>P = Split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M42" s="306" t="s">
        <v>198</v>
      </c>
      <c r="N42" s="307"/>
      <c r="O42" s="307"/>
      <c r="P42" s="307"/>
      <c r="Q42" s="307"/>
      <c r="R42" s="307"/>
      <c r="S42" s="307"/>
      <c r="T42" s="307"/>
      <c r="U42" s="307"/>
      <c r="V42" s="308"/>
      <c r="X42" s="179">
        <f>ER!A37</f>
        <v>9</v>
      </c>
      <c r="Y42" s="34">
        <f>ER!B37</f>
        <v>-0.24150883119675959</v>
      </c>
      <c r="Z42" s="34">
        <f>ER!C37</f>
        <v>0.14889207515268102</v>
      </c>
      <c r="AA42" s="34">
        <f>ER!D37</f>
        <v>0.20252940347775356</v>
      </c>
      <c r="AB42" s="34">
        <f>ER!E37</f>
        <v>0.25796176239148355</v>
      </c>
      <c r="AC42" s="34">
        <f>ER!F37</f>
        <v>0.31606371253303472</v>
      </c>
      <c r="AD42" s="34">
        <f>ER!G37</f>
        <v>0.39203767851455751</v>
      </c>
      <c r="AE42" s="34">
        <f>ER!H37</f>
        <v>0.3995541673365518</v>
      </c>
      <c r="AF42" s="34">
        <f>ER!I37</f>
        <v>0.19675243487078517</v>
      </c>
      <c r="AG42" s="34">
        <f>ER!J37</f>
        <v>-0.10435610692530338</v>
      </c>
      <c r="AH42" s="34">
        <f>ER!K37</f>
        <v>-0.24150883119675959</v>
      </c>
    </row>
    <row r="43" spans="1:34" x14ac:dyDescent="0.2">
      <c r="A43" s="321" t="str">
        <f>Summary!B38</f>
        <v>R = Surrender</v>
      </c>
      <c r="B43" s="321"/>
      <c r="C43" s="321"/>
      <c r="D43" s="321"/>
      <c r="E43" s="321"/>
      <c r="F43" s="321"/>
      <c r="G43" s="321"/>
      <c r="H43" s="321"/>
      <c r="I43" s="321"/>
      <c r="J43" s="321"/>
      <c r="K43" s="321"/>
      <c r="M43" s="177" t="s">
        <v>134</v>
      </c>
      <c r="N43" s="177" t="str">
        <f>N33</f>
        <v>1x2</v>
      </c>
      <c r="O43" s="177" t="str">
        <f t="shared" ref="O43:V43" si="5">O33</f>
        <v>1x3</v>
      </c>
      <c r="P43" s="177" t="str">
        <f t="shared" si="5"/>
        <v>1x4</v>
      </c>
      <c r="Q43" s="177" t="str">
        <f t="shared" si="5"/>
        <v>1x5</v>
      </c>
      <c r="R43" s="177" t="str">
        <f t="shared" si="5"/>
        <v>1x6</v>
      </c>
      <c r="S43" s="177" t="str">
        <f t="shared" si="5"/>
        <v>1x7</v>
      </c>
      <c r="T43" s="177" t="str">
        <f t="shared" si="5"/>
        <v>1x8</v>
      </c>
      <c r="U43" s="177" t="str">
        <f t="shared" si="5"/>
        <v>1x9</v>
      </c>
      <c r="V43" s="177" t="str">
        <f t="shared" si="5"/>
        <v>1x10</v>
      </c>
      <c r="X43" s="179">
        <f>ER!A38</f>
        <v>10</v>
      </c>
      <c r="Y43" s="34">
        <f>ER!B38</f>
        <v>0.20418852289369649</v>
      </c>
      <c r="Z43" s="34">
        <f>ER!C38</f>
        <v>0.63998657521683877</v>
      </c>
      <c r="AA43" s="34">
        <f>ER!D38</f>
        <v>0.65027209425148136</v>
      </c>
      <c r="AB43" s="34">
        <f>ER!E38</f>
        <v>0.66104996194807186</v>
      </c>
      <c r="AC43" s="34">
        <f>ER!F38</f>
        <v>0.67035969063279999</v>
      </c>
      <c r="AD43" s="34">
        <f>ER!G38</f>
        <v>0.70395857017134467</v>
      </c>
      <c r="AE43" s="34">
        <f>ER!H38</f>
        <v>0.77322722653717491</v>
      </c>
      <c r="AF43" s="34">
        <f>ER!I38</f>
        <v>0.79181515955189841</v>
      </c>
      <c r="AG43" s="34">
        <f>ER!J38</f>
        <v>0.75835687080859626</v>
      </c>
      <c r="AH43" s="34">
        <f>ER!K38</f>
        <v>0.43495775366292722</v>
      </c>
    </row>
    <row r="44" spans="1:34" x14ac:dyDescent="0.2">
      <c r="M44" s="177">
        <v>1</v>
      </c>
      <c r="N44" s="1">
        <f>N8*N24</f>
        <v>2.5741992094757338</v>
      </c>
      <c r="O44" s="1">
        <f t="shared" ref="O44:V44" si="6">O8*O24</f>
        <v>9.7358104798332139</v>
      </c>
      <c r="P44" s="1">
        <f t="shared" si="6"/>
        <v>23.214041382323916</v>
      </c>
      <c r="Q44" s="1">
        <f t="shared" si="6"/>
        <v>45.644369315189159</v>
      </c>
      <c r="R44" s="1">
        <f t="shared" si="6"/>
        <v>79.656233515352412</v>
      </c>
      <c r="S44" s="1">
        <f t="shared" si="6"/>
        <v>127.97236993853852</v>
      </c>
      <c r="T44" s="1">
        <f t="shared" si="6"/>
        <v>193.38158972802941</v>
      </c>
      <c r="U44" s="1">
        <f t="shared" si="6"/>
        <v>278.70993874902456</v>
      </c>
      <c r="V44" s="1">
        <f t="shared" si="6"/>
        <v>386.79794387450301</v>
      </c>
      <c r="X44" s="177" t="s">
        <v>208</v>
      </c>
      <c r="Y44" s="177">
        <v>1</v>
      </c>
      <c r="Z44" s="177">
        <v>1.5</v>
      </c>
      <c r="AA44" s="177">
        <v>2</v>
      </c>
      <c r="AB44" s="177">
        <v>2.5</v>
      </c>
      <c r="AC44" s="177">
        <v>3</v>
      </c>
      <c r="AD44" s="177">
        <v>3.5</v>
      </c>
      <c r="AE44" s="177">
        <v>4</v>
      </c>
      <c r="AF44" s="177">
        <v>4.5</v>
      </c>
      <c r="AG44" s="177">
        <v>5</v>
      </c>
      <c r="AH44" s="177">
        <v>5.5</v>
      </c>
    </row>
    <row r="45" spans="1:34" x14ac:dyDescent="0.2">
      <c r="M45" s="177">
        <v>2</v>
      </c>
      <c r="N45" s="1">
        <f t="shared" ref="N45:V45" si="7">N9*N25</f>
        <v>9.2191142624973583</v>
      </c>
      <c r="O45" s="1">
        <f t="shared" si="7"/>
        <v>106.22391851618734</v>
      </c>
      <c r="P45" s="1">
        <f t="shared" si="7"/>
        <v>457.09917707844397</v>
      </c>
      <c r="Q45" s="1">
        <f t="shared" si="7"/>
        <v>1376.7408889672715</v>
      </c>
      <c r="R45" s="1">
        <f t="shared" si="7"/>
        <v>3374.4364202971856</v>
      </c>
      <c r="S45" s="1">
        <f t="shared" si="7"/>
        <v>7204.2447383947392</v>
      </c>
      <c r="T45" s="1">
        <f t="shared" si="7"/>
        <v>13915.373443740566</v>
      </c>
      <c r="U45" s="1">
        <f t="shared" si="7"/>
        <v>24902.000084302959</v>
      </c>
      <c r="V45" s="1">
        <f t="shared" si="7"/>
        <v>41952.306748489391</v>
      </c>
      <c r="X45" s="177">
        <v>0</v>
      </c>
      <c r="Y45" s="1">
        <f>Y44*120</f>
        <v>120</v>
      </c>
      <c r="Z45" s="1">
        <f t="shared" ref="Z45:AC45" si="8">Z44*120</f>
        <v>180</v>
      </c>
      <c r="AA45" s="1">
        <f t="shared" si="8"/>
        <v>240</v>
      </c>
      <c r="AB45" s="1">
        <f t="shared" si="8"/>
        <v>300</v>
      </c>
      <c r="AC45" s="1">
        <f t="shared" si="8"/>
        <v>360</v>
      </c>
      <c r="AD45" s="1">
        <f>AD44*120</f>
        <v>420</v>
      </c>
      <c r="AE45" s="1">
        <f t="shared" ref="AE45" si="9">AE44*120</f>
        <v>480</v>
      </c>
      <c r="AF45" s="1">
        <f t="shared" ref="AF45" si="10">AF44*120</f>
        <v>540</v>
      </c>
      <c r="AG45" s="1">
        <f t="shared" ref="AG45:AH45" si="11">AG44*120</f>
        <v>600</v>
      </c>
      <c r="AH45" s="1">
        <f t="shared" si="11"/>
        <v>660</v>
      </c>
    </row>
    <row r="46" spans="1:34" x14ac:dyDescent="0.2">
      <c r="M46" s="177">
        <v>3</v>
      </c>
      <c r="N46" s="1">
        <f t="shared" ref="N46:V46" si="12">N10*N26</f>
        <v>54.890746854789477</v>
      </c>
      <c r="O46" s="1">
        <f t="shared" si="12"/>
        <v>1268.4019590015503</v>
      </c>
      <c r="P46" s="1">
        <f t="shared" si="12"/>
        <v>9070.4066398967934</v>
      </c>
      <c r="Q46" s="1">
        <f t="shared" si="12"/>
        <v>40940.485523894313</v>
      </c>
      <c r="R46" s="1">
        <f t="shared" si="12"/>
        <v>140578.45160759933</v>
      </c>
      <c r="S46" s="1">
        <f t="shared" si="12"/>
        <v>400800.64442988514</v>
      </c>
      <c r="T46" s="1">
        <f t="shared" si="12"/>
        <v>997378.09671856475</v>
      </c>
      <c r="U46" s="1">
        <f t="shared" si="12"/>
        <v>2235993.2888130569</v>
      </c>
      <c r="V46" s="1">
        <f t="shared" si="12"/>
        <v>4614435.9296414023</v>
      </c>
      <c r="X46" s="177">
        <v>5</v>
      </c>
      <c r="Y46" s="1">
        <f>(5+Y44)*120</f>
        <v>720</v>
      </c>
      <c r="Z46" s="1">
        <f t="shared" ref="Z46:AG46" si="13">(5+Z44)*120</f>
        <v>780</v>
      </c>
      <c r="AA46" s="1">
        <f t="shared" si="13"/>
        <v>840</v>
      </c>
      <c r="AB46" s="1">
        <f t="shared" si="13"/>
        <v>900</v>
      </c>
      <c r="AC46" s="1">
        <f t="shared" si="13"/>
        <v>960</v>
      </c>
      <c r="AD46" s="1">
        <f t="shared" si="13"/>
        <v>1020</v>
      </c>
      <c r="AE46" s="1">
        <f t="shared" si="13"/>
        <v>1080</v>
      </c>
      <c r="AF46" s="1">
        <f t="shared" si="13"/>
        <v>1140</v>
      </c>
      <c r="AG46" s="1">
        <f t="shared" si="13"/>
        <v>1200</v>
      </c>
      <c r="AH46" s="1"/>
    </row>
  </sheetData>
  <sheetProtection sheet="1" objects="1" scenarios="1"/>
  <mergeCells count="41">
    <mergeCell ref="M37:V37"/>
    <mergeCell ref="M17:V17"/>
    <mergeCell ref="P4:Q4"/>
    <mergeCell ref="A43:K43"/>
    <mergeCell ref="A37:K37"/>
    <mergeCell ref="A38:K38"/>
    <mergeCell ref="A39:K39"/>
    <mergeCell ref="A40:K40"/>
    <mergeCell ref="A42:K42"/>
    <mergeCell ref="A41:K41"/>
    <mergeCell ref="M42:V42"/>
    <mergeCell ref="X6:AH6"/>
    <mergeCell ref="M6:V6"/>
    <mergeCell ref="M12:V12"/>
    <mergeCell ref="A3:D3"/>
    <mergeCell ref="E3:G3"/>
    <mergeCell ref="H3:L3"/>
    <mergeCell ref="M3:N3"/>
    <mergeCell ref="O3:Q3"/>
    <mergeCell ref="R3:S3"/>
    <mergeCell ref="A4:D4"/>
    <mergeCell ref="E4:H4"/>
    <mergeCell ref="I4:K4"/>
    <mergeCell ref="R4:T4"/>
    <mergeCell ref="AG3:AH3"/>
    <mergeCell ref="A1:S1"/>
    <mergeCell ref="T1:AH1"/>
    <mergeCell ref="AG4:AH4"/>
    <mergeCell ref="M32:V32"/>
    <mergeCell ref="M22:V22"/>
    <mergeCell ref="M27:V27"/>
    <mergeCell ref="T3:U3"/>
    <mergeCell ref="W3:AA3"/>
    <mergeCell ref="AB3:AC3"/>
    <mergeCell ref="AD3:AF3"/>
    <mergeCell ref="V4:Y4"/>
    <mergeCell ref="AB4:AC4"/>
    <mergeCell ref="AD4:AE4"/>
    <mergeCell ref="L4:M4"/>
    <mergeCell ref="N4:O4"/>
    <mergeCell ref="A6:K6"/>
  </mergeCells>
  <phoneticPr fontId="16" type="noConversion"/>
  <conditionalFormatting sqref="B7:K7 M7:M11">
    <cfRule type="containsText" dxfId="111" priority="365" operator="containsText" text="S">
      <formula>NOT(ISERROR(SEARCH("S",B7)))</formula>
    </cfRule>
    <cfRule type="containsText" dxfId="110" priority="366" operator="containsText" text="H">
      <formula>NOT(ISERROR(SEARCH("H",B7)))</formula>
    </cfRule>
  </conditionalFormatting>
  <conditionalFormatting sqref="B7:K7 M7:M11">
    <cfRule type="containsText" dxfId="109" priority="364" operator="containsText" text="D">
      <formula>NOT(ISERROR(SEARCH("D",B7)))</formula>
    </cfRule>
  </conditionalFormatting>
  <conditionalFormatting sqref="B7:K7 M7:M11">
    <cfRule type="containsText" dxfId="108" priority="363" operator="containsText" text="R">
      <formula>NOT(ISERROR(SEARCH("R",B7)))</formula>
    </cfRule>
  </conditionalFormatting>
  <conditionalFormatting sqref="B7:K7 M7:M11">
    <cfRule type="containsText" dxfId="107" priority="362" operator="containsText" text="P">
      <formula>NOT(ISERROR(SEARCH("P",B7)))</formula>
    </cfRule>
  </conditionalFormatting>
  <conditionalFormatting sqref="B8:K17 B19:K25 B27:K36">
    <cfRule type="containsText" dxfId="106" priority="355" operator="containsText" text="S">
      <formula>NOT(ISERROR(SEARCH("S",B8)))</formula>
    </cfRule>
    <cfRule type="containsText" dxfId="105" priority="356" operator="containsText" text="H">
      <formula>NOT(ISERROR(SEARCH("H",B8)))</formula>
    </cfRule>
  </conditionalFormatting>
  <conditionalFormatting sqref="B8:K17 B19:K25 B27:K36">
    <cfRule type="containsText" dxfId="104" priority="354" operator="containsText" text="D">
      <formula>NOT(ISERROR(SEARCH("D",B8)))</formula>
    </cfRule>
  </conditionalFormatting>
  <conditionalFormatting sqref="B8:K17 B19:K25 B27:K36">
    <cfRule type="containsText" dxfId="103" priority="353" operator="containsText" text="R">
      <formula>NOT(ISERROR(SEARCH("R",B8)))</formula>
    </cfRule>
  </conditionalFormatting>
  <conditionalFormatting sqref="B8:K17 B19:K25 B27:K36">
    <cfRule type="containsText" dxfId="102" priority="352" operator="containsText" text="P">
      <formula>NOT(ISERROR(SEARCH("P",B8)))</formula>
    </cfRule>
  </conditionalFormatting>
  <conditionalFormatting sqref="Y8:AH22">
    <cfRule type="colorScale" priority="288">
      <colorScale>
        <cfvo type="num" val="MIN($Y$8:$AH$22,$Y$24:$AH$32,$Y$34:$AH$43)"/>
        <cfvo type="num" val="AVERAGE($Y$8:$AH$22,$Y$24:$AH$32,$Y$34:$AH$43)"/>
        <cfvo type="num" val="MAX($Y$8:$AH$22,$Y$24:$AH$32,$Y$34:$AH$43)"/>
        <color rgb="FFFF0000"/>
        <color rgb="FFFFFF00"/>
        <color rgb="FF00B050"/>
      </colorScale>
    </cfRule>
    <cfRule type="containsText" dxfId="101" priority="290" operator="containsText" text="R">
      <formula>NOT(ISERROR(SEARCH("R",Y8)))</formula>
    </cfRule>
    <cfRule type="containsText" dxfId="100" priority="291" operator="containsText" text="D">
      <formula>NOT(ISERROR(SEARCH("D",Y8)))</formula>
    </cfRule>
    <cfRule type="containsText" dxfId="99" priority="292" operator="containsText" text="S">
      <formula>NOT(ISERROR(SEARCH("S",Y8)))</formula>
    </cfRule>
    <cfRule type="containsText" dxfId="98" priority="293" operator="containsText" text="H">
      <formula>NOT(ISERROR(SEARCH("H",Y8)))</formula>
    </cfRule>
  </conditionalFormatting>
  <conditionalFormatting sqref="Y8:AH22">
    <cfRule type="containsText" dxfId="97" priority="289" operator="containsText" text="P">
      <formula>NOT(ISERROR(SEARCH("P",Y8)))</formula>
    </cfRule>
  </conditionalFormatting>
  <conditionalFormatting sqref="Y24:AH32">
    <cfRule type="colorScale" priority="260">
      <colorScale>
        <cfvo type="num" val="MIN($Y$8:$AH$22,$Y$24:$AH$32,$Y$34:$AH$43)"/>
        <cfvo type="num" val="AVERAGE($Y$8:$AH$22,$Y$24:$AH$32,$Y$34:$AH$43)"/>
        <cfvo type="num" val="MAX($Y$8:$AH$22,$Y$24:$AH$32,$Y$34:$AH$43)"/>
        <color rgb="FFFF0000"/>
        <color rgb="FFFFFF00"/>
        <color rgb="FF00B050"/>
      </colorScale>
    </cfRule>
    <cfRule type="containsText" dxfId="96" priority="262" operator="containsText" text="R">
      <formula>NOT(ISERROR(SEARCH("R",Y24)))</formula>
    </cfRule>
    <cfRule type="containsText" dxfId="95" priority="263" operator="containsText" text="D">
      <formula>NOT(ISERROR(SEARCH("D",Y24)))</formula>
    </cfRule>
    <cfRule type="containsText" dxfId="94" priority="264" operator="containsText" text="S">
      <formula>NOT(ISERROR(SEARCH("S",Y24)))</formula>
    </cfRule>
    <cfRule type="containsText" dxfId="93" priority="265" operator="containsText" text="H">
      <formula>NOT(ISERROR(SEARCH("H",Y24)))</formula>
    </cfRule>
  </conditionalFormatting>
  <conditionalFormatting sqref="Y24:AH32">
    <cfRule type="containsText" dxfId="92" priority="261" operator="containsText" text="P">
      <formula>NOT(ISERROR(SEARCH("P",Y24)))</formula>
    </cfRule>
  </conditionalFormatting>
  <conditionalFormatting sqref="Y34:AH43">
    <cfRule type="colorScale" priority="254">
      <colorScale>
        <cfvo type="num" val="MIN($Y$8:$AH$22,$Y$24:$AH$32,$Y$34:$AH$43)"/>
        <cfvo type="num" val="AVERAGE($Y$8:$AH$22,$Y$24:$AH$32,$Y$34:$AH$43)"/>
        <cfvo type="num" val="MAX($Y$8:$AH$22,$Y$24:$AH$32,$Y$34:$AH$43)"/>
        <color rgb="FFFF0000"/>
        <color rgb="FFFFFF00"/>
        <color rgb="FF00B050"/>
      </colorScale>
    </cfRule>
    <cfRule type="containsText" dxfId="91" priority="256" operator="containsText" text="R">
      <formula>NOT(ISERROR(SEARCH("R",Y34)))</formula>
    </cfRule>
    <cfRule type="containsText" dxfId="90" priority="257" operator="containsText" text="D">
      <formula>NOT(ISERROR(SEARCH("D",Y34)))</formula>
    </cfRule>
    <cfRule type="containsText" dxfId="89" priority="258" operator="containsText" text="S">
      <formula>NOT(ISERROR(SEARCH("S",Y34)))</formula>
    </cfRule>
    <cfRule type="containsText" dxfId="88" priority="259" operator="containsText" text="H">
      <formula>NOT(ISERROR(SEARCH("H",Y34)))</formula>
    </cfRule>
  </conditionalFormatting>
  <conditionalFormatting sqref="Y34:AH43">
    <cfRule type="containsText" dxfId="87" priority="255" operator="containsText" text="P">
      <formula>NOT(ISERROR(SEARCH("P",Y34)))</formula>
    </cfRule>
  </conditionalFormatting>
  <conditionalFormatting sqref="N7:V7">
    <cfRule type="containsText" dxfId="86" priority="200" operator="containsText" text="S">
      <formula>NOT(ISERROR(SEARCH("S",N7)))</formula>
    </cfRule>
    <cfRule type="containsText" dxfId="85" priority="201" operator="containsText" text="H">
      <formula>NOT(ISERROR(SEARCH("H",N7)))</formula>
    </cfRule>
  </conditionalFormatting>
  <conditionalFormatting sqref="N7:V7">
    <cfRule type="containsText" dxfId="84" priority="199" operator="containsText" text="D">
      <formula>NOT(ISERROR(SEARCH("D",N7)))</formula>
    </cfRule>
  </conditionalFormatting>
  <conditionalFormatting sqref="N7:V7">
    <cfRule type="containsText" dxfId="83" priority="198" operator="containsText" text="R">
      <formula>NOT(ISERROR(SEARCH("R",N7)))</formula>
    </cfRule>
  </conditionalFormatting>
  <conditionalFormatting sqref="N7:V7">
    <cfRule type="containsText" dxfId="82" priority="197" operator="containsText" text="P">
      <formula>NOT(ISERROR(SEARCH("P",N7)))</formula>
    </cfRule>
  </conditionalFormatting>
  <conditionalFormatting sqref="N8:V11">
    <cfRule type="colorScale" priority="196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M13:M16">
    <cfRule type="containsText" dxfId="81" priority="194" operator="containsText" text="S">
      <formula>NOT(ISERROR(SEARCH("S",M13)))</formula>
    </cfRule>
    <cfRule type="containsText" dxfId="80" priority="195" operator="containsText" text="H">
      <formula>NOT(ISERROR(SEARCH("H",M13)))</formula>
    </cfRule>
  </conditionalFormatting>
  <conditionalFormatting sqref="M13:M16">
    <cfRule type="containsText" dxfId="79" priority="193" operator="containsText" text="D">
      <formula>NOT(ISERROR(SEARCH("D",M13)))</formula>
    </cfRule>
  </conditionalFormatting>
  <conditionalFormatting sqref="M13:M16">
    <cfRule type="containsText" dxfId="78" priority="192" operator="containsText" text="R">
      <formula>NOT(ISERROR(SEARCH("R",M13)))</formula>
    </cfRule>
  </conditionalFormatting>
  <conditionalFormatting sqref="M13:M16">
    <cfRule type="containsText" dxfId="77" priority="191" operator="containsText" text="P">
      <formula>NOT(ISERROR(SEARCH("P",M13)))</formula>
    </cfRule>
  </conditionalFormatting>
  <conditionalFormatting sqref="N13:V13">
    <cfRule type="containsText" dxfId="76" priority="189" operator="containsText" text="S">
      <formula>NOT(ISERROR(SEARCH("S",N13)))</formula>
    </cfRule>
    <cfRule type="containsText" dxfId="75" priority="190" operator="containsText" text="H">
      <formula>NOT(ISERROR(SEARCH("H",N13)))</formula>
    </cfRule>
  </conditionalFormatting>
  <conditionalFormatting sqref="N13:V13">
    <cfRule type="containsText" dxfId="74" priority="188" operator="containsText" text="D">
      <formula>NOT(ISERROR(SEARCH("D",N13)))</formula>
    </cfRule>
  </conditionalFormatting>
  <conditionalFormatting sqref="N13:V13">
    <cfRule type="containsText" dxfId="73" priority="187" operator="containsText" text="R">
      <formula>NOT(ISERROR(SEARCH("R",N13)))</formula>
    </cfRule>
  </conditionalFormatting>
  <conditionalFormatting sqref="N13:V13">
    <cfRule type="containsText" dxfId="72" priority="186" operator="containsText" text="P">
      <formula>NOT(ISERROR(SEARCH("P",N13)))</formula>
    </cfRule>
  </conditionalFormatting>
  <conditionalFormatting sqref="N14:V16">
    <cfRule type="colorScale" priority="185">
      <colorScale>
        <cfvo type="num" val="0"/>
        <cfvo type="percentile" val="50"/>
        <cfvo type="max"/>
        <color rgb="FFFF0000"/>
        <color rgb="FFFFEB84"/>
        <color rgb="FF00B050"/>
      </colorScale>
    </cfRule>
  </conditionalFormatting>
  <conditionalFormatting sqref="M18:M21">
    <cfRule type="containsText" dxfId="71" priority="183" operator="containsText" text="S">
      <formula>NOT(ISERROR(SEARCH("S",M18)))</formula>
    </cfRule>
    <cfRule type="containsText" dxfId="70" priority="184" operator="containsText" text="H">
      <formula>NOT(ISERROR(SEARCH("H",M18)))</formula>
    </cfRule>
  </conditionalFormatting>
  <conditionalFormatting sqref="M18:M21">
    <cfRule type="containsText" dxfId="69" priority="182" operator="containsText" text="D">
      <formula>NOT(ISERROR(SEARCH("D",M18)))</formula>
    </cfRule>
  </conditionalFormatting>
  <conditionalFormatting sqref="M18:M21">
    <cfRule type="containsText" dxfId="68" priority="181" operator="containsText" text="R">
      <formula>NOT(ISERROR(SEARCH("R",M18)))</formula>
    </cfRule>
  </conditionalFormatting>
  <conditionalFormatting sqref="M18:M21">
    <cfRule type="containsText" dxfId="67" priority="180" operator="containsText" text="P">
      <formula>NOT(ISERROR(SEARCH("P",M18)))</formula>
    </cfRule>
  </conditionalFormatting>
  <conditionalFormatting sqref="N18:V18">
    <cfRule type="containsText" dxfId="66" priority="178" operator="containsText" text="S">
      <formula>NOT(ISERROR(SEARCH("S",N18)))</formula>
    </cfRule>
    <cfRule type="containsText" dxfId="65" priority="179" operator="containsText" text="H">
      <formula>NOT(ISERROR(SEARCH("H",N18)))</formula>
    </cfRule>
  </conditionalFormatting>
  <conditionalFormatting sqref="N18:V18">
    <cfRule type="containsText" dxfId="64" priority="177" operator="containsText" text="D">
      <formula>NOT(ISERROR(SEARCH("D",N18)))</formula>
    </cfRule>
  </conditionalFormatting>
  <conditionalFormatting sqref="N18:V18">
    <cfRule type="containsText" dxfId="63" priority="176" operator="containsText" text="R">
      <formula>NOT(ISERROR(SEARCH("R",N18)))</formula>
    </cfRule>
  </conditionalFormatting>
  <conditionalFormatting sqref="N18:V18">
    <cfRule type="containsText" dxfId="62" priority="175" operator="containsText" text="P">
      <formula>NOT(ISERROR(SEARCH("P",N18)))</formula>
    </cfRule>
  </conditionalFormatting>
  <conditionalFormatting sqref="N19:V21">
    <cfRule type="colorScale" priority="174">
      <colorScale>
        <cfvo type="num" val="0"/>
        <cfvo type="percentile" val="50"/>
        <cfvo type="num" val="100"/>
        <color rgb="FF00B050"/>
        <color theme="9" tint="0.39997558519241921"/>
        <color rgb="FFFF0000"/>
      </colorScale>
    </cfRule>
  </conditionalFormatting>
  <conditionalFormatting sqref="M28:M31">
    <cfRule type="containsText" dxfId="61" priority="172" operator="containsText" text="S">
      <formula>NOT(ISERROR(SEARCH("S",M28)))</formula>
    </cfRule>
    <cfRule type="containsText" dxfId="60" priority="173" operator="containsText" text="H">
      <formula>NOT(ISERROR(SEARCH("H",M28)))</formula>
    </cfRule>
  </conditionalFormatting>
  <conditionalFormatting sqref="M28:M31">
    <cfRule type="containsText" dxfId="59" priority="171" operator="containsText" text="D">
      <formula>NOT(ISERROR(SEARCH("D",M28)))</formula>
    </cfRule>
  </conditionalFormatting>
  <conditionalFormatting sqref="M28:M31">
    <cfRule type="containsText" dxfId="58" priority="170" operator="containsText" text="R">
      <formula>NOT(ISERROR(SEARCH("R",M28)))</formula>
    </cfRule>
  </conditionalFormatting>
  <conditionalFormatting sqref="M28:M31">
    <cfRule type="containsText" dxfId="57" priority="169" operator="containsText" text="P">
      <formula>NOT(ISERROR(SEARCH("P",M28)))</formula>
    </cfRule>
  </conditionalFormatting>
  <conditionalFormatting sqref="N28:V28">
    <cfRule type="containsText" dxfId="56" priority="167" operator="containsText" text="S">
      <formula>NOT(ISERROR(SEARCH("S",N28)))</formula>
    </cfRule>
    <cfRule type="containsText" dxfId="55" priority="168" operator="containsText" text="H">
      <formula>NOT(ISERROR(SEARCH("H",N28)))</formula>
    </cfRule>
  </conditionalFormatting>
  <conditionalFormatting sqref="N28:V28">
    <cfRule type="containsText" dxfId="54" priority="166" operator="containsText" text="D">
      <formula>NOT(ISERROR(SEARCH("D",N28)))</formula>
    </cfRule>
  </conditionalFormatting>
  <conditionalFormatting sqref="N28:V28">
    <cfRule type="containsText" dxfId="53" priority="165" operator="containsText" text="R">
      <formula>NOT(ISERROR(SEARCH("R",N28)))</formula>
    </cfRule>
  </conditionalFormatting>
  <conditionalFormatting sqref="N28:V28">
    <cfRule type="containsText" dxfId="52" priority="164" operator="containsText" text="P">
      <formula>NOT(ISERROR(SEARCH("P",N28)))</formula>
    </cfRule>
  </conditionalFormatting>
  <conditionalFormatting sqref="N29:V31">
    <cfRule type="colorScale" priority="157">
      <colorScale>
        <cfvo type="num" val="0"/>
        <cfvo type="num" val="0"/>
        <cfvo type="max"/>
        <color rgb="FFFF0000"/>
        <color rgb="FFFFEB84"/>
        <color rgb="FF00B050"/>
      </colorScale>
    </cfRule>
    <cfRule type="cellIs" dxfId="51" priority="163" operator="equal">
      <formula>MAX($N$29:$V$31)</formula>
    </cfRule>
  </conditionalFormatting>
  <conditionalFormatting sqref="M33:M36">
    <cfRule type="containsText" dxfId="50" priority="150" operator="containsText" text="S">
      <formula>NOT(ISERROR(SEARCH("S",M33)))</formula>
    </cfRule>
    <cfRule type="containsText" dxfId="49" priority="151" operator="containsText" text="H">
      <formula>NOT(ISERROR(SEARCH("H",M33)))</formula>
    </cfRule>
  </conditionalFormatting>
  <conditionalFormatting sqref="M33:M36">
    <cfRule type="containsText" dxfId="48" priority="149" operator="containsText" text="D">
      <formula>NOT(ISERROR(SEARCH("D",M33)))</formula>
    </cfRule>
  </conditionalFormatting>
  <conditionalFormatting sqref="M33:M36">
    <cfRule type="containsText" dxfId="47" priority="148" operator="containsText" text="R">
      <formula>NOT(ISERROR(SEARCH("R",M33)))</formula>
    </cfRule>
  </conditionalFormatting>
  <conditionalFormatting sqref="M33:M36">
    <cfRule type="containsText" dxfId="46" priority="147" operator="containsText" text="P">
      <formula>NOT(ISERROR(SEARCH("P",M33)))</formula>
    </cfRule>
  </conditionalFormatting>
  <conditionalFormatting sqref="M23:M26">
    <cfRule type="containsText" dxfId="45" priority="138" operator="containsText" text="S">
      <formula>NOT(ISERROR(SEARCH("S",M23)))</formula>
    </cfRule>
    <cfRule type="containsText" dxfId="44" priority="139" operator="containsText" text="H">
      <formula>NOT(ISERROR(SEARCH("H",M23)))</formula>
    </cfRule>
  </conditionalFormatting>
  <conditionalFormatting sqref="M23:M26">
    <cfRule type="containsText" dxfId="43" priority="137" operator="containsText" text="D">
      <formula>NOT(ISERROR(SEARCH("D",M23)))</formula>
    </cfRule>
  </conditionalFormatting>
  <conditionalFormatting sqref="M23:M26">
    <cfRule type="containsText" dxfId="42" priority="136" operator="containsText" text="R">
      <formula>NOT(ISERROR(SEARCH("R",M23)))</formula>
    </cfRule>
  </conditionalFormatting>
  <conditionalFormatting sqref="M23:M26">
    <cfRule type="containsText" dxfId="41" priority="135" operator="containsText" text="P">
      <formula>NOT(ISERROR(SEARCH("P",M23)))</formula>
    </cfRule>
  </conditionalFormatting>
  <conditionalFormatting sqref="N24:V26">
    <cfRule type="colorScale" priority="129">
      <colorScale>
        <cfvo type="num" val="0"/>
        <cfvo type="percentile" val="50"/>
        <cfvo type="num" val="100"/>
        <color rgb="FF00B050"/>
        <color theme="9" tint="0.39997558519241921"/>
        <color rgb="FFFF0000"/>
      </colorScale>
    </cfRule>
  </conditionalFormatting>
  <conditionalFormatting sqref="N23:V23">
    <cfRule type="containsText" dxfId="40" priority="127" operator="containsText" text="S">
      <formula>NOT(ISERROR(SEARCH("S",N23)))</formula>
    </cfRule>
    <cfRule type="containsText" dxfId="39" priority="128" operator="containsText" text="H">
      <formula>NOT(ISERROR(SEARCH("H",N23)))</formula>
    </cfRule>
  </conditionalFormatting>
  <conditionalFormatting sqref="N23:V23">
    <cfRule type="containsText" dxfId="38" priority="126" operator="containsText" text="D">
      <formula>NOT(ISERROR(SEARCH("D",N23)))</formula>
    </cfRule>
  </conditionalFormatting>
  <conditionalFormatting sqref="N23:V23">
    <cfRule type="containsText" dxfId="37" priority="125" operator="containsText" text="R">
      <formula>NOT(ISERROR(SEARCH("R",N23)))</formula>
    </cfRule>
  </conditionalFormatting>
  <conditionalFormatting sqref="N23:V23">
    <cfRule type="containsText" dxfId="36" priority="124" operator="containsText" text="P">
      <formula>NOT(ISERROR(SEARCH("P",N23)))</formula>
    </cfRule>
  </conditionalFormatting>
  <conditionalFormatting sqref="N33:V33">
    <cfRule type="containsText" dxfId="35" priority="117" operator="containsText" text="S">
      <formula>NOT(ISERROR(SEARCH("S",N33)))</formula>
    </cfRule>
    <cfRule type="containsText" dxfId="34" priority="118" operator="containsText" text="H">
      <formula>NOT(ISERROR(SEARCH("H",N33)))</formula>
    </cfRule>
  </conditionalFormatting>
  <conditionalFormatting sqref="N33:V33">
    <cfRule type="containsText" dxfId="33" priority="116" operator="containsText" text="D">
      <formula>NOT(ISERROR(SEARCH("D",N33)))</formula>
    </cfRule>
  </conditionalFormatting>
  <conditionalFormatting sqref="N33:V33">
    <cfRule type="containsText" dxfId="32" priority="115" operator="containsText" text="R">
      <formula>NOT(ISERROR(SEARCH("R",N33)))</formula>
    </cfRule>
  </conditionalFormatting>
  <conditionalFormatting sqref="N33:V33">
    <cfRule type="containsText" dxfId="31" priority="114" operator="containsText" text="P">
      <formula>NOT(ISERROR(SEARCH("P",N33)))</formula>
    </cfRule>
  </conditionalFormatting>
  <conditionalFormatting sqref="N34:V36">
    <cfRule type="cellIs" dxfId="30" priority="51" operator="equal">
      <formula>MAX($N$34:$V$36)</formula>
    </cfRule>
    <cfRule type="colorScale" priority="5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M38:M41">
    <cfRule type="containsText" dxfId="29" priority="49" operator="containsText" text="S">
      <formula>NOT(ISERROR(SEARCH("S",M38)))</formula>
    </cfRule>
    <cfRule type="containsText" dxfId="28" priority="50" operator="containsText" text="H">
      <formula>NOT(ISERROR(SEARCH("H",M38)))</formula>
    </cfRule>
  </conditionalFormatting>
  <conditionalFormatting sqref="M38:M41">
    <cfRule type="containsText" dxfId="27" priority="48" operator="containsText" text="D">
      <formula>NOT(ISERROR(SEARCH("D",M38)))</formula>
    </cfRule>
  </conditionalFormatting>
  <conditionalFormatting sqref="M38:M41">
    <cfRule type="containsText" dxfId="26" priority="47" operator="containsText" text="R">
      <formula>NOT(ISERROR(SEARCH("R",M38)))</formula>
    </cfRule>
  </conditionalFormatting>
  <conditionalFormatting sqref="M38:M41">
    <cfRule type="containsText" dxfId="25" priority="46" operator="containsText" text="P">
      <formula>NOT(ISERROR(SEARCH("P",M38)))</formula>
    </cfRule>
  </conditionalFormatting>
  <conditionalFormatting sqref="N39:V41">
    <cfRule type="colorScale" priority="11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M43:M46">
    <cfRule type="containsText" dxfId="24" priority="37" operator="containsText" text="S">
      <formula>NOT(ISERROR(SEARCH("S",M43)))</formula>
    </cfRule>
    <cfRule type="containsText" dxfId="23" priority="38" operator="containsText" text="H">
      <formula>NOT(ISERROR(SEARCH("H",M43)))</formula>
    </cfRule>
  </conditionalFormatting>
  <conditionalFormatting sqref="M43:M46">
    <cfRule type="containsText" dxfId="22" priority="36" operator="containsText" text="D">
      <formula>NOT(ISERROR(SEARCH("D",M43)))</formula>
    </cfRule>
  </conditionalFormatting>
  <conditionalFormatting sqref="M43:M46">
    <cfRule type="containsText" dxfId="21" priority="35" operator="containsText" text="R">
      <formula>NOT(ISERROR(SEARCH("R",M43)))</formula>
    </cfRule>
  </conditionalFormatting>
  <conditionalFormatting sqref="M43:M46">
    <cfRule type="containsText" dxfId="20" priority="34" operator="containsText" text="P">
      <formula>NOT(ISERROR(SEARCH("P",M43)))</formula>
    </cfRule>
  </conditionalFormatting>
  <conditionalFormatting sqref="N43:V43">
    <cfRule type="containsText" dxfId="19" priority="32" operator="containsText" text="S">
      <formula>NOT(ISERROR(SEARCH("S",N43)))</formula>
    </cfRule>
    <cfRule type="containsText" dxfId="18" priority="33" operator="containsText" text="H">
      <formula>NOT(ISERROR(SEARCH("H",N43)))</formula>
    </cfRule>
  </conditionalFormatting>
  <conditionalFormatting sqref="N43:V43">
    <cfRule type="containsText" dxfId="17" priority="31" operator="containsText" text="D">
      <formula>NOT(ISERROR(SEARCH("D",N43)))</formula>
    </cfRule>
  </conditionalFormatting>
  <conditionalFormatting sqref="N43:V43">
    <cfRule type="containsText" dxfId="16" priority="30" operator="containsText" text="R">
      <formula>NOT(ISERROR(SEARCH("R",N43)))</formula>
    </cfRule>
  </conditionalFormatting>
  <conditionalFormatting sqref="N43:V43">
    <cfRule type="containsText" dxfId="15" priority="29" operator="containsText" text="P">
      <formula>NOT(ISERROR(SEARCH("P",N43)))</formula>
    </cfRule>
  </conditionalFormatting>
  <conditionalFormatting sqref="N44:V46">
    <cfRule type="colorScale" priority="16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N38:V38">
    <cfRule type="containsText" dxfId="14" priority="25" operator="containsText" text="S">
      <formula>NOT(ISERROR(SEARCH("S",N38)))</formula>
    </cfRule>
    <cfRule type="containsText" dxfId="13" priority="26" operator="containsText" text="H">
      <formula>NOT(ISERROR(SEARCH("H",N38)))</formula>
    </cfRule>
  </conditionalFormatting>
  <conditionalFormatting sqref="N38:V38">
    <cfRule type="containsText" dxfId="12" priority="24" operator="containsText" text="D">
      <formula>NOT(ISERROR(SEARCH("D",N38)))</formula>
    </cfRule>
  </conditionalFormatting>
  <conditionalFormatting sqref="N38:V38">
    <cfRule type="containsText" dxfId="11" priority="23" operator="containsText" text="R">
      <formula>NOT(ISERROR(SEARCH("R",N38)))</formula>
    </cfRule>
  </conditionalFormatting>
  <conditionalFormatting sqref="N38:V38">
    <cfRule type="containsText" dxfId="10" priority="22" operator="containsText" text="P">
      <formula>NOT(ISERROR(SEARCH("P",N38)))</formula>
    </cfRule>
  </conditionalFormatting>
  <conditionalFormatting sqref="X44:AH44">
    <cfRule type="containsText" dxfId="9" priority="9" operator="containsText" text="S">
      <formula>NOT(ISERROR(SEARCH("S",X44)))</formula>
    </cfRule>
    <cfRule type="containsText" dxfId="8" priority="10" operator="containsText" text="H">
      <formula>NOT(ISERROR(SEARCH("H",X44)))</formula>
    </cfRule>
  </conditionalFormatting>
  <conditionalFormatting sqref="X44:AH44">
    <cfRule type="containsText" dxfId="7" priority="8" operator="containsText" text="D">
      <formula>NOT(ISERROR(SEARCH("D",X44)))</formula>
    </cfRule>
  </conditionalFormatting>
  <conditionalFormatting sqref="X44:AH44">
    <cfRule type="containsText" dxfId="6" priority="7" operator="containsText" text="R">
      <formula>NOT(ISERROR(SEARCH("R",X44)))</formula>
    </cfRule>
  </conditionalFormatting>
  <conditionalFormatting sqref="X44:AH44">
    <cfRule type="containsText" dxfId="5" priority="6" operator="containsText" text="P">
      <formula>NOT(ISERROR(SEARCH("P",X44)))</formula>
    </cfRule>
  </conditionalFormatting>
  <conditionalFormatting sqref="X45:X46">
    <cfRule type="containsText" dxfId="4" priority="4" operator="containsText" text="S">
      <formula>NOT(ISERROR(SEARCH("S",X45)))</formula>
    </cfRule>
    <cfRule type="containsText" dxfId="3" priority="5" operator="containsText" text="H">
      <formula>NOT(ISERROR(SEARCH("H",X45)))</formula>
    </cfRule>
  </conditionalFormatting>
  <conditionalFormatting sqref="X45:X46">
    <cfRule type="containsText" dxfId="2" priority="3" operator="containsText" text="D">
      <formula>NOT(ISERROR(SEARCH("D",X45)))</formula>
    </cfRule>
  </conditionalFormatting>
  <conditionalFormatting sqref="X45:X46">
    <cfRule type="containsText" dxfId="1" priority="2" operator="containsText" text="R">
      <formula>NOT(ISERROR(SEARCH("R",X45)))</formula>
    </cfRule>
  </conditionalFormatting>
  <conditionalFormatting sqref="X45:X46">
    <cfRule type="containsText" dxfId="0" priority="1" operator="containsText" text="P">
      <formula>NOT(ISERROR(SEARCH("P",X45)))</formula>
    </cfRule>
  </conditionalFormatting>
  <pageMargins left="0.25" right="0.25" top="0.75" bottom="0.75" header="0.3" footer="0.3"/>
  <pageSetup paperSize="9" scale="65" orientation="landscape" r:id="rId1"/>
  <headerFooter>
    <oddHeader xml:space="preserve">&amp;C&amp;"System Font,Bold"&amp;22&amp;K000000Atipat's Blackjack Strategy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IF(Rules!$B$6=Rules!$E$6,2*(SUM(Stand!B4:B11)+Rules!$B$5*Stand!B12+Stand!B36)/(9+Rules!$B$5),HS!B2)</f>
        <v>-0.34456837192534162</v>
      </c>
      <c r="C2">
        <f>IF(Rules!$B$6=Rules!$E$6,2*(SUM(Stand!C4:C11)+Rules!$B$5*Stand!C12+Stand!C36)/(9+Rules!$B$5),HS!C2)</f>
        <v>-7.5884358318949102E-2</v>
      </c>
      <c r="D2">
        <f>IF(Rules!$B$6=Rules!$E$6,2*(SUM(Stand!D4:D11)+Rules!$B$5*Stand!D12+Stand!D36)/(9+Rules!$B$5),HS!D2)</f>
        <v>-4.9750706146412041E-2</v>
      </c>
      <c r="E2">
        <f>IF(Rules!$B$6=Rules!$E$6,2*(SUM(Stand!E4:E11)+Rules!$B$5*Stand!E12+Stand!E36)/(9+Rules!$B$5),HS!E2)</f>
        <v>-2.2100412135834389E-2</v>
      </c>
      <c r="F2">
        <f>IF(Rules!$B$6=Rules!$E$6,2*(SUM(Stand!F4:F11)+Rules!$B$5*Stand!F12+Stand!F36)/(9+Rules!$B$5),HS!F2)</f>
        <v>1.3730032284783571E-2</v>
      </c>
      <c r="G2">
        <f>IF(Rules!$B$6=Rules!$E$6,2*(SUM(Stand!G4:G11)+Rules!$B$5*Stand!G12+Stand!G36)/(9+Rules!$B$5),HS!G2)</f>
        <v>3.8883411946301231E-2</v>
      </c>
      <c r="H2">
        <f>IF(Rules!$B$6=Rules!$E$6,2*(SUM(Stand!H4:H11)+Rules!$B$5*Stand!H12+Stand!H36)/(9+Rules!$B$5),HS!H2)</f>
        <v>-2.7257021375862247E-2</v>
      </c>
      <c r="I2">
        <f>IF(Rules!$B$6=Rules!$E$6,2*(SUM(Stand!I4:I11)+Rules!$B$5*Stand!I12+Stand!I36)/(9+Rules!$B$5),HS!I2)</f>
        <v>-0.10316172777512723</v>
      </c>
      <c r="J2">
        <f>IF(Rules!$B$6=Rules!$E$6,2*(SUM(Stand!J4:J11)+Rules!$B$5*Stand!J12+Stand!J36)/(9+Rules!$B$5),HS!J2)</f>
        <v>-0.19004714305350842</v>
      </c>
      <c r="K2">
        <f>IF(Rules!$B$6=Rules!$E$6,2*(SUM(Stand!K4:K11)+Rules!$B$5*Stand!K12+Stand!K36)/(9+Rules!$B$5),HS!K2)</f>
        <v>-0.29096372773977425</v>
      </c>
    </row>
    <row r="3" spans="1:11" x14ac:dyDescent="0.2">
      <c r="A3">
        <v>3</v>
      </c>
      <c r="B3">
        <f>IF(Rules!$B$6=Rules!$E$6,2*(SUM(Stand!B5:B12)+Rules!$B$5*Stand!B13+Stand!B37)/(9+Rules!$B$5),HS!B3)</f>
        <v>-0.36474464099475529</v>
      </c>
      <c r="C3">
        <f>IF(Rules!$B$6=Rules!$E$6,2*(SUM(Stand!C5:C12)+Rules!$B$5*Stand!C13+Stand!C37)/(9+Rules!$B$5),HS!C3)</f>
        <v>-0.10052250439785246</v>
      </c>
      <c r="D3">
        <f>IF(Rules!$B$6=Rules!$E$6,2*(SUM(Stand!D5:D12)+Rules!$B$5*Stand!D13+Stand!D37)/(9+Rules!$B$5),HS!D3)</f>
        <v>-6.8875858278897514E-2</v>
      </c>
      <c r="E3">
        <f>IF(Rules!$B$6=Rules!$E$6,2*(SUM(Stand!E5:E12)+Rules!$B$5*Stand!E13+Stand!E37)/(9+Rules!$B$5),HS!E3)</f>
        <v>-3.6261290708905339E-2</v>
      </c>
      <c r="F3">
        <f>IF(Rules!$B$6=Rules!$E$6,2*(SUM(Stand!F5:F12)+Rules!$B$5*Stand!F13+Stand!F37)/(9+Rules!$B$5),HS!F3)</f>
        <v>1.6995712139687808E-4</v>
      </c>
      <c r="G3">
        <f>IF(Rules!$B$6=Rules!$E$6,2*(SUM(Stand!G5:G12)+Rules!$B$5*Stand!G13+Stand!G37)/(9+Rules!$B$5),HS!G3)</f>
        <v>2.447130320655936E-2</v>
      </c>
      <c r="H3">
        <f>IF(Rules!$B$6=Rules!$E$6,2*(SUM(Stand!H5:H12)+Rules!$B$5*Stand!H13+Stand!H37)/(9+Rules!$B$5),HS!H3)</f>
        <v>-5.7437588540356667E-2</v>
      </c>
      <c r="I3">
        <f>IF(Rules!$B$6=Rules!$E$6,2*(SUM(Stand!I5:I12)+Rules!$B$5*Stand!I13+Stand!I37)/(9+Rules!$B$5),HS!I3)</f>
        <v>-0.13094188065020099</v>
      </c>
      <c r="J3">
        <f>IF(Rules!$B$6=Rules!$E$6,2*(SUM(Stand!J5:J12)+Rules!$B$5*Stand!J13+Stand!J37)/(9+Rules!$B$5),HS!J3)</f>
        <v>-0.21507662281362433</v>
      </c>
      <c r="K3">
        <f>IF(Rules!$B$6=Rules!$E$6,2*(SUM(Stand!K5:K12)+Rules!$B$5*Stand!K13+Stand!K37)/(9+Rules!$B$5),HS!K3)</f>
        <v>-0.31277980128259808</v>
      </c>
    </row>
    <row r="4" spans="1:11" x14ac:dyDescent="0.2">
      <c r="A4">
        <v>4</v>
      </c>
      <c r="B4">
        <f>IF(Rules!$B$6=Rules!$E$6,2*(SUM(Stand!B6:B13)+Rules!$B$5*Stand!B14+Stand!B38)/(9+Rules!$B$5),HS!B4)</f>
        <v>-0.38538530661686615</v>
      </c>
      <c r="C4">
        <f>IF(Rules!$B$6=Rules!$E$6,2*(SUM(Stand!C6:C13)+Rules!$B$5*Stand!C14+Stand!C38)/(9+Rules!$B$5),HS!C4)</f>
        <v>-0.11491332761892134</v>
      </c>
      <c r="D4">
        <f>IF(Rules!$B$6=Rules!$E$6,2*(SUM(Stand!D6:D13)+Rules!$B$5*Stand!D14+Stand!D38)/(9+Rules!$B$5),HS!D4)</f>
        <v>-8.2613314299744348E-2</v>
      </c>
      <c r="E4">
        <f>IF(Rules!$B$6=Rules!$E$6,2*(SUM(Stand!E6:E13)+Rules!$B$5*Stand!E14+Stand!E38)/(9+Rules!$B$5),HS!E4)</f>
        <v>-4.9367420106916922E-2</v>
      </c>
      <c r="F4">
        <f>IF(Rules!$B$6=Rules!$E$6,2*(SUM(Stand!F6:F13)+Rules!$B$5*Stand!F14+Stand!F38)/(9+Rules!$B$5),HS!F4)</f>
        <v>-1.2379926519926384E-2</v>
      </c>
      <c r="G4">
        <f>IF(Rules!$B$6=Rules!$E$6,2*(SUM(Stand!G6:G13)+Rules!$B$5*Stand!G14+Stand!G38)/(9+Rules!$B$5),HS!G4)</f>
        <v>1.1130417280979797E-2</v>
      </c>
      <c r="H4">
        <f>IF(Rules!$B$6=Rules!$E$6,2*(SUM(Stand!H6:H13)+Rules!$B$5*Stand!H14+Stand!H38)/(9+Rules!$B$5),HS!H4)</f>
        <v>-8.8279201058463722E-2</v>
      </c>
      <c r="I4">
        <f>IF(Rules!$B$6=Rules!$E$6,2*(SUM(Stand!I6:I13)+Rules!$B$5*Stand!I14+Stand!I38)/(9+Rules!$B$5),HS!I4)</f>
        <v>-0.15933415266020512</v>
      </c>
      <c r="J4">
        <f>IF(Rules!$B$6=Rules!$E$6,2*(SUM(Stand!J6:J13)+Rules!$B$5*Stand!J14+Stand!J38)/(9+Rules!$B$5),HS!J4)</f>
        <v>-0.24066617915336547</v>
      </c>
      <c r="K4">
        <f>IF(Rules!$B$6=Rules!$E$6,2*(SUM(Stand!K6:K13)+Rules!$B$5*Stand!K14+Stand!K38)/(9+Rules!$B$5),HS!K4)</f>
        <v>-0.33509986436351097</v>
      </c>
    </row>
    <row r="5" spans="1:11" x14ac:dyDescent="0.2">
      <c r="A5">
        <v>5</v>
      </c>
      <c r="B5">
        <f>IF(Rules!$B$6=Rules!$E$6,2*(SUM(Stand!B7:B14)+Rules!$B$5*Stand!B15+Stand!B39)/(9+Rules!$B$5),HS!B5)</f>
        <v>-0.40632230211141912</v>
      </c>
      <c r="C5">
        <f>IF(Rules!$B$6=Rules!$E$6,2*(SUM(Stand!C7:C14)+Rules!$B$5*Stand!C15+Stand!C39)/(9+Rules!$B$5),HS!C5)</f>
        <v>-0.12821556706374745</v>
      </c>
      <c r="D5">
        <f>IF(Rules!$B$6=Rules!$E$6,2*(SUM(Stand!D7:D14)+Rules!$B$5*Stand!D15+Stand!D39)/(9+Rules!$B$5),HS!D5)</f>
        <v>-9.5310227261489883E-2</v>
      </c>
      <c r="E5">
        <f>IF(Rules!$B$6=Rules!$E$6,2*(SUM(Stand!E7:E14)+Rules!$B$5*Stand!E15+Stand!E39)/(9+Rules!$B$5),HS!E5)</f>
        <v>-6.1479464199694238E-2</v>
      </c>
      <c r="F5">
        <f>IF(Rules!$B$6=Rules!$E$6,2*(SUM(Stand!F7:F14)+Rules!$B$5*Stand!F15+Stand!F39)/(9+Rules!$B$5),HS!F5)</f>
        <v>-2.397897039185962E-2</v>
      </c>
      <c r="G5">
        <f>IF(Rules!$B$6=Rules!$E$6,2*(SUM(Stand!G7:G14)+Rules!$B$5*Stand!G15+Stand!G39)/(9+Rules!$B$5),HS!G5)</f>
        <v>-1.1863378384401623E-3</v>
      </c>
      <c r="H5">
        <f>IF(Rules!$B$6=Rules!$E$6,2*(SUM(Stand!H7:H14)+Rules!$B$5*Stand!H15+Stand!H39)/(9+Rules!$B$5),HS!H5)</f>
        <v>-0.11944744188414852</v>
      </c>
      <c r="I5">
        <f>IF(Rules!$B$6=Rules!$E$6,2*(SUM(Stand!I7:I14)+Rules!$B$5*Stand!I15+Stand!I39)/(9+Rules!$B$5),HS!I5)</f>
        <v>-0.18809330390318518</v>
      </c>
      <c r="J5">
        <f>IF(Rules!$B$6=Rules!$E$6,2*(SUM(Stand!J7:J14)+Rules!$B$5*Stand!J15+Stand!J39)/(9+Rules!$B$5),HS!J5)</f>
        <v>-0.26661505335795899</v>
      </c>
      <c r="K5">
        <f>IF(Rules!$B$6=Rules!$E$6,2*(SUM(Stand!K7:K14)+Rules!$B$5*Stand!K15+Stand!K39)/(9+Rules!$B$5),HS!K5)</f>
        <v>-0.3577434525808979</v>
      </c>
    </row>
    <row r="6" spans="1:11" x14ac:dyDescent="0.2">
      <c r="A6">
        <v>6</v>
      </c>
      <c r="B6">
        <f>IF(Rules!$B$6=Rules!$E$6,2*(SUM(Stand!B8:B15)+Rules!$B$5*Stand!B16+Stand!B40)/(9+Rules!$B$5),HS!B6)</f>
        <v>-0.41968690347101079</v>
      </c>
      <c r="C6">
        <f>IF(Rules!$B$6=Rules!$E$6,2*(SUM(Stand!C8:C15)+Rules!$B$5*Stand!C16+Stand!C40)/(9+Rules!$B$5),HS!C6)</f>
        <v>-0.14075911746001987</v>
      </c>
      <c r="D6">
        <f>IF(Rules!$B$6=Rules!$E$6,2*(SUM(Stand!D8:D15)+Rules!$B$5*Stand!D16+Stand!D40)/(9+Rules!$B$5),HS!D6)</f>
        <v>-0.10729107800860835</v>
      </c>
      <c r="E6">
        <f>IF(Rules!$B$6=Rules!$E$6,2*(SUM(Stand!E8:E15)+Rules!$B$5*Stand!E16+Stand!E40)/(9+Rules!$B$5),HS!E6)</f>
        <v>-7.2917141926387305E-2</v>
      </c>
      <c r="F6">
        <f>IF(Rules!$B$6=Rules!$E$6,2*(SUM(Stand!F8:F15)+Rules!$B$5*Stand!F16+Stand!F40)/(9+Rules!$B$5),HS!F6)</f>
        <v>-3.4915973330102178E-2</v>
      </c>
      <c r="G6">
        <f>IF(Rules!$B$6=Rules!$E$6,2*(SUM(Stand!G8:G15)+Rules!$B$5*Stand!G16+Stand!G40)/(9+Rules!$B$5),HS!G6)</f>
        <v>-1.3005835529874294E-2</v>
      </c>
      <c r="H6">
        <f>IF(Rules!$B$6=Rules!$E$6,2*(SUM(Stand!H8:H15)+Rules!$B$5*Stand!H16+Stand!H40)/(9+Rules!$B$5),HS!H6)</f>
        <v>-0.15193270723669944</v>
      </c>
      <c r="I6">
        <f>IF(Rules!$B$6=Rules!$E$6,2*(SUM(Stand!I8:I15)+Rules!$B$5*Stand!I16+Stand!I40)/(9+Rules!$B$5),HS!I6)</f>
        <v>-0.21724188132078476</v>
      </c>
      <c r="J6">
        <f>IF(Rules!$B$6=Rules!$E$6,2*(SUM(Stand!J8:J15)+Rules!$B$5*Stand!J16+Stand!J40)/(9+Rules!$B$5),HS!J6)</f>
        <v>-0.29264070019772598</v>
      </c>
      <c r="K6">
        <f>IF(Rules!$B$6=Rules!$E$6,2*(SUM(Stand!K8:K15)+Rules!$B$5*Stand!K16+Stand!K40)/(9+Rules!$B$5),HS!K6)</f>
        <v>-0.38050766229289529</v>
      </c>
    </row>
    <row r="7" spans="1:11" x14ac:dyDescent="0.2">
      <c r="A7">
        <v>7</v>
      </c>
      <c r="B7">
        <f>IF(Rules!$B$6=Rules!$E$6,2*(SUM(Stand!B9:B16)+Rules!$B$5*Stand!B17+Stand!B41)/(9+Rules!$B$5),HS!B7)</f>
        <v>-0.39971038372569095</v>
      </c>
      <c r="C7">
        <f>IF(Rules!$B$6=Rules!$E$6,2*(SUM(Stand!C9:C16)+Rules!$B$5*Stand!C17+Stand!C41)/(9+Rules!$B$5),HS!C7)</f>
        <v>-0.10918342786661633</v>
      </c>
      <c r="D7">
        <f>IF(Rules!$B$6=Rules!$E$6,2*(SUM(Stand!D9:D16)+Rules!$B$5*Stand!D17+Stand!D41)/(9+Rules!$B$5),HS!D7)</f>
        <v>-7.6582981904463582E-2</v>
      </c>
      <c r="E7">
        <f>IF(Rules!$B$6=Rules!$E$6,2*(SUM(Stand!E9:E16)+Rules!$B$5*Stand!E17+Stand!E41)/(9+Rules!$B$5),HS!E7)</f>
        <v>-4.3021794004341876E-2</v>
      </c>
      <c r="F7">
        <f>IF(Rules!$B$6=Rules!$E$6,2*(SUM(Stand!F9:F16)+Rules!$B$5*Stand!F17+Stand!F41)/(9+Rules!$B$5),HS!F7)</f>
        <v>-7.2713609029408845E-3</v>
      </c>
      <c r="G7">
        <f>IF(Rules!$B$6=Rules!$E$6,2*(SUM(Stand!G9:G16)+Rules!$B$5*Stand!G17+Stand!G41)/(9+Rules!$B$5),HS!G7)</f>
        <v>2.9185342353860864E-2</v>
      </c>
      <c r="H7">
        <f>IF(Rules!$B$6=Rules!$E$6,2*(SUM(Stand!H9:H16)+Rules!$B$5*Stand!H17+Stand!H41)/(9+Rules!$B$5),HS!H7)</f>
        <v>-6.8807799580427764E-2</v>
      </c>
      <c r="I7">
        <f>IF(Rules!$B$6=Rules!$E$6,2*(SUM(Stand!I9:I16)+Rules!$B$5*Stand!I17+Stand!I41)/(9+Rules!$B$5),HS!I7)</f>
        <v>-0.21060476872434966</v>
      </c>
      <c r="J7">
        <f>IF(Rules!$B$6=Rules!$E$6,2*(SUM(Stand!J9:J16)+Rules!$B$5*Stand!J17+Stand!J41)/(9+Rules!$B$5),HS!J7)</f>
        <v>-0.28536544048687662</v>
      </c>
      <c r="K7">
        <f>IF(Rules!$B$6=Rules!$E$6,2*(SUM(Stand!K9:K16)+Rules!$B$5*Stand!K17+Stand!K41)/(9+Rules!$B$5),HS!K7)</f>
        <v>-0.36507789921394679</v>
      </c>
    </row>
    <row r="8" spans="1:11" x14ac:dyDescent="0.2">
      <c r="A8">
        <v>8</v>
      </c>
      <c r="B8">
        <f>IF(Rules!$B$6=Rules!$E$6,2*(SUM(Stand!B10:B17)+Rules!$B$5*Stand!B18+Stand!B42)/(9+Rules!$B$5),HS!B8)</f>
        <v>-0.33034033459070061</v>
      </c>
      <c r="C8">
        <f>IF(Rules!$B$6=Rules!$E$6,2*(SUM(Stand!C10:C17)+Rules!$B$5*Stand!C18+Stand!C42)/(9+Rules!$B$5),HS!C8)</f>
        <v>-2.1798188008805671E-2</v>
      </c>
      <c r="D8">
        <f>IF(Rules!$B$6=Rules!$E$6,2*(SUM(Stand!D10:D17)+Rules!$B$5*Stand!D18+Stand!D42)/(9+Rules!$B$5),HS!D8)</f>
        <v>8.0052625306546912E-3</v>
      </c>
      <c r="E8">
        <f>IF(Rules!$B$6=Rules!$E$6,2*(SUM(Stand!E10:E17)+Rules!$B$5*Stand!E18+Stand!E42)/(9+Rules!$B$5),HS!E8)</f>
        <v>3.8784473277208804E-2</v>
      </c>
      <c r="F8">
        <f>IF(Rules!$B$6=Rules!$E$6,2*(SUM(Stand!F10:F17)+Rules!$B$5*Stand!F18+Stand!F42)/(9+Rules!$B$5),HS!F8)</f>
        <v>7.0804635983033826E-2</v>
      </c>
      <c r="G8">
        <f>IF(Rules!$B$6=Rules!$E$6,2*(SUM(Stand!G10:G17)+Rules!$B$5*Stand!G18+Stand!G42)/(9+Rules!$B$5),HS!G8)</f>
        <v>0.11496015009622321</v>
      </c>
      <c r="H8">
        <f>IF(Rules!$B$6=Rules!$E$6,2*(SUM(Stand!H10:H17)+Rules!$B$5*Stand!H18+Stand!H42)/(9+Rules!$B$5),HS!H8)</f>
        <v>8.2207439363742862E-2</v>
      </c>
      <c r="I8">
        <f>IF(Rules!$B$6=Rules!$E$6,2*(SUM(Stand!I10:I17)+Rules!$B$5*Stand!I18+Stand!I42)/(9+Rules!$B$5),HS!I8)</f>
        <v>-5.989827565865629E-2</v>
      </c>
      <c r="J8">
        <f>IF(Rules!$B$6=Rules!$E$6,2*(SUM(Stand!J10:J17)+Rules!$B$5*Stand!J18+Stand!J42)/(9+Rules!$B$5),HS!J8)</f>
        <v>-0.2101863319982176</v>
      </c>
      <c r="K8">
        <f>IF(Rules!$B$6=Rules!$E$6,2*(SUM(Stand!K10:K17)+Rules!$B$5*Stand!K18+Stand!K42)/(9+Rules!$B$5),HS!K8)</f>
        <v>-0.30177738614031369</v>
      </c>
    </row>
    <row r="9" spans="1:11" x14ac:dyDescent="0.2">
      <c r="A9">
        <v>9</v>
      </c>
      <c r="B9">
        <f>2*(SUM(Stand!B11:B18)+Rules!$B$5*Stand!B19+Stand!B43)/(9+Rules!$B$5)</f>
        <v>-0.62015530980596734</v>
      </c>
      <c r="C9">
        <f>2*(SUM(Stand!C11:C18)+Rules!$B$5*Stand!C19+Stand!C43)/(9+Rules!$B$5)</f>
        <v>6.1118503166596977E-2</v>
      </c>
      <c r="D9">
        <f>2*(SUM(Stand!D11:D18)+Rules!$B$5*Stand!D19+Stand!D43)/(9+Rules!$B$5)</f>
        <v>0.12081635332999656</v>
      </c>
      <c r="E9">
        <f>2*(SUM(Stand!E11:E18)+Rules!$B$5*Stand!E19+Stand!E43)/(9+Rules!$B$5)</f>
        <v>0.1819489340524216</v>
      </c>
      <c r="F9">
        <f>2*(SUM(Stand!F11:F18)+Rules!$B$5*Stand!F19+Stand!F43)/(9+Rules!$B$5)</f>
        <v>0.24305722487303633</v>
      </c>
      <c r="G9">
        <f>2*(SUM(Stand!G11:G18)+Rules!$B$5*Stand!G19+Stand!G43)/(9+Rules!$B$5)</f>
        <v>0.31705474570166692</v>
      </c>
      <c r="H9">
        <f>2*(SUM(Stand!H11:H18)+Rules!$B$5*Stand!H19+Stand!H43)/(9+Rules!$B$5)</f>
        <v>0.10425035196048602</v>
      </c>
      <c r="I9">
        <f>2*(SUM(Stand!I11:I18)+Rules!$B$5*Stand!I19+Stand!I43)/(9+Rules!$B$5)</f>
        <v>-2.6442289648669261E-2</v>
      </c>
      <c r="J9">
        <f>2*(SUM(Stand!J11:J18)+Rules!$B$5*Stand!J19+Stand!J43)/(9+Rules!$B$5)</f>
        <v>-0.30099565908098236</v>
      </c>
      <c r="K9">
        <f>2*(SUM(Stand!K11:K18)+Rules!$B$5*Stand!K19+Stand!K43)/(9+Rules!$B$5)</f>
        <v>-0.58465235122608539</v>
      </c>
    </row>
    <row r="10" spans="1:11" x14ac:dyDescent="0.2">
      <c r="A10">
        <v>10</v>
      </c>
      <c r="B10">
        <f>2*(SUM(Stand!B12:B19)+Rules!$B$5*Stand!B20+Stand!B44)/(9+Rules!$B$5)</f>
        <v>-0.32751926232774553</v>
      </c>
      <c r="C10">
        <f>2*(SUM(Stand!C12:C19)+Rules!$B$5*Stand!C20+Stand!C44)/(9+Rules!$B$5)</f>
        <v>0.3589394124422991</v>
      </c>
      <c r="D10">
        <f>2*(SUM(Stand!D12:D19)+Rules!$B$5*Stand!D20+Stand!D44)/(9+Rules!$B$5)</f>
        <v>0.40932067017593915</v>
      </c>
      <c r="E10">
        <f>2*(SUM(Stand!E12:E19)+Rules!$B$5*Stand!E20+Stand!E44)/(9+Rules!$B$5)</f>
        <v>0.460940243794354</v>
      </c>
      <c r="F10">
        <f>2*(SUM(Stand!F12:F19)+Rules!$B$5*Stand!F20+Stand!F44)/(9+Rules!$B$5)</f>
        <v>0.51251710900326775</v>
      </c>
      <c r="G10">
        <f>2*(SUM(Stand!G12:G19)+Rules!$B$5*Stand!G20+Stand!G44)/(9+Rules!$B$5)</f>
        <v>0.57559016859776857</v>
      </c>
      <c r="H10">
        <f>2*(SUM(Stand!H12:H19)+Rules!$B$5*Stand!H20+Stand!H44)/(9+Rules!$B$5)</f>
        <v>0.39241245528243773</v>
      </c>
      <c r="I10">
        <f>2*(SUM(Stand!I12:I19)+Rules!$B$5*Stand!I20+Stand!I44)/(9+Rules!$B$5)</f>
        <v>0.28663571688628381</v>
      </c>
      <c r="J10">
        <f>2*(SUM(Stand!J12:J19)+Rules!$B$5*Stand!J20+Stand!J44)/(9+Rules!$B$5)</f>
        <v>0.1443283683807712</v>
      </c>
      <c r="K10">
        <f>2*(SUM(Stand!K12:K19)+Rules!$B$5*Stand!K20+Stand!K44)/(9+Rules!$B$5)</f>
        <v>-0.1500044694283372</v>
      </c>
    </row>
    <row r="11" spans="1:11" x14ac:dyDescent="0.2">
      <c r="A11">
        <v>11</v>
      </c>
      <c r="B11">
        <f>2*(SUM(Stand!B13:B20)+Rules!$B$5*Stand!B21+Stand!B45)/(9+Rules!$B$5)</f>
        <v>-0.11815715102876453</v>
      </c>
      <c r="C11">
        <f>2*(SUM(Stand!C13:C20)+Rules!$B$5*Stand!C21+Stand!C45)/(9+Rules!$B$5)</f>
        <v>0.47064092333946889</v>
      </c>
      <c r="D11">
        <f>2*(SUM(Stand!D13:D20)+Rules!$B$5*Stand!D21+Stand!D45)/(9+Rules!$B$5)</f>
        <v>0.51779525312221675</v>
      </c>
      <c r="E11">
        <f>2*(SUM(Stand!E13:E20)+Rules!$B$5*Stand!E21+Stand!E45)/(9+Rules!$B$5)</f>
        <v>0.56604055041797607</v>
      </c>
      <c r="F11">
        <f>2*(SUM(Stand!F13:F20)+Rules!$B$5*Stand!F21+Stand!F45)/(9+Rules!$B$5)</f>
        <v>0.61469901790902803</v>
      </c>
      <c r="G11">
        <f>2*(SUM(Stand!G13:G20)+Rules!$B$5*Stand!G21+Stand!G45)/(9+Rules!$B$5)</f>
        <v>0.66738009490756944</v>
      </c>
      <c r="H11">
        <f>2*(SUM(Stand!H13:H20)+Rules!$B$5*Stand!H21+Stand!H45)/(9+Rules!$B$5)</f>
        <v>0.46288894886429077</v>
      </c>
      <c r="I11">
        <f>2*(SUM(Stand!I13:I20)+Rules!$B$5*Stand!I21+Stand!I45)/(9+Rules!$B$5)</f>
        <v>0.35069259087031512</v>
      </c>
      <c r="J11">
        <f>2*(SUM(Stand!J13:J20)+Rules!$B$5*Stand!J21+Stand!J45)/(9+Rules!$B$5)</f>
        <v>0.22778342315245487</v>
      </c>
      <c r="K11">
        <f>2*(SUM(Stand!K13:K20)+Rules!$B$5*Stand!K21+Stand!K45)/(9+Rules!$B$5)</f>
        <v>5.9357641870643747E-2</v>
      </c>
    </row>
    <row r="12" spans="1:11" x14ac:dyDescent="0.2">
      <c r="A12">
        <v>12</v>
      </c>
      <c r="B12">
        <f>IF(Rules!$B$6=Rules!$E$6,2*(SUM(Stand!B14:B21)+Rules!$B$5*Stand!B22+Stand!B46)/(9+Rules!$B$5),HS!B12)</f>
        <v>-0.46566058377683939</v>
      </c>
      <c r="C12">
        <f>IF(Rules!$B$6=Rules!$E$6,2*(SUM(Stand!C14:C21)+Rules!$B$5*Stand!C22+Stand!C46)/(9+Rules!$B$5),HS!C12)</f>
        <v>-0.25338998596663809</v>
      </c>
      <c r="D12">
        <f>IF(Rules!$B$6=Rules!$E$6,2*(SUM(Stand!D14:D21)+Rules!$B$5*Stand!D22+Stand!D46)/(9+Rules!$B$5),HS!D12)</f>
        <v>-0.2336908997980866</v>
      </c>
      <c r="E12">
        <f>IF(Rules!$B$6=Rules!$E$6,2*(SUM(Stand!E14:E21)+Rules!$B$5*Stand!E22+Stand!E46)/(9+Rules!$B$5),HS!E12)</f>
        <v>-0.21106310899491437</v>
      </c>
      <c r="F12">
        <f>IF(Rules!$B$6=Rules!$E$6,2*(SUM(Stand!F14:F21)+Rules!$B$5*Stand!F22+Stand!F46)/(9+Rules!$B$5),HS!F12)</f>
        <v>-0.16719266083547524</v>
      </c>
      <c r="G12">
        <f>IF(Rules!$B$6=Rules!$E$6,2*(SUM(Stand!G14:G21)+Rules!$B$5*Stand!G22+Stand!G46)/(9+Rules!$B$5),HS!G12)</f>
        <v>-0.1536990158300045</v>
      </c>
      <c r="H12">
        <f>IF(Rules!$B$6=Rules!$E$6,2*(SUM(Stand!H14:H21)+Rules!$B$5*Stand!H22+Stand!H46)/(9+Rules!$B$5),HS!H12)</f>
        <v>-0.21284771451731424</v>
      </c>
      <c r="I12">
        <f>IF(Rules!$B$6=Rules!$E$6,2*(SUM(Stand!I14:I21)+Rules!$B$5*Stand!I22+Stand!I46)/(9+Rules!$B$5),HS!I12)</f>
        <v>-0.27157480502428616</v>
      </c>
      <c r="J12">
        <f>IF(Rules!$B$6=Rules!$E$6,2*(SUM(Stand!J14:J21)+Rules!$B$5*Stand!J22+Stand!J46)/(9+Rules!$B$5),HS!J12)</f>
        <v>-0.3400132806089356</v>
      </c>
      <c r="K12">
        <f>IF(Rules!$B$6=Rules!$E$6,2*(SUM(Stand!K14:K21)+Rules!$B$5*Stand!K22+Stand!K46)/(9+Rules!$B$5),HS!K12)</f>
        <v>-0.42069618899826788</v>
      </c>
    </row>
    <row r="13" spans="1:11" x14ac:dyDescent="0.2">
      <c r="A13">
        <v>13</v>
      </c>
      <c r="B13">
        <f>IF(Rules!$B$6=Rules!$E$6,2*(SUM(Stand!B15:B22)+Rules!$B$5*Stand!B23+Stand!B47)/(9+Rules!$B$5),HS!B13)</f>
        <v>-0.50382768493563657</v>
      </c>
      <c r="C13">
        <f>IF(Rules!$B$6=Rules!$E$6,2*(SUM(Stand!C15:C22)+Rules!$B$5*Stand!C23+Stand!C47)/(9+Rules!$B$5),HS!C13)</f>
        <v>-0.29278372720927726</v>
      </c>
      <c r="D13">
        <f>IF(Rules!$B$6=Rules!$E$6,2*(SUM(Stand!D15:D22)+Rules!$B$5*Stand!D23+Stand!D47)/(9+Rules!$B$5),HS!D13)</f>
        <v>-0.2522502292357135</v>
      </c>
      <c r="E13">
        <f>IF(Rules!$B$6=Rules!$E$6,2*(SUM(Stand!E15:E22)+Rules!$B$5*Stand!E23+Stand!E47)/(9+Rules!$B$5),HS!E13)</f>
        <v>-0.21106310899491437</v>
      </c>
      <c r="F13">
        <f>IF(Rules!$B$6=Rules!$E$6,2*(SUM(Stand!F15:F22)+Rules!$B$5*Stand!F23+Stand!F47)/(9+Rules!$B$5),HS!F13)</f>
        <v>-0.16719266083547524</v>
      </c>
      <c r="G13">
        <f>IF(Rules!$B$6=Rules!$E$6,2*(SUM(Stand!G15:G22)+Rules!$B$5*Stand!G23+Stand!G47)/(9+Rules!$B$5),HS!G13)</f>
        <v>-0.1536990158300045</v>
      </c>
      <c r="H13">
        <f>IF(Rules!$B$6=Rules!$E$6,2*(SUM(Stand!H15:H22)+Rules!$B$5*Stand!H23+Stand!H47)/(9+Rules!$B$5),HS!H13)</f>
        <v>-0.26907287776607752</v>
      </c>
      <c r="I13">
        <f>IF(Rules!$B$6=Rules!$E$6,2*(SUM(Stand!I15:I22)+Rules!$B$5*Stand!I23+Stand!I47)/(9+Rules!$B$5),HS!I13)</f>
        <v>-0.32360517609397998</v>
      </c>
      <c r="J13">
        <f>IF(Rules!$B$6=Rules!$E$6,2*(SUM(Stand!J15:J22)+Rules!$B$5*Stand!J23+Stand!J47)/(9+Rules!$B$5),HS!J13)</f>
        <v>-0.38715518913686875</v>
      </c>
      <c r="K13">
        <f>IF(Rules!$B$6=Rules!$E$6,2*(SUM(Stand!K15:K22)+Rules!$B$5*Stand!K23+Stand!K47)/(9+Rules!$B$5),HS!K13)</f>
        <v>-0.46207503264124877</v>
      </c>
    </row>
    <row r="14" spans="1:11" x14ac:dyDescent="0.2">
      <c r="A14">
        <v>14</v>
      </c>
      <c r="B14">
        <f>IF(Rules!$B$6=Rules!$E$6,2*(SUM(Stand!B16:B23)+Rules!$B$5*Stand!B24+Stand!B48)/(9+Rules!$B$5),HS!B14)</f>
        <v>-0.53926856458309114</v>
      </c>
      <c r="C14">
        <f>IF(Rules!$B$6=Rules!$E$6,2*(SUM(Stand!C16:C23)+Rules!$B$5*Stand!C24+Stand!C48)/(9+Rules!$B$5),HS!C14)</f>
        <v>-0.29278372720927726</v>
      </c>
      <c r="D14">
        <f>IF(Rules!$B$6=Rules!$E$6,2*(SUM(Stand!D16:D23)+Rules!$B$5*Stand!D24+Stand!D48)/(9+Rules!$B$5),HS!D14)</f>
        <v>-0.2522502292357135</v>
      </c>
      <c r="E14">
        <f>IF(Rules!$B$6=Rules!$E$6,2*(SUM(Stand!E16:E23)+Rules!$B$5*Stand!E24+Stand!E48)/(9+Rules!$B$5),HS!E14)</f>
        <v>-0.21106310899491437</v>
      </c>
      <c r="F14">
        <f>IF(Rules!$B$6=Rules!$E$6,2*(SUM(Stand!F16:F23)+Rules!$B$5*Stand!F24+Stand!F48)/(9+Rules!$B$5),HS!F14)</f>
        <v>-0.16719266083547524</v>
      </c>
      <c r="G14">
        <f>IF(Rules!$B$6=Rules!$E$6,2*(SUM(Stand!G16:G23)+Rules!$B$5*Stand!G24+Stand!G48)/(9+Rules!$B$5),HS!G14)</f>
        <v>-0.1536990158300045</v>
      </c>
      <c r="H14">
        <f>IF(Rules!$B$6=Rules!$E$6,2*(SUM(Stand!H16:H23)+Rules!$B$5*Stand!H24+Stand!H48)/(9+Rules!$B$5),HS!H14)</f>
        <v>-0.3212819579256434</v>
      </c>
      <c r="I14">
        <f>IF(Rules!$B$6=Rules!$E$6,2*(SUM(Stand!I16:I23)+Rules!$B$5*Stand!I24+Stand!I48)/(9+Rules!$B$5),HS!I14)</f>
        <v>-0.37191909208726714</v>
      </c>
      <c r="J14">
        <f>IF(Rules!$B$6=Rules!$E$6,2*(SUM(Stand!J16:J23)+Rules!$B$5*Stand!J24+Stand!J48)/(9+Rules!$B$5),HS!J14)</f>
        <v>-0.43092981848423528</v>
      </c>
      <c r="K14">
        <f>IF(Rules!$B$6=Rules!$E$6,2*(SUM(Stand!K16:K23)+Rules!$B$5*Stand!K24+Stand!K48)/(9+Rules!$B$5),HS!K14)</f>
        <v>-0.50049824459544523</v>
      </c>
    </row>
    <row r="15" spans="1:11" x14ac:dyDescent="0.2">
      <c r="A15">
        <v>15</v>
      </c>
      <c r="B15">
        <f>IF(Rules!$B$6=Rules!$E$6,2*(SUM(Stand!B17:B24)+Rules!$B$5*Stand!B25+Stand!B49)/(9+Rules!$B$5),HS!B15)</f>
        <v>-0.572177952827156</v>
      </c>
      <c r="C15">
        <f>IF(Rules!$B$6=Rules!$E$6,2*(SUM(Stand!C17:C24)+Rules!$B$5*Stand!C25+Stand!C49)/(9+Rules!$B$5),HS!C15)</f>
        <v>-0.29278372720927726</v>
      </c>
      <c r="D15">
        <f>IF(Rules!$B$6=Rules!$E$6,2*(SUM(Stand!D17:D24)+Rules!$B$5*Stand!D25+Stand!D49)/(9+Rules!$B$5),HS!D15)</f>
        <v>-0.2522502292357135</v>
      </c>
      <c r="E15">
        <f>IF(Rules!$B$6=Rules!$E$6,2*(SUM(Stand!E17:E24)+Rules!$B$5*Stand!E25+Stand!E49)/(9+Rules!$B$5),HS!E15)</f>
        <v>-0.21106310899491437</v>
      </c>
      <c r="F15">
        <f>IF(Rules!$B$6=Rules!$E$6,2*(SUM(Stand!F17:F24)+Rules!$B$5*Stand!F25+Stand!F49)/(9+Rules!$B$5),HS!F15)</f>
        <v>-0.16719266083547524</v>
      </c>
      <c r="G15">
        <f>IF(Rules!$B$6=Rules!$E$6,2*(SUM(Stand!G17:G24)+Rules!$B$5*Stand!G25+Stand!G49)/(9+Rules!$B$5),HS!G15)</f>
        <v>-0.1536990158300045</v>
      </c>
      <c r="H15">
        <f>IF(Rules!$B$6=Rules!$E$6,2*(SUM(Stand!H17:H24)+Rules!$B$5*Stand!H25+Stand!H49)/(9+Rules!$B$5),HS!H15)</f>
        <v>-0.36976181807381175</v>
      </c>
      <c r="I15">
        <f>IF(Rules!$B$6=Rules!$E$6,2*(SUM(Stand!I17:I24)+Rules!$B$5*Stand!I25+Stand!I49)/(9+Rules!$B$5),HS!I15)</f>
        <v>-0.41678201408103371</v>
      </c>
      <c r="J15">
        <f>IF(Rules!$B$6=Rules!$E$6,2*(SUM(Stand!J17:J24)+Rules!$B$5*Stand!J25+Stand!J49)/(9+Rules!$B$5),HS!J15)</f>
        <v>-0.47157768859250415</v>
      </c>
      <c r="K15">
        <f>IF(Rules!$B$6=Rules!$E$6,2*(SUM(Stand!K17:K24)+Rules!$B$5*Stand!K25+Stand!K49)/(9+Rules!$B$5),HS!K15)</f>
        <v>-0.53617694141005634</v>
      </c>
    </row>
    <row r="16" spans="1:11" x14ac:dyDescent="0.2">
      <c r="A16">
        <v>16</v>
      </c>
      <c r="B16">
        <f>IF(Rules!$B$6=Rules!$E$6,2*(SUM(Stand!B18:B25)+Rules!$B$5*Stand!B26+Stand!B50)/(9+Rules!$B$5),HS!B16)</f>
        <v>-0.57578184676460165</v>
      </c>
      <c r="C16">
        <f>IF(Rules!$B$6=Rules!$E$6,2*(SUM(Stand!C18:C25)+Rules!$B$5*Stand!C26+Stand!C50)/(9+Rules!$B$5),HS!C16)</f>
        <v>-0.29278372720927726</v>
      </c>
      <c r="D16">
        <f>IF(Rules!$B$6=Rules!$E$6,2*(SUM(Stand!D18:D25)+Rules!$B$5*Stand!D26+Stand!D50)/(9+Rules!$B$5),HS!D16)</f>
        <v>-0.2522502292357135</v>
      </c>
      <c r="E16">
        <f>IF(Rules!$B$6=Rules!$E$6,2*(SUM(Stand!E18:E25)+Rules!$B$5*Stand!E26+Stand!E50)/(9+Rules!$B$5),HS!E16)</f>
        <v>-0.21106310899491437</v>
      </c>
      <c r="F16">
        <f>IF(Rules!$B$6=Rules!$E$6,2*(SUM(Stand!F18:F25)+Rules!$B$5*Stand!F26+Stand!F50)/(9+Rules!$B$5),HS!F16)</f>
        <v>-0.16719266083547524</v>
      </c>
      <c r="G16">
        <f>IF(Rules!$B$6=Rules!$E$6,2*(SUM(Stand!G18:G25)+Rules!$B$5*Stand!G26+Stand!G50)/(9+Rules!$B$5),HS!G16)</f>
        <v>-0.1536990158300045</v>
      </c>
      <c r="H16">
        <f>IF(Rules!$B$6=Rules!$E$6,2*(SUM(Stand!H18:H25)+Rules!$B$5*Stand!H26+Stand!H50)/(9+Rules!$B$5),HS!H16)</f>
        <v>-0.41477883106853947</v>
      </c>
      <c r="I16">
        <f>IF(Rules!$B$6=Rules!$E$6,2*(SUM(Stand!I18:I25)+Rules!$B$5*Stand!I26+Stand!I50)/(9+Rules!$B$5),HS!I16)</f>
        <v>-0.45844044164667419</v>
      </c>
      <c r="J16">
        <f>IF(Rules!$B$6=Rules!$E$6,2*(SUM(Stand!J18:J25)+Rules!$B$5*Stand!J26+Stand!J50)/(9+Rules!$B$5),HS!J16)</f>
        <v>-0.50932213940732529</v>
      </c>
      <c r="K16">
        <f>IF(Rules!$B$6=Rules!$E$6,2*(SUM(Stand!K18:K25)+Rules!$B$5*Stand!K26+Stand!K50)/(9+Rules!$B$5),HS!K16)</f>
        <v>-0.56930715988076652</v>
      </c>
    </row>
    <row r="17" spans="1:11" x14ac:dyDescent="0.2">
      <c r="A17">
        <v>17</v>
      </c>
      <c r="B17">
        <f>IF(Rules!$B$6=Rules!$E$6,2*(SUM(Stand!B19:B26)+Rules!$B$5*Stand!B27+Stand!B51)/(9+Rules!$B$5),HS!B17)</f>
        <v>-0.46435750824198752</v>
      </c>
      <c r="C17">
        <f>IF(Rules!$B$6=Rules!$E$6,2*(SUM(Stand!C19:C26)+Rules!$B$5*Stand!C27+Stand!C51)/(9+Rules!$B$5),HS!C17)</f>
        <v>-0.15297458768154204</v>
      </c>
      <c r="D17">
        <f>IF(Rules!$B$6=Rules!$E$6,2*(SUM(Stand!D19:D26)+Rules!$B$5*Stand!D27+Stand!D51)/(9+Rules!$B$5),HS!D17)</f>
        <v>-0.11721624142457365</v>
      </c>
      <c r="E17">
        <f>IF(Rules!$B$6=Rules!$E$6,2*(SUM(Stand!E19:E26)+Rules!$B$5*Stand!E27+Stand!E51)/(9+Rules!$B$5),HS!E17)</f>
        <v>-8.0573373145316152E-2</v>
      </c>
      <c r="F17">
        <f>IF(Rules!$B$6=Rules!$E$6,2*(SUM(Stand!F19:F26)+Rules!$B$5*Stand!F27+Stand!F51)/(9+Rules!$B$5),HS!F17)</f>
        <v>-4.4941375564924446E-2</v>
      </c>
      <c r="G17">
        <f>IF(Rules!$B$6=Rules!$E$6,2*(SUM(Stand!G19:G26)+Rules!$B$5*Stand!G27+Stand!G51)/(9+Rules!$B$5),HS!G17)</f>
        <v>1.1739160673341853E-2</v>
      </c>
      <c r="H17">
        <f>IF(Rules!$B$6=Rules!$E$6,2*(SUM(Stand!H19:H26)+Rules!$B$5*Stand!H27+Stand!H51)/(9+Rules!$B$5),HS!H17)</f>
        <v>-0.10680898948269468</v>
      </c>
      <c r="I17">
        <f>IF(Rules!$B$6=Rules!$E$6,2*(SUM(Stand!I19:I26)+Rules!$B$5*Stand!I27+Stand!I51)/(9+Rules!$B$5),HS!I17)</f>
        <v>-0.38195097104844711</v>
      </c>
      <c r="J17">
        <f>IF(Rules!$B$6=Rules!$E$6,2*(SUM(Stand!J19:J26)+Rules!$B$5*Stand!J27+Stand!J51)/(9+Rules!$B$5),HS!J17)</f>
        <v>-0.42315423964521737</v>
      </c>
      <c r="K17">
        <f>IF(Rules!$B$6=Rules!$E$6,2*(SUM(Stand!K19:K26)+Rules!$B$5*Stand!K27+Stand!K51)/(9+Rules!$B$5),HS!K17)</f>
        <v>-0.46435750824198763</v>
      </c>
    </row>
    <row r="18" spans="1:11" x14ac:dyDescent="0.2">
      <c r="A18">
        <v>18</v>
      </c>
      <c r="B18">
        <f>IF(Rules!$B$6=Rules!$E$6,2*(SUM(Stand!B20:B27)+Rules!$B$5*Stand!B28+Stand!B52)/(9+Rules!$B$5),HS!B18)</f>
        <v>-0.24150883119675959</v>
      </c>
      <c r="C18">
        <f>IF(Rules!$B$6=Rules!$E$6,2*(SUM(Stand!C20:C27)+Rules!$B$5*Stand!C28+Stand!C52)/(9+Rules!$B$5),HS!C18)</f>
        <v>0.12174190222088771</v>
      </c>
      <c r="D18">
        <f>IF(Rules!$B$6=Rules!$E$6,2*(SUM(Stand!D20:D27)+Rules!$B$5*Stand!D28+Stand!D52)/(9+Rules!$B$5),HS!D18)</f>
        <v>0.14830007284131119</v>
      </c>
      <c r="E18">
        <f>IF(Rules!$B$6=Rules!$E$6,2*(SUM(Stand!E20:E27)+Rules!$B$5*Stand!E28+Stand!E52)/(9+Rules!$B$5),HS!E18)</f>
        <v>0.17585443719748528</v>
      </c>
      <c r="F18">
        <f>IF(Rules!$B$6=Rules!$E$6,2*(SUM(Stand!F20:F27)+Rules!$B$5*Stand!F28+Stand!F52)/(9+Rules!$B$5),HS!F18)</f>
        <v>0.19956119497617719</v>
      </c>
      <c r="G18">
        <f>IF(Rules!$B$6=Rules!$E$6,2*(SUM(Stand!G20:G27)+Rules!$B$5*Stand!G28+Stand!G52)/(9+Rules!$B$5),HS!G18)</f>
        <v>0.28344391604689856</v>
      </c>
      <c r="H18">
        <f>IF(Rules!$B$6=Rules!$E$6,2*(SUM(Stand!H20:H27)+Rules!$B$5*Stand!H28+Stand!H52)/(9+Rules!$B$5),HS!H18)</f>
        <v>0.3995541673365518</v>
      </c>
      <c r="I18">
        <f>IF(Rules!$B$6=Rules!$E$6,2*(SUM(Stand!I20:I27)+Rules!$B$5*Stand!I28+Stand!I52)/(9+Rules!$B$5),HS!I18)</f>
        <v>0.10595134861912359</v>
      </c>
      <c r="J18">
        <f>IF(Rules!$B$6=Rules!$E$6,2*(SUM(Stand!J20:J27)+Rules!$B$5*Stand!J28+Stand!J52)/(9+Rules!$B$5),HS!J18)</f>
        <v>-0.18316335667343331</v>
      </c>
      <c r="K18">
        <f>IF(Rules!$B$6=Rules!$E$6,2*(SUM(Stand!K20:K27)+Rules!$B$5*Stand!K28+Stand!K52)/(9+Rules!$B$5),HS!K18)</f>
        <v>-0.24150883119675959</v>
      </c>
    </row>
    <row r="19" spans="1:11" x14ac:dyDescent="0.2">
      <c r="A19">
        <v>19</v>
      </c>
      <c r="B19">
        <f>IF(Rules!$B$6=Rules!$E$6,2*(SUM(Stand!B21:B28)+Rules!$B$5*Stand!B29+Stand!B53)/(9+Rules!$B$5),HS!B19)</f>
        <v>-1.8660154151531549E-2</v>
      </c>
      <c r="C19">
        <f>IF(Rules!$B$6=Rules!$E$6,2*(SUM(Stand!C21:C28)+Rules!$B$5*Stand!C29+Stand!C53)/(9+Rules!$B$5),HS!C19)</f>
        <v>0.38630468602058987</v>
      </c>
      <c r="D19">
        <f>IF(Rules!$B$6=Rules!$E$6,2*(SUM(Stand!D21:D28)+Rules!$B$5*Stand!D29+Stand!D53)/(9+Rules!$B$5),HS!D19)</f>
        <v>0.40436293659776001</v>
      </c>
      <c r="E19">
        <f>IF(Rules!$B$6=Rules!$E$6,2*(SUM(Stand!E21:E28)+Rules!$B$5*Stand!E29+Stand!E53)/(9+Rules!$B$5),HS!E19)</f>
        <v>0.42317892482749647</v>
      </c>
      <c r="F19">
        <f>IF(Rules!$B$6=Rules!$E$6,2*(SUM(Stand!F21:F28)+Rules!$B$5*Stand!F29+Stand!F53)/(9+Rules!$B$5),HS!F19)</f>
        <v>0.43951210416088371</v>
      </c>
      <c r="G19">
        <f>IF(Rules!$B$6=Rules!$E$6,2*(SUM(Stand!G21:G28)+Rules!$B$5*Stand!G29+Stand!G53)/(9+Rules!$B$5),HS!G19)</f>
        <v>0.49597707378731909</v>
      </c>
      <c r="H19">
        <f>IF(Rules!$B$6=Rules!$E$6,2*(SUM(Stand!H21:H28)+Rules!$B$5*Stand!H29+Stand!H53)/(9+Rules!$B$5),HS!H19)</f>
        <v>0.6159764957534315</v>
      </c>
      <c r="I19">
        <f>IF(Rules!$B$6=Rules!$E$6,2*(SUM(Stand!I21:I28)+Rules!$B$5*Stand!I29+Stand!I53)/(9+Rules!$B$5),HS!I19)</f>
        <v>0.5938536682866945</v>
      </c>
      <c r="J19">
        <f>IF(Rules!$B$6=Rules!$E$6,2*(SUM(Stand!J21:J28)+Rules!$B$5*Stand!J29+Stand!J53)/(9+Rules!$B$5),HS!J19)</f>
        <v>0.28759675706758142</v>
      </c>
      <c r="K19">
        <f>IF(Rules!$B$6=Rules!$E$6,2*(SUM(Stand!K21:K28)+Rules!$B$5*Stand!K29+Stand!K53)/(9+Rules!$B$5),HS!K19)</f>
        <v>-1.8660154151531536E-2</v>
      </c>
    </row>
    <row r="20" spans="1:11" x14ac:dyDescent="0.2">
      <c r="A20">
        <v>20</v>
      </c>
      <c r="B20">
        <f>IF(Rules!$B$6=Rules!$E$6,2*(SUM(Stand!B22:B29)+Rules!$B$5*Stand!B30+Stand!B54)/(9+Rules!$B$5),HS!B20)</f>
        <v>0.20418852289369649</v>
      </c>
      <c r="C20">
        <f>IF(Rules!$B$6=Rules!$E$6,2*(SUM(Stand!C22:C29)+Rules!$B$5*Stand!C30+Stand!C54)/(9+Rules!$B$5),HS!C20)</f>
        <v>0.63998657521683877</v>
      </c>
      <c r="D20">
        <f>IF(Rules!$B$6=Rules!$E$6,2*(SUM(Stand!D22:D29)+Rules!$B$5*Stand!D30+Stand!D54)/(9+Rules!$B$5),HS!D20)</f>
        <v>0.65027209425148136</v>
      </c>
      <c r="E20">
        <f>IF(Rules!$B$6=Rules!$E$6,2*(SUM(Stand!E22:E29)+Rules!$B$5*Stand!E30+Stand!E54)/(9+Rules!$B$5),HS!E20)</f>
        <v>0.66104996194807186</v>
      </c>
      <c r="F20">
        <f>IF(Rules!$B$6=Rules!$E$6,2*(SUM(Stand!F22:F29)+Rules!$B$5*Stand!F30+Stand!F54)/(9+Rules!$B$5),HS!F20)</f>
        <v>0.67035969063279999</v>
      </c>
      <c r="G20">
        <f>IF(Rules!$B$6=Rules!$E$6,2*(SUM(Stand!G22:G29)+Rules!$B$5*Stand!G30+Stand!G54)/(9+Rules!$B$5),HS!G20)</f>
        <v>0.70395857017134467</v>
      </c>
      <c r="H20">
        <f>IF(Rules!$B$6=Rules!$E$6,2*(SUM(Stand!H22:H29)+Rules!$B$5*Stand!H30+Stand!H54)/(9+Rules!$B$5),HS!H20)</f>
        <v>0.77322722653717491</v>
      </c>
      <c r="I20">
        <f>IF(Rules!$B$6=Rules!$E$6,2*(SUM(Stand!I22:I29)+Rules!$B$5*Stand!I30+Stand!I54)/(9+Rules!$B$5),HS!I20)</f>
        <v>0.79181515955189841</v>
      </c>
      <c r="J20">
        <f>IF(Rules!$B$6=Rules!$E$6,2*(SUM(Stand!J22:J29)+Rules!$B$5*Stand!J30+Stand!J54)/(9+Rules!$B$5),HS!J20)</f>
        <v>0.75835687080859626</v>
      </c>
      <c r="K20">
        <f>IF(Rules!$B$6=Rules!$E$6,2*(SUM(Stand!K22:K29)+Rules!$B$5*Stand!K30+Stand!K54)/(9+Rules!$B$5),HS!K20)</f>
        <v>0.43495775366292722</v>
      </c>
    </row>
    <row r="21" spans="1:11" x14ac:dyDescent="0.2">
      <c r="A21">
        <v>21</v>
      </c>
      <c r="B21">
        <f>IF(Rules!$B$6=Rules!$E$6,2*(SUM(Stand!B23:B30)+Rules!$B$5*Stand!B31+Stand!B55)/(9+Rules!$B$5),HS!B21)</f>
        <v>0.65780643070815525</v>
      </c>
      <c r="C21">
        <f>IF(Rules!$B$6=Rules!$E$6,2*(SUM(Stand!C23:C30)+Rules!$B$5*Stand!C31+Stand!C55)/(9+Rules!$B$5),HS!C21)</f>
        <v>0.88200651549403997</v>
      </c>
      <c r="D21">
        <f>IF(Rules!$B$6=Rules!$E$6,2*(SUM(Stand!D23:D30)+Rules!$B$5*Stand!D31+Stand!D55)/(9+Rules!$B$5),HS!D21)</f>
        <v>0.88530035730174927</v>
      </c>
      <c r="E21">
        <f>IF(Rules!$B$6=Rules!$E$6,2*(SUM(Stand!E23:E30)+Rules!$B$5*Stand!E31+Stand!E55)/(9+Rules!$B$5),HS!E21)</f>
        <v>0.88876729296591961</v>
      </c>
      <c r="F21">
        <f>IF(Rules!$B$6=Rules!$E$6,2*(SUM(Stand!F23:F30)+Rules!$B$5*Stand!F31+Stand!F55)/(9+Rules!$B$5),HS!F21)</f>
        <v>0.89175382659528035</v>
      </c>
      <c r="G21">
        <f>IF(Rules!$B$6=Rules!$E$6,2*(SUM(Stand!G23:G30)+Rules!$B$5*Stand!G31+Stand!G55)/(9+Rules!$B$5),HS!G21)</f>
        <v>0.90283674384257995</v>
      </c>
      <c r="H21">
        <f>IF(Rules!$B$6=Rules!$E$6,2*(SUM(Stand!H23:H30)+Rules!$B$5*Stand!H31+Stand!H55)/(9+Rules!$B$5),HS!H21)</f>
        <v>0.92592629596452325</v>
      </c>
      <c r="I21">
        <f>IF(Rules!$B$6=Rules!$E$6,2*(SUM(Stand!I23:I30)+Rules!$B$5*Stand!I31+Stand!I55)/(9+Rules!$B$5),HS!I21)</f>
        <v>0.93060505318396614</v>
      </c>
      <c r="J21">
        <f>IF(Rules!$B$6=Rules!$E$6,2*(SUM(Stand!J23:J30)+Rules!$B$5*Stand!J31+Stand!J55)/(9+Rules!$B$5),HS!J21)</f>
        <v>0.93917615614724415</v>
      </c>
      <c r="K21">
        <f>IF(Rules!$B$6=Rules!$E$6,2*(SUM(Stand!K23:K30)+Rules!$B$5*Stand!K31+Stand!K55)/(9+Rules!$B$5),HS!K21)</f>
        <v>0.88857566147738598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IF(Rules!$B$6=Rules!$E$6,2*(SUM(Stand!B35:B43)+Rules!$B$5*Stand!B44)/(9+Rules!$B$5),HS!B34)</f>
        <v>7.4082476325384949E-2</v>
      </c>
      <c r="C34">
        <f>IF(Rules!$B$6=Rules!$E$6,2*(SUM(Stand!C35:C43)+Rules!$B$5*Stand!C44)/(9+Rules!$B$5),HS!C34)</f>
        <v>0.3696374242362967</v>
      </c>
      <c r="D34">
        <f>IF(Rules!$B$6=Rules!$E$6,2*(SUM(Stand!D35:D43)+Rules!$B$5*Stand!D44)/(9+Rules!$B$5),HS!D34)</f>
        <v>0.38767410174512951</v>
      </c>
      <c r="E34">
        <f>IF(Rules!$B$6=Rules!$E$6,2*(SUM(Stand!E35:E43)+Rules!$B$5*Stand!E44)/(9+Rules!$B$5),HS!E34)</f>
        <v>0.40637639293641487</v>
      </c>
      <c r="F34">
        <f>IF(Rules!$B$6=Rules!$E$6,2*(SUM(Stand!F35:F43)+Rules!$B$5*Stand!F44)/(9+Rules!$B$5),HS!F34)</f>
        <v>0.42575273133176267</v>
      </c>
      <c r="G34">
        <f>IF(Rules!$B$6=Rules!$E$6,2*(SUM(Stand!G35:G43)+Rules!$B$5*Stand!G44)/(9+Rules!$B$5),HS!G34)</f>
        <v>0.45589668319225651</v>
      </c>
      <c r="H34">
        <f>IF(Rules!$B$6=Rules!$E$6,2*(SUM(Stand!H35:H43)+Rules!$B$5*Stand!H44)/(9+Rules!$B$5),HS!H34)</f>
        <v>0.45736852128859351</v>
      </c>
      <c r="I34">
        <f>IF(Rules!$B$6=Rules!$E$6,2*(SUM(Stand!I35:I43)+Rules!$B$5*Stand!I44)/(9+Rules!$B$5),HS!I34)</f>
        <v>0.40074805174057659</v>
      </c>
      <c r="J34">
        <f>IF(Rules!$B$6=Rules!$E$6,2*(SUM(Stand!J35:J43)+Rules!$B$5*Stand!J44)/(9+Rules!$B$5),HS!J34)</f>
        <v>0.32142328174266549</v>
      </c>
      <c r="K34">
        <f>IF(Rules!$B$6=Rules!$E$6,2*(SUM(Stand!K35:K43)+Rules!$B$5*Stand!K44)/(9+Rules!$B$5),HS!K34)</f>
        <v>0.19656557835630536</v>
      </c>
    </row>
    <row r="35" spans="1:11" x14ac:dyDescent="0.2">
      <c r="A35">
        <v>12</v>
      </c>
      <c r="B35">
        <f>IF(Rules!$B$6=Rules!$E$6,2*(SUM(Stand!B36:B44)+Rules!$B$5*Stand!B45)/(9+Rules!$B$5),HS!B35)</f>
        <v>-0.20521353107155851</v>
      </c>
      <c r="C35">
        <f>IF(Rules!$B$6=Rules!$E$6,2*(SUM(Stand!C36:C44)+Rules!$B$5*Stand!C45)/(9+Rules!$B$5),HS!C35)</f>
        <v>8.1836216051656044E-2</v>
      </c>
      <c r="D35">
        <f>IF(Rules!$B$6=Rules!$E$6,2*(SUM(Stand!D36:D44)+Rules!$B$5*Stand!D45)/(9+Rules!$B$5),HS!D35)</f>
        <v>0.10350704654207775</v>
      </c>
      <c r="E35">
        <f>IF(Rules!$B$6=Rules!$E$6,2*(SUM(Stand!E36:E44)+Rules!$B$5*Stand!E45)/(9+Rules!$B$5),HS!E35)</f>
        <v>0.12659562809256977</v>
      </c>
      <c r="F35">
        <f>IF(Rules!$B$6=Rules!$E$6,2*(SUM(Stand!F36:F44)+Rules!$B$5*Stand!F45)/(9+Rules!$B$5),HS!F35)</f>
        <v>0.15648238458465519</v>
      </c>
      <c r="G35">
        <f>IF(Rules!$B$6=Rules!$E$6,2*(SUM(Stand!G36:G44)+Rules!$B$5*Stand!G45)/(9+Rules!$B$5),HS!G35)</f>
        <v>0.18595361333225549</v>
      </c>
      <c r="H35">
        <f>IF(Rules!$B$6=Rules!$E$6,2*(SUM(Stand!H36:H44)+Rules!$B$5*Stand!H45)/(9+Rules!$B$5),HS!H35)</f>
        <v>0.16547293077063496</v>
      </c>
      <c r="I35">
        <f>IF(Rules!$B$6=Rules!$E$6,2*(SUM(Stand!I36:I44)+Rules!$B$5*Stand!I45)/(9+Rules!$B$5),HS!I35)</f>
        <v>9.5115020927032307E-2</v>
      </c>
      <c r="J35">
        <f>IF(Rules!$B$6=Rules!$E$6,2*(SUM(Stand!J36:J44)+Rules!$B$5*Stand!J45)/(9+Rules!$B$5),HS!J35)</f>
        <v>6.5790841226897296E-5</v>
      </c>
      <c r="K35">
        <f>IF(Rules!$B$6=Rules!$E$6,2*(SUM(Stand!K36:K44)+Rules!$B$5*Stand!K45)/(9+Rules!$B$5),HS!K35)</f>
        <v>-0.12808280155666141</v>
      </c>
    </row>
    <row r="36" spans="1:11" x14ac:dyDescent="0.2">
      <c r="A36">
        <v>13</v>
      </c>
      <c r="B36">
        <f>IF(Rules!$B$6=Rules!$E$6,2*(SUM(Stand!B37:B45)+Rules!$B$5*Stand!B46)/(9+Rules!$B$5),HS!B36)</f>
        <v>-0.23472177802444921</v>
      </c>
      <c r="C36">
        <f>IF(Rules!$B$6=Rules!$E$6,2*(SUM(Stand!C37:C45)+Rules!$B$5*Stand!C46)/(9+Rules!$B$5),HS!C36)</f>
        <v>4.6636132695309543E-2</v>
      </c>
      <c r="D36">
        <f>IF(Rules!$B$6=Rules!$E$6,2*(SUM(Stand!D37:D45)+Rules!$B$5*Stand!D46)/(9+Rules!$B$5),HS!D36)</f>
        <v>7.4118813392744051E-2</v>
      </c>
      <c r="E36">
        <f>IF(Rules!$B$6=Rules!$E$6,2*(SUM(Stand!E37:E45)+Rules!$B$5*Stand!E46)/(9+Rules!$B$5),HS!E36)</f>
        <v>0.10247714687203523</v>
      </c>
      <c r="F36">
        <f>IF(Rules!$B$6=Rules!$E$6,2*(SUM(Stand!F37:F45)+Rules!$B$5*Stand!F46)/(9+Rules!$B$5),HS!F36)</f>
        <v>0.13336273848321728</v>
      </c>
      <c r="G36">
        <f>IF(Rules!$B$6=Rules!$E$6,2*(SUM(Stand!G37:G45)+Rules!$B$5*Stand!G46)/(9+Rules!$B$5),HS!G36)</f>
        <v>0.16169271124923693</v>
      </c>
      <c r="H36">
        <f>IF(Rules!$B$6=Rules!$E$6,2*(SUM(Stand!H37:H45)+Rules!$B$5*Stand!H46)/(9+Rules!$B$5),HS!H36)</f>
        <v>0.12238569517899196</v>
      </c>
      <c r="I36">
        <f>IF(Rules!$B$6=Rules!$E$6,2*(SUM(Stand!I37:I45)+Rules!$B$5*Stand!I46)/(9+Rules!$B$5),HS!I36)</f>
        <v>5.4057070196311334E-2</v>
      </c>
      <c r="J36">
        <f>IF(Rules!$B$6=Rules!$E$6,2*(SUM(Stand!J37:J45)+Rules!$B$5*Stand!J46)/(9+Rules!$B$5),HS!J36)</f>
        <v>-3.7694688127479885E-2</v>
      </c>
      <c r="K36">
        <f>IF(Rules!$B$6=Rules!$E$6,2*(SUM(Stand!K37:K45)+Rules!$B$5*Stand!K46)/(9+Rules!$B$5),HS!K36)</f>
        <v>-0.16080628455762785</v>
      </c>
    </row>
    <row r="37" spans="1:11" x14ac:dyDescent="0.2">
      <c r="A37">
        <v>14</v>
      </c>
      <c r="B37">
        <f>IF(Rules!$B$6=Rules!$E$6,2*(SUM(Stand!B38:B46)+Rules!$B$5*Stand!B47)/(9+Rules!$B$5),HS!B37)</f>
        <v>-0.26406959413166387</v>
      </c>
      <c r="C37">
        <f>IF(Rules!$B$6=Rules!$E$6,2*(SUM(Stand!C38:C46)+Rules!$B$5*Stand!C47)/(9+Rules!$B$5),HS!C37)</f>
        <v>2.2391856987839083E-2</v>
      </c>
      <c r="D37">
        <f>IF(Rules!$B$6=Rules!$E$6,2*(SUM(Stand!D38:D46)+Rules!$B$5*Stand!D47)/(9+Rules!$B$5),HS!D37)</f>
        <v>5.0806738919282814E-2</v>
      </c>
      <c r="E37">
        <f>IF(Rules!$B$6=Rules!$E$6,2*(SUM(Stand!E38:E46)+Rules!$B$5*Stand!E47)/(9+Rules!$B$5),HS!E37)</f>
        <v>8.0081414310110233E-2</v>
      </c>
      <c r="F37">
        <f>IF(Rules!$B$6=Rules!$E$6,2*(SUM(Stand!F38:F46)+Rules!$B$5*Stand!F47)/(9+Rules!$B$5),HS!F37)</f>
        <v>0.11189449567473925</v>
      </c>
      <c r="G37">
        <f>IF(Rules!$B$6=Rules!$E$6,2*(SUM(Stand!G38:G46)+Rules!$B$5*Stand!G47)/(9+Rules!$B$5),HS!G37)</f>
        <v>0.1391647307435768</v>
      </c>
      <c r="H37">
        <f>IF(Rules!$B$6=Rules!$E$6,2*(SUM(Stand!H38:H46)+Rules!$B$5*Stand!H47)/(9+Rules!$B$5),HS!H37)</f>
        <v>7.9507488494468148E-2</v>
      </c>
      <c r="I37">
        <f>IF(Rules!$B$6=Rules!$E$6,2*(SUM(Stand!I38:I46)+Rules!$B$5*Stand!I47)/(9+Rules!$B$5),HS!I37)</f>
        <v>1.3277219463208478E-2</v>
      </c>
      <c r="J37">
        <f>IF(Rules!$B$6=Rules!$E$6,2*(SUM(Stand!J38:J46)+Rules!$B$5*Stand!J47)/(9+Rules!$B$5),HS!J37)</f>
        <v>-7.516318944168382E-2</v>
      </c>
      <c r="K37">
        <f>IF(Rules!$B$6=Rules!$E$6,2*(SUM(Stand!K38:K46)+Rules!$B$5*Stand!K47)/(9+Rules!$B$5),HS!K37)</f>
        <v>-0.1933035414076569</v>
      </c>
    </row>
    <row r="38" spans="1:11" x14ac:dyDescent="0.2">
      <c r="A38">
        <v>15</v>
      </c>
      <c r="B38">
        <f>IF(Rules!$B$6=Rules!$E$6,2*(SUM(Stand!B39:B47)+Rules!$B$5*Stand!B48)/(9+Rules!$B$5),HS!B38)</f>
        <v>-0.29312934580507005</v>
      </c>
      <c r="C38">
        <f>IF(Rules!$B$6=Rules!$E$6,2*(SUM(Stand!C39:C47)+Rules!$B$5*Stand!C48)/(9+Rules!$B$5),HS!C38)</f>
        <v>-1.2068474052636583E-4</v>
      </c>
      <c r="D38">
        <f>IF(Rules!$B$6=Rules!$E$6,2*(SUM(Stand!D39:D47)+Rules!$B$5*Stand!D48)/(9+Rules!$B$5),HS!D38)</f>
        <v>2.9159812622497363E-2</v>
      </c>
      <c r="E38">
        <f>IF(Rules!$B$6=Rules!$E$6,2*(SUM(Stand!E39:E47)+Rules!$B$5*Stand!E48)/(9+Rules!$B$5),HS!E38)</f>
        <v>5.9285376931179926E-2</v>
      </c>
      <c r="F38">
        <f>IF(Rules!$B$6=Rules!$E$6,2*(SUM(Stand!F39:F47)+Rules!$B$5*Stand!F48)/(9+Rules!$B$5),HS!F38)</f>
        <v>9.1959698781152482E-2</v>
      </c>
      <c r="G38">
        <f>IF(Rules!$B$6=Rules!$E$6,2*(SUM(Stand!G39:G47)+Rules!$B$5*Stand!G48)/(9+Rules!$B$5),HS!G38)</f>
        <v>0.11824589170260671</v>
      </c>
      <c r="H38">
        <f>IF(Rules!$B$6=Rules!$E$6,2*(SUM(Stand!H39:H47)+Rules!$B$5*Stand!H48)/(9+Rules!$B$5),HS!H38)</f>
        <v>3.7028282279269235E-2</v>
      </c>
      <c r="I38">
        <f>IF(Rules!$B$6=Rules!$E$6,2*(SUM(Stand!I39:I47)+Rules!$B$5*Stand!I48)/(9+Rules!$B$5),HS!I38)</f>
        <v>-2.7054780502901672E-2</v>
      </c>
      <c r="J38">
        <f>IF(Rules!$B$6=Rules!$E$6,2*(SUM(Stand!J39:J47)+Rules!$B$5*Stand!J48)/(9+Rules!$B$5),HS!J38)</f>
        <v>-0.11218876868994289</v>
      </c>
      <c r="K38">
        <f>IF(Rules!$B$6=Rules!$E$6,2*(SUM(Stand!K39:K47)+Rules!$B$5*Stand!K48)/(9+Rules!$B$5),HS!K38)</f>
        <v>-0.22543993358238781</v>
      </c>
    </row>
    <row r="39" spans="1:11" x14ac:dyDescent="0.2">
      <c r="A39">
        <v>16</v>
      </c>
      <c r="B39">
        <f>IF(Rules!$B$6=Rules!$E$6,2*(SUM(Stand!B40:B48)+Rules!$B$5*Stand!B49)/(9+Rules!$B$5),HS!B39)</f>
        <v>-0.31409107314591783</v>
      </c>
      <c r="C39">
        <f>IF(Rules!$B$6=Rules!$E$6,2*(SUM(Stand!C40:C48)+Rules!$B$5*Stand!C49)/(9+Rules!$B$5),HS!C39)</f>
        <v>-2.1025187774008566E-2</v>
      </c>
      <c r="D39">
        <f>IF(Rules!$B$6=Rules!$E$6,2*(SUM(Stand!D40:D48)+Rules!$B$5*Stand!D49)/(9+Rules!$B$5),HS!D39)</f>
        <v>9.0590953469108244E-3</v>
      </c>
      <c r="E39">
        <f>IF(Rules!$B$6=Rules!$E$6,2*(SUM(Stand!E40:E48)+Rules!$B$5*Stand!E49)/(9+Rules!$B$5),HS!E39)</f>
        <v>3.9974770793601705E-2</v>
      </c>
      <c r="F39">
        <f>IF(Rules!$B$6=Rules!$E$6,2*(SUM(Stand!F40:F48)+Rules!$B$5*Stand!F49)/(9+Rules!$B$5),HS!F39)</f>
        <v>7.3448815951393354E-2</v>
      </c>
      <c r="G39">
        <f>IF(Rules!$B$6=Rules!$E$6,2*(SUM(Stand!G40:G48)+Rules!$B$5*Stand!G49)/(9+Rules!$B$5),HS!G39)</f>
        <v>9.8821255450277368E-2</v>
      </c>
      <c r="H39">
        <f>IF(Rules!$B$6=Rules!$E$6,2*(SUM(Stand!H40:H48)+Rules!$B$5*Stand!H49)/(9+Rules!$B$5),HS!H39)</f>
        <v>-4.8901571730158942E-3</v>
      </c>
      <c r="I39">
        <f>IF(Rules!$B$6=Rules!$E$6,2*(SUM(Stand!I40:I48)+Rules!$B$5*Stand!I49)/(9+Rules!$B$5),HS!I39)</f>
        <v>-6.6794847920094103E-2</v>
      </c>
      <c r="J39">
        <f>IF(Rules!$B$6=Rules!$E$6,2*(SUM(Stand!J40:J48)+Rules!$B$5*Stand!J49)/(9+Rules!$B$5),HS!J39)</f>
        <v>-0.14864353463007471</v>
      </c>
      <c r="K39">
        <f>IF(Rules!$B$6=Rules!$E$6,2*(SUM(Stand!K40:K48)+Rules!$B$5*Stand!K49)/(9+Rules!$B$5),HS!K39)</f>
        <v>-0.25710121084742421</v>
      </c>
    </row>
    <row r="40" spans="1:11" x14ac:dyDescent="0.2">
      <c r="A40">
        <v>17</v>
      </c>
      <c r="B40">
        <f>IF(Rules!$B$6=Rules!$E$6,2*(SUM(Stand!B41:B49)+Rules!$B$5*Stand!B50)/(9+Rules!$B$5),HS!B40)</f>
        <v>-0.30094774596936263</v>
      </c>
      <c r="C40">
        <f>IF(Rules!$B$6=Rules!$E$6,2*(SUM(Stand!C41:C49)+Rules!$B$5*Stand!C50)/(9+Rules!$B$5),HS!C40)</f>
        <v>-4.9104358288916297E-4</v>
      </c>
      <c r="D40">
        <f>IF(Rules!$B$6=Rules!$E$6,2*(SUM(Stand!D41:D49)+Rules!$B$5*Stand!D50)/(9+Rules!$B$5),HS!D40)</f>
        <v>2.8975282965620523E-2</v>
      </c>
      <c r="E40">
        <f>IF(Rules!$B$6=Rules!$E$6,2*(SUM(Stand!E41:E49)+Rules!$B$5*Stand!E50)/(9+Rules!$B$5),HS!E40)</f>
        <v>5.9326275337164343E-2</v>
      </c>
      <c r="F40">
        <f>IF(Rules!$B$6=Rules!$E$6,2*(SUM(Stand!F41:F49)+Rules!$B$5*Stand!F50)/(9+Rules!$B$5),HS!F40)</f>
        <v>9.1189077686774395E-2</v>
      </c>
      <c r="G40">
        <f>IF(Rules!$B$6=Rules!$E$6,2*(SUM(Stand!G41:G49)+Rules!$B$5*Stand!G50)/(9+Rules!$B$5),HS!G40)</f>
        <v>0.12805214364549905</v>
      </c>
      <c r="H40">
        <f>IF(Rules!$B$6=Rules!$E$6,2*(SUM(Stand!H41:H49)+Rules!$B$5*Stand!H50)/(9+Rules!$B$5),HS!H40)</f>
        <v>5.3823463716116654E-2</v>
      </c>
      <c r="I40">
        <f>IF(Rules!$B$6=Rules!$E$6,2*(SUM(Stand!I41:I49)+Rules!$B$5*Stand!I50)/(9+Rules!$B$5),HS!I40)</f>
        <v>-7.2915398729642075E-2</v>
      </c>
      <c r="J40">
        <f>IF(Rules!$B$6=Rules!$E$6,2*(SUM(Stand!J41:J49)+Rules!$B$5*Stand!J50)/(9+Rules!$B$5),HS!J40)</f>
        <v>-0.14978689218213323</v>
      </c>
      <c r="K40">
        <f>IF(Rules!$B$6=Rules!$E$6,2*(SUM(Stand!K41:K49)+Rules!$B$5*Stand!K50)/(9+Rules!$B$5),HS!K40)</f>
        <v>-0.24941602102444038</v>
      </c>
    </row>
    <row r="41" spans="1:11" x14ac:dyDescent="0.2">
      <c r="A41">
        <v>18</v>
      </c>
      <c r="B41">
        <f>IF(Rules!$B$6=Rules!$E$6,2*(SUM(Stand!B42:B50)+Rules!$B$5*Stand!B51)/(9+Rules!$B$5),HS!B41)</f>
        <v>-0.24150883119675959</v>
      </c>
      <c r="C41">
        <f>IF(Rules!$B$6=Rules!$E$6,2*(SUM(Stand!C42:C50)+Rules!$B$5*Stand!C51)/(9+Rules!$B$5),HS!C41)</f>
        <v>0.12174190222088771</v>
      </c>
      <c r="D41">
        <f>IF(Rules!$B$6=Rules!$E$6,2*(SUM(Stand!D42:D50)+Rules!$B$5*Stand!D51)/(9+Rules!$B$5),HS!D41)</f>
        <v>0.14830007284131119</v>
      </c>
      <c r="E41">
        <f>IF(Rules!$B$6=Rules!$E$6,2*(SUM(Stand!E42:E50)+Rules!$B$5*Stand!E51)/(9+Rules!$B$5),HS!E41)</f>
        <v>0.17585443719748528</v>
      </c>
      <c r="F41">
        <f>IF(Rules!$B$6=Rules!$E$6,2*(SUM(Stand!F42:F50)+Rules!$B$5*Stand!F51)/(9+Rules!$B$5),HS!F41)</f>
        <v>0.19956119497617719</v>
      </c>
      <c r="G41">
        <f>IF(Rules!$B$6=Rules!$E$6,2*(SUM(Stand!G42:G50)+Rules!$B$5*Stand!G51)/(9+Rules!$B$5),HS!G41)</f>
        <v>0.28344391604689856</v>
      </c>
      <c r="H41">
        <f>IF(Rules!$B$6=Rules!$E$6,2*(SUM(Stand!H42:H50)+Rules!$B$5*Stand!H51)/(9+Rules!$B$5),HS!H41)</f>
        <v>0.3995541673365518</v>
      </c>
      <c r="I41">
        <f>IF(Rules!$B$6=Rules!$E$6,2*(SUM(Stand!I42:I50)+Rules!$B$5*Stand!I51)/(9+Rules!$B$5),HS!I41)</f>
        <v>0.10595134861912359</v>
      </c>
      <c r="J41">
        <f>IF(Rules!$B$6=Rules!$E$6,2*(SUM(Stand!J42:J50)+Rules!$B$5*Stand!J51)/(9+Rules!$B$5),HS!J41)</f>
        <v>-0.10074430758041522</v>
      </c>
      <c r="K41">
        <f>IF(Rules!$B$6=Rules!$E$6,2*(SUM(Stand!K42:K50)+Rules!$B$5*Stand!K51)/(9+Rules!$B$5),HS!K41)</f>
        <v>-0.20109793381277147</v>
      </c>
    </row>
    <row r="42" spans="1:11" x14ac:dyDescent="0.2">
      <c r="A42">
        <v>19</v>
      </c>
      <c r="B42">
        <f>2*(SUM(Stand!B43:B51)+Rules!$B$5*Stand!B52)/(9+Rules!$B$5)</f>
        <v>-0.43037249788708148</v>
      </c>
      <c r="C42">
        <f>2*(SUM(Stand!C43:C51)+Rules!$B$5*Stand!C52)/(9+Rules!$B$5)</f>
        <v>0.24185546358249194</v>
      </c>
      <c r="D42">
        <f>2*(SUM(Stand!D43:D51)+Rules!$B$5*Stand!D52)/(9+Rules!$B$5)</f>
        <v>0.29582413587422163</v>
      </c>
      <c r="E42">
        <f>2*(SUM(Stand!E43:E51)+Rules!$B$5*Stand!E52)/(9+Rules!$B$5)</f>
        <v>0.35115361127716527</v>
      </c>
      <c r="F42">
        <f>2*(SUM(Stand!F43:F51)+Rules!$B$5*Stand!F52)/(9+Rules!$B$5)</f>
        <v>0.40597206909315264</v>
      </c>
      <c r="G42">
        <f>2*(SUM(Stand!G43:G51)+Rules!$B$5*Stand!G52)/(9+Rules!$B$5)</f>
        <v>0.47959870872821841</v>
      </c>
      <c r="H42">
        <f>2*(SUM(Stand!H43:H51)+Rules!$B$5*Stand!H52)/(9+Rules!$B$5)</f>
        <v>0.31983519492071005</v>
      </c>
      <c r="I42">
        <f>2*(SUM(Stand!I43:I51)+Rules!$B$5*Stand!I52)/(9+Rules!$B$5)</f>
        <v>0.19526887476388202</v>
      </c>
      <c r="J42">
        <f>2*(SUM(Stand!J43:J51)+Rules!$B$5*Stand!J52)/(9+Rules!$B$5)</f>
        <v>-7.2945530268927972E-2</v>
      </c>
      <c r="K42">
        <f>2*(SUM(Stand!K43:K51)+Rules!$B$5*Stand!K52)/(9+Rules!$B$5)</f>
        <v>-0.3593665807273182</v>
      </c>
    </row>
    <row r="43" spans="1:11" x14ac:dyDescent="0.2">
      <c r="A43">
        <v>20</v>
      </c>
      <c r="B43">
        <f>2*(SUM(Stand!B44:B52)+Rules!$B$5*Stand!B53)/(9+Rules!$B$5)</f>
        <v>-0.32751926232774553</v>
      </c>
      <c r="C43">
        <f>2*(SUM(Stand!C44:C52)+Rules!$B$5*Stand!C53)/(9+Rules!$B$5)</f>
        <v>0.3589394124422991</v>
      </c>
      <c r="D43">
        <f>2*(SUM(Stand!D44:D52)+Rules!$B$5*Stand!D53)/(9+Rules!$B$5)</f>
        <v>0.40932067017593921</v>
      </c>
      <c r="E43">
        <f>2*(SUM(Stand!E44:E52)+Rules!$B$5*Stand!E53)/(9+Rules!$B$5)</f>
        <v>0.460940243794354</v>
      </c>
      <c r="F43">
        <f>2*(SUM(Stand!F44:F52)+Rules!$B$5*Stand!F53)/(9+Rules!$B$5)</f>
        <v>0.51251710900326775</v>
      </c>
      <c r="G43">
        <f>2*(SUM(Stand!G44:G52)+Rules!$B$5*Stand!G53)/(9+Rules!$B$5)</f>
        <v>0.57559016859776857</v>
      </c>
      <c r="H43">
        <f>2*(SUM(Stand!H44:H52)+Rules!$B$5*Stand!H53)/(9+Rules!$B$5)</f>
        <v>0.39241245528243773</v>
      </c>
      <c r="I43">
        <f>2*(SUM(Stand!I44:I52)+Rules!$B$5*Stand!I53)/(9+Rules!$B$5)</f>
        <v>0.28663571688628381</v>
      </c>
      <c r="J43">
        <f>2*(SUM(Stand!J44:J52)+Rules!$B$5*Stand!J53)/(9+Rules!$B$5)</f>
        <v>0.1443283683807712</v>
      </c>
      <c r="K43">
        <f>2*(SUM(Stand!K44:K52)+Rules!$B$5*Stand!K53)/(9+Rules!$B$5)</f>
        <v>-0.15000446942833717</v>
      </c>
    </row>
    <row r="44" spans="1:11" x14ac:dyDescent="0.2">
      <c r="A44">
        <v>21</v>
      </c>
      <c r="B44">
        <f>2*(SUM(Stand!B45:B53)+Rules!$B$5*Stand!B54)/(9+Rules!$B$5)</f>
        <v>-0.11815715102876453</v>
      </c>
      <c r="C44">
        <f>2*(SUM(Stand!C45:C53)+Rules!$B$5*Stand!C54)/(9+Rules!$B$5)</f>
        <v>0.47064092333946894</v>
      </c>
      <c r="D44">
        <f>2*(SUM(Stand!D45:D53)+Rules!$B$5*Stand!D54)/(9+Rules!$B$5)</f>
        <v>0.51779525312221664</v>
      </c>
      <c r="E44">
        <f>2*(SUM(Stand!E45:E53)+Rules!$B$5*Stand!E54)/(9+Rules!$B$5)</f>
        <v>0.56604055041797596</v>
      </c>
      <c r="F44">
        <f>2*(SUM(Stand!F45:F53)+Rules!$B$5*Stand!F54)/(9+Rules!$B$5)</f>
        <v>0.61469901790902803</v>
      </c>
      <c r="G44">
        <f>2*(SUM(Stand!G45:G53)+Rules!$B$5*Stand!G54)/(9+Rules!$B$5)</f>
        <v>0.66738009490756944</v>
      </c>
      <c r="H44">
        <f>2*(SUM(Stand!H45:H53)+Rules!$B$5*Stand!H54)/(9+Rules!$B$5)</f>
        <v>0.46288894886429088</v>
      </c>
      <c r="I44">
        <f>2*(SUM(Stand!I45:I53)+Rules!$B$5*Stand!I54)/(9+Rules!$B$5)</f>
        <v>0.35069259087031512</v>
      </c>
      <c r="J44">
        <f>2*(SUM(Stand!J45:J53)+Rules!$B$5*Stand!J54)/(9+Rules!$B$5)</f>
        <v>0.22778342315245487</v>
      </c>
      <c r="K44">
        <f>2*(SUM(Stand!K45:K53)+Rules!$B$5*Stand!K54)/(9+Rules!$B$5)</f>
        <v>5.9357641870643733E-2</v>
      </c>
    </row>
    <row r="45" spans="1:11" x14ac:dyDescent="0.2">
      <c r="A45">
        <v>22</v>
      </c>
      <c r="B45">
        <f>B12</f>
        <v>-0.46566058377683939</v>
      </c>
      <c r="C45">
        <f t="shared" ref="C45:K45" si="0">C12</f>
        <v>-0.25338998596663809</v>
      </c>
      <c r="D45">
        <f t="shared" si="0"/>
        <v>-0.2336908997980866</v>
      </c>
      <c r="E45">
        <f t="shared" si="0"/>
        <v>-0.21106310899491437</v>
      </c>
      <c r="F45">
        <f t="shared" si="0"/>
        <v>-0.16719266083547524</v>
      </c>
      <c r="G45">
        <f t="shared" si="0"/>
        <v>-0.1536990158300045</v>
      </c>
      <c r="H45">
        <f t="shared" si="0"/>
        <v>-0.21284771451731424</v>
      </c>
      <c r="I45">
        <f t="shared" si="0"/>
        <v>-0.27157480502428616</v>
      </c>
      <c r="J45">
        <f t="shared" si="0"/>
        <v>-0.3400132806089356</v>
      </c>
      <c r="K45">
        <f t="shared" si="0"/>
        <v>-0.42069618899826788</v>
      </c>
    </row>
    <row r="46" spans="1:11" x14ac:dyDescent="0.2">
      <c r="A46">
        <v>23</v>
      </c>
      <c r="B46">
        <f t="shared" ref="B46:K54" si="1">B13</f>
        <v>-0.50382768493563657</v>
      </c>
      <c r="C46">
        <f t="shared" si="1"/>
        <v>-0.29278372720927726</v>
      </c>
      <c r="D46">
        <f t="shared" si="1"/>
        <v>-0.2522502292357135</v>
      </c>
      <c r="E46">
        <f t="shared" si="1"/>
        <v>-0.21106310899491437</v>
      </c>
      <c r="F46">
        <f t="shared" si="1"/>
        <v>-0.16719266083547524</v>
      </c>
      <c r="G46">
        <f t="shared" si="1"/>
        <v>-0.1536990158300045</v>
      </c>
      <c r="H46">
        <f t="shared" si="1"/>
        <v>-0.26907287776607752</v>
      </c>
      <c r="I46">
        <f t="shared" si="1"/>
        <v>-0.32360517609397998</v>
      </c>
      <c r="J46">
        <f t="shared" si="1"/>
        <v>-0.38715518913686875</v>
      </c>
      <c r="K46">
        <f t="shared" si="1"/>
        <v>-0.46207503264124877</v>
      </c>
    </row>
    <row r="47" spans="1:11" x14ac:dyDescent="0.2">
      <c r="A47">
        <v>24</v>
      </c>
      <c r="B47">
        <f t="shared" si="1"/>
        <v>-0.53926856458309114</v>
      </c>
      <c r="C47">
        <f t="shared" si="1"/>
        <v>-0.29278372720927726</v>
      </c>
      <c r="D47">
        <f t="shared" si="1"/>
        <v>-0.2522502292357135</v>
      </c>
      <c r="E47">
        <f t="shared" si="1"/>
        <v>-0.21106310899491437</v>
      </c>
      <c r="F47">
        <f t="shared" si="1"/>
        <v>-0.16719266083547524</v>
      </c>
      <c r="G47">
        <f t="shared" si="1"/>
        <v>-0.1536990158300045</v>
      </c>
      <c r="H47">
        <f t="shared" si="1"/>
        <v>-0.3212819579256434</v>
      </c>
      <c r="I47">
        <f t="shared" si="1"/>
        <v>-0.37191909208726714</v>
      </c>
      <c r="J47">
        <f t="shared" si="1"/>
        <v>-0.43092981848423528</v>
      </c>
      <c r="K47">
        <f t="shared" si="1"/>
        <v>-0.50049824459544523</v>
      </c>
    </row>
    <row r="48" spans="1:11" x14ac:dyDescent="0.2">
      <c r="A48">
        <v>25</v>
      </c>
      <c r="B48">
        <f t="shared" si="1"/>
        <v>-0.572177952827156</v>
      </c>
      <c r="C48">
        <f t="shared" si="1"/>
        <v>-0.29278372720927726</v>
      </c>
      <c r="D48">
        <f t="shared" si="1"/>
        <v>-0.2522502292357135</v>
      </c>
      <c r="E48">
        <f t="shared" si="1"/>
        <v>-0.21106310899491437</v>
      </c>
      <c r="F48">
        <f t="shared" si="1"/>
        <v>-0.16719266083547524</v>
      </c>
      <c r="G48">
        <f t="shared" si="1"/>
        <v>-0.1536990158300045</v>
      </c>
      <c r="H48">
        <f t="shared" si="1"/>
        <v>-0.36976181807381175</v>
      </c>
      <c r="I48">
        <f t="shared" si="1"/>
        <v>-0.41678201408103371</v>
      </c>
      <c r="J48">
        <f t="shared" si="1"/>
        <v>-0.47157768859250415</v>
      </c>
      <c r="K48">
        <f t="shared" si="1"/>
        <v>-0.53617694141005634</v>
      </c>
    </row>
    <row r="49" spans="1:11" x14ac:dyDescent="0.2">
      <c r="A49">
        <v>26</v>
      </c>
      <c r="B49">
        <f t="shared" si="1"/>
        <v>-0.57578184676460165</v>
      </c>
      <c r="C49">
        <f t="shared" si="1"/>
        <v>-0.29278372720927726</v>
      </c>
      <c r="D49">
        <f t="shared" si="1"/>
        <v>-0.2522502292357135</v>
      </c>
      <c r="E49">
        <f t="shared" si="1"/>
        <v>-0.21106310899491437</v>
      </c>
      <c r="F49">
        <f t="shared" si="1"/>
        <v>-0.16719266083547524</v>
      </c>
      <c r="G49">
        <f t="shared" si="1"/>
        <v>-0.1536990158300045</v>
      </c>
      <c r="H49">
        <f t="shared" si="1"/>
        <v>-0.41477883106853947</v>
      </c>
      <c r="I49">
        <f t="shared" si="1"/>
        <v>-0.45844044164667419</v>
      </c>
      <c r="J49">
        <f t="shared" si="1"/>
        <v>-0.50932213940732529</v>
      </c>
      <c r="K49">
        <f t="shared" si="1"/>
        <v>-0.56930715988076652</v>
      </c>
    </row>
    <row r="50" spans="1:11" x14ac:dyDescent="0.2">
      <c r="A50">
        <v>27</v>
      </c>
      <c r="B50">
        <f t="shared" si="1"/>
        <v>-0.46435750824198752</v>
      </c>
      <c r="C50">
        <f t="shared" si="1"/>
        <v>-0.15297458768154204</v>
      </c>
      <c r="D50">
        <f t="shared" si="1"/>
        <v>-0.11721624142457365</v>
      </c>
      <c r="E50">
        <f t="shared" si="1"/>
        <v>-8.0573373145316152E-2</v>
      </c>
      <c r="F50">
        <f t="shared" si="1"/>
        <v>-4.4941375564924446E-2</v>
      </c>
      <c r="G50">
        <f t="shared" si="1"/>
        <v>1.1739160673341853E-2</v>
      </c>
      <c r="H50">
        <f t="shared" si="1"/>
        <v>-0.10680898948269468</v>
      </c>
      <c r="I50">
        <f t="shared" si="1"/>
        <v>-0.38195097104844711</v>
      </c>
      <c r="J50">
        <f t="shared" si="1"/>
        <v>-0.42315423964521737</v>
      </c>
      <c r="K50">
        <f t="shared" si="1"/>
        <v>-0.46435750824198763</v>
      </c>
    </row>
    <row r="51" spans="1:11" x14ac:dyDescent="0.2">
      <c r="A51">
        <v>28</v>
      </c>
      <c r="B51">
        <f t="shared" si="1"/>
        <v>-0.24150883119675959</v>
      </c>
      <c r="C51">
        <f t="shared" si="1"/>
        <v>0.12174190222088771</v>
      </c>
      <c r="D51">
        <f t="shared" si="1"/>
        <v>0.14830007284131119</v>
      </c>
      <c r="E51">
        <f t="shared" si="1"/>
        <v>0.17585443719748528</v>
      </c>
      <c r="F51">
        <f t="shared" si="1"/>
        <v>0.19956119497617719</v>
      </c>
      <c r="G51">
        <f t="shared" si="1"/>
        <v>0.28344391604689856</v>
      </c>
      <c r="H51">
        <f t="shared" si="1"/>
        <v>0.3995541673365518</v>
      </c>
      <c r="I51">
        <f t="shared" si="1"/>
        <v>0.10595134861912359</v>
      </c>
      <c r="J51">
        <f t="shared" si="1"/>
        <v>-0.18316335667343331</v>
      </c>
      <c r="K51">
        <f t="shared" si="1"/>
        <v>-0.24150883119675959</v>
      </c>
    </row>
    <row r="52" spans="1:11" x14ac:dyDescent="0.2">
      <c r="A52">
        <v>29</v>
      </c>
      <c r="B52">
        <f t="shared" si="1"/>
        <v>-1.8660154151531549E-2</v>
      </c>
      <c r="C52">
        <f t="shared" si="1"/>
        <v>0.38630468602058987</v>
      </c>
      <c r="D52">
        <f t="shared" si="1"/>
        <v>0.40436293659776001</v>
      </c>
      <c r="E52">
        <f t="shared" si="1"/>
        <v>0.42317892482749647</v>
      </c>
      <c r="F52">
        <f t="shared" si="1"/>
        <v>0.43951210416088371</v>
      </c>
      <c r="G52">
        <f t="shared" si="1"/>
        <v>0.49597707378731909</v>
      </c>
      <c r="H52">
        <f t="shared" si="1"/>
        <v>0.6159764957534315</v>
      </c>
      <c r="I52">
        <f t="shared" si="1"/>
        <v>0.5938536682866945</v>
      </c>
      <c r="J52">
        <f t="shared" si="1"/>
        <v>0.28759675706758142</v>
      </c>
      <c r="K52">
        <f t="shared" si="1"/>
        <v>-1.8660154151531536E-2</v>
      </c>
    </row>
    <row r="53" spans="1:11" x14ac:dyDescent="0.2">
      <c r="A53">
        <v>30</v>
      </c>
      <c r="B53">
        <f t="shared" si="1"/>
        <v>0.20418852289369649</v>
      </c>
      <c r="C53">
        <f t="shared" si="1"/>
        <v>0.63998657521683877</v>
      </c>
      <c r="D53">
        <f t="shared" si="1"/>
        <v>0.65027209425148136</v>
      </c>
      <c r="E53">
        <f t="shared" si="1"/>
        <v>0.66104996194807186</v>
      </c>
      <c r="F53">
        <f t="shared" si="1"/>
        <v>0.67035969063279999</v>
      </c>
      <c r="G53">
        <f t="shared" si="1"/>
        <v>0.70395857017134467</v>
      </c>
      <c r="H53">
        <f t="shared" si="1"/>
        <v>0.77322722653717491</v>
      </c>
      <c r="I53">
        <f t="shared" si="1"/>
        <v>0.79181515955189841</v>
      </c>
      <c r="J53">
        <f t="shared" si="1"/>
        <v>0.75835687080859626</v>
      </c>
      <c r="K53">
        <f t="shared" si="1"/>
        <v>0.43495775366292722</v>
      </c>
    </row>
    <row r="54" spans="1:11" x14ac:dyDescent="0.2">
      <c r="A54">
        <v>31</v>
      </c>
      <c r="B54">
        <f t="shared" si="1"/>
        <v>0.65780643070815525</v>
      </c>
      <c r="C54">
        <f t="shared" si="1"/>
        <v>0.88200651549403997</v>
      </c>
      <c r="D54">
        <f t="shared" si="1"/>
        <v>0.88530035730174927</v>
      </c>
      <c r="E54">
        <f t="shared" si="1"/>
        <v>0.88876729296591961</v>
      </c>
      <c r="F54">
        <f t="shared" si="1"/>
        <v>0.89175382659528035</v>
      </c>
      <c r="G54">
        <f t="shared" si="1"/>
        <v>0.90283674384257995</v>
      </c>
      <c r="H54">
        <f t="shared" si="1"/>
        <v>0.92592629596452325</v>
      </c>
      <c r="I54">
        <f t="shared" si="1"/>
        <v>0.93060505318396614</v>
      </c>
      <c r="J54">
        <f t="shared" si="1"/>
        <v>0.93917615614724415</v>
      </c>
      <c r="K54">
        <f t="shared" si="1"/>
        <v>0.88857566147738598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54"/>
  <sheetViews>
    <sheetView topLeftCell="A31" workbookViewId="0">
      <selection activeCell="K9" sqref="K9"/>
    </sheetView>
  </sheetViews>
  <sheetFormatPr baseColWidth="10" defaultColWidth="8.83203125" defaultRowHeight="16" x14ac:dyDescent="0.2"/>
  <cols>
    <col min="12" max="12" width="4.83203125" customWidth="1"/>
    <col min="13" max="13" width="4.6640625" customWidth="1"/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MAX(Hit!B2,Stand!B2,Double!B2)</f>
        <v>-0.34456837192534162</v>
      </c>
      <c r="C2">
        <f>MAX(Hit!C2,Stand!C2,Double!C2)</f>
        <v>-7.5884358318949102E-2</v>
      </c>
      <c r="D2">
        <f>MAX(Hit!D2,Stand!D2,Double!D2)</f>
        <v>-4.9750706146412041E-2</v>
      </c>
      <c r="E2">
        <f>MAX(Hit!E2,Stand!E2,Double!E2)</f>
        <v>-2.2100412135834389E-2</v>
      </c>
      <c r="F2">
        <f>MAX(Hit!F2,Stand!F2,Double!F2)</f>
        <v>1.3730032284783571E-2</v>
      </c>
      <c r="G2">
        <f>MAX(Hit!G2,Stand!G2,Double!G2)</f>
        <v>3.8883411946301231E-2</v>
      </c>
      <c r="H2">
        <f>MAX(Hit!H2,Stand!H2,Double!H2)</f>
        <v>-2.7257021375862247E-2</v>
      </c>
      <c r="I2">
        <f>MAX(Hit!I2,Stand!I2,Double!I2)</f>
        <v>-0.10316172777512723</v>
      </c>
      <c r="J2">
        <f>MAX(Hit!J2,Stand!J2,Double!J2)</f>
        <v>-0.19004714305350842</v>
      </c>
      <c r="K2">
        <f>MAX(Hit!K2,Stand!K2,Double!K2)</f>
        <v>-0.29096372773977425</v>
      </c>
      <c r="N2" s="31">
        <v>2</v>
      </c>
      <c r="O2" s="31" t="str">
        <f>IF(B2=HS!B2,HS!O2,"D")</f>
        <v>H</v>
      </c>
      <c r="P2" s="31" t="str">
        <f>IF(C2=HS!C2,HS!P2,"D")</f>
        <v>H</v>
      </c>
      <c r="Q2" s="31" t="str">
        <f>IF(D2=HS!D2,HS!Q2,"D")</f>
        <v>H</v>
      </c>
      <c r="R2" s="31" t="str">
        <f>IF(E2=HS!E2,HS!R2,"D")</f>
        <v>H</v>
      </c>
      <c r="S2" s="31" t="str">
        <f>IF(F2=HS!F2,HS!S2,"D")</f>
        <v>H</v>
      </c>
      <c r="T2" s="31" t="str">
        <f>IF(G2=HS!G2,HS!T2,"D")</f>
        <v>H</v>
      </c>
      <c r="U2" s="31" t="str">
        <f>IF(H2=HS!H2,HS!U2,"D")</f>
        <v>H</v>
      </c>
      <c r="V2" s="31" t="str">
        <f>IF(I2=HS!I2,HS!V2,"D")</f>
        <v>H</v>
      </c>
      <c r="W2" s="31" t="str">
        <f>IF(J2=HS!J2,HS!W2,"D")</f>
        <v>H</v>
      </c>
      <c r="X2" s="31" t="str">
        <f>IF(K2=HS!K2,HS!X2,"D")</f>
        <v>H</v>
      </c>
    </row>
    <row r="3" spans="1:24" x14ac:dyDescent="0.2">
      <c r="A3">
        <v>3</v>
      </c>
      <c r="B3">
        <f>MAX(Hit!B3,Stand!B3,Double!B3)</f>
        <v>-0.36474464099475529</v>
      </c>
      <c r="C3">
        <f>MAX(Hit!C3,Stand!C3,Double!C3)</f>
        <v>-0.10052250439785246</v>
      </c>
      <c r="D3">
        <f>MAX(Hit!D3,Stand!D3,Double!D3)</f>
        <v>-6.8875858278897514E-2</v>
      </c>
      <c r="E3">
        <f>MAX(Hit!E3,Stand!E3,Double!E3)</f>
        <v>-3.6261290708905339E-2</v>
      </c>
      <c r="F3">
        <f>MAX(Hit!F3,Stand!F3,Double!F3)</f>
        <v>1.6995712139687808E-4</v>
      </c>
      <c r="G3">
        <f>MAX(Hit!G3,Stand!G3,Double!G3)</f>
        <v>2.447130320655936E-2</v>
      </c>
      <c r="H3">
        <f>MAX(Hit!H3,Stand!H3,Double!H3)</f>
        <v>-5.7437588540356667E-2</v>
      </c>
      <c r="I3">
        <f>MAX(Hit!I3,Stand!I3,Double!I3)</f>
        <v>-0.13094188065020099</v>
      </c>
      <c r="J3">
        <f>MAX(Hit!J3,Stand!J3,Double!J3)</f>
        <v>-0.21507662281362433</v>
      </c>
      <c r="K3">
        <f>MAX(Hit!K3,Stand!K3,Double!K3)</f>
        <v>-0.31277980128259808</v>
      </c>
      <c r="N3" s="31">
        <v>3</v>
      </c>
      <c r="O3" s="31" t="str">
        <f>IF(B3=HS!B3,HS!O3,"D")</f>
        <v>H</v>
      </c>
      <c r="P3" s="31" t="str">
        <f>IF(C3=HS!C3,HS!P3,"D")</f>
        <v>H</v>
      </c>
      <c r="Q3" s="31" t="str">
        <f>IF(D3=HS!D3,HS!Q3,"D")</f>
        <v>H</v>
      </c>
      <c r="R3" s="31" t="str">
        <f>IF(E3=HS!E3,HS!R3,"D")</f>
        <v>H</v>
      </c>
      <c r="S3" s="31" t="str">
        <f>IF(F3=HS!F3,HS!S3,"D")</f>
        <v>H</v>
      </c>
      <c r="T3" s="31" t="str">
        <f>IF(G3=HS!G3,HS!T3,"D")</f>
        <v>H</v>
      </c>
      <c r="U3" s="31" t="str">
        <f>IF(H3=HS!H3,HS!U3,"D")</f>
        <v>H</v>
      </c>
      <c r="V3" s="31" t="str">
        <f>IF(I3=HS!I3,HS!V3,"D")</f>
        <v>H</v>
      </c>
      <c r="W3" s="31" t="str">
        <f>IF(J3=HS!J3,HS!W3,"D")</f>
        <v>H</v>
      </c>
      <c r="X3" s="31" t="str">
        <f>IF(K3=HS!K3,HS!X3,"D")</f>
        <v>H</v>
      </c>
    </row>
    <row r="4" spans="1:24" x14ac:dyDescent="0.2">
      <c r="A4">
        <v>4</v>
      </c>
      <c r="B4">
        <f>MAX(Hit!B4,Stand!B4,Double!B4)</f>
        <v>-0.38538530661686615</v>
      </c>
      <c r="C4">
        <f>MAX(Hit!C4,Stand!C4,Double!C4)</f>
        <v>-0.11491332761892134</v>
      </c>
      <c r="D4">
        <f>MAX(Hit!D4,Stand!D4,Double!D4)</f>
        <v>-8.2613314299744348E-2</v>
      </c>
      <c r="E4">
        <f>MAX(Hit!E4,Stand!E4,Double!E4)</f>
        <v>-4.9367420106916922E-2</v>
      </c>
      <c r="F4">
        <f>MAX(Hit!F4,Stand!F4,Double!F4)</f>
        <v>-1.2379926519926384E-2</v>
      </c>
      <c r="G4">
        <f>MAX(Hit!G4,Stand!G4,Double!G4)</f>
        <v>1.1130417280979797E-2</v>
      </c>
      <c r="H4">
        <f>MAX(Hit!H4,Stand!H4,Double!H4)</f>
        <v>-8.8279201058463722E-2</v>
      </c>
      <c r="I4">
        <f>MAX(Hit!I4,Stand!I4,Double!I4)</f>
        <v>-0.15933415266020512</v>
      </c>
      <c r="J4">
        <f>MAX(Hit!J4,Stand!J4,Double!J4)</f>
        <v>-0.24066617915336547</v>
      </c>
      <c r="K4">
        <f>MAX(Hit!K4,Stand!K4,Double!K4)</f>
        <v>-0.33509986436351097</v>
      </c>
      <c r="N4" s="31">
        <v>4</v>
      </c>
      <c r="O4" s="31" t="str">
        <f>IF(B4=HS!B4,HS!O4,"D")</f>
        <v>H</v>
      </c>
      <c r="P4" s="31" t="str">
        <f>IF(C4=HS!C4,HS!P4,"D")</f>
        <v>H</v>
      </c>
      <c r="Q4" s="31" t="str">
        <f>IF(D4=HS!D4,HS!Q4,"D")</f>
        <v>H</v>
      </c>
      <c r="R4" s="31" t="str">
        <f>IF(E4=HS!E4,HS!R4,"D")</f>
        <v>H</v>
      </c>
      <c r="S4" s="31" t="str">
        <f>IF(F4=HS!F4,HS!S4,"D")</f>
        <v>H</v>
      </c>
      <c r="T4" s="31" t="str">
        <f>IF(G4=HS!G4,HS!T4,"D")</f>
        <v>H</v>
      </c>
      <c r="U4" s="31" t="str">
        <f>IF(H4=HS!H4,HS!U4,"D")</f>
        <v>H</v>
      </c>
      <c r="V4" s="31" t="str">
        <f>IF(I4=HS!I4,HS!V4,"D")</f>
        <v>H</v>
      </c>
      <c r="W4" s="31" t="str">
        <f>IF(J4=HS!J4,HS!W4,"D")</f>
        <v>H</v>
      </c>
      <c r="X4" s="31" t="str">
        <f>IF(K4=HS!K4,HS!X4,"D")</f>
        <v>H</v>
      </c>
    </row>
    <row r="5" spans="1:24" x14ac:dyDescent="0.2">
      <c r="A5">
        <v>5</v>
      </c>
      <c r="B5">
        <f>MAX(Hit!B5,Stand!B5,Double!B5)</f>
        <v>-0.40632230211141912</v>
      </c>
      <c r="C5">
        <f>MAX(Hit!C5,Stand!C5,Double!C5)</f>
        <v>-0.12821556706374745</v>
      </c>
      <c r="D5">
        <f>MAX(Hit!D5,Stand!D5,Double!D5)</f>
        <v>-9.5310227261489883E-2</v>
      </c>
      <c r="E5">
        <f>MAX(Hit!E5,Stand!E5,Double!E5)</f>
        <v>-6.1479464199694238E-2</v>
      </c>
      <c r="F5">
        <f>MAX(Hit!F5,Stand!F5,Double!F5)</f>
        <v>-2.397897039185962E-2</v>
      </c>
      <c r="G5">
        <f>MAX(Hit!G5,Stand!G5,Double!G5)</f>
        <v>-1.1863378384401623E-3</v>
      </c>
      <c r="H5">
        <f>MAX(Hit!H5,Stand!H5,Double!H5)</f>
        <v>-0.11944744188414852</v>
      </c>
      <c r="I5">
        <f>MAX(Hit!I5,Stand!I5,Double!I5)</f>
        <v>-0.18809330390318518</v>
      </c>
      <c r="J5">
        <f>MAX(Hit!J5,Stand!J5,Double!J5)</f>
        <v>-0.26661505335795899</v>
      </c>
      <c r="K5">
        <f>MAX(Hit!K5,Stand!K5,Double!K5)</f>
        <v>-0.3577434525808979</v>
      </c>
      <c r="N5" s="31">
        <v>5</v>
      </c>
      <c r="O5" s="31" t="str">
        <f>IF(B5=HS!B5,HS!O5,"D")</f>
        <v>H</v>
      </c>
      <c r="P5" s="31" t="str">
        <f>IF(C5=HS!C5,HS!P5,"D")</f>
        <v>H</v>
      </c>
      <c r="Q5" s="31" t="str">
        <f>IF(D5=HS!D5,HS!Q5,"D")</f>
        <v>H</v>
      </c>
      <c r="R5" s="31" t="str">
        <f>IF(E5=HS!E5,HS!R5,"D")</f>
        <v>H</v>
      </c>
      <c r="S5" s="31" t="str">
        <f>IF(F5=HS!F5,HS!S5,"D")</f>
        <v>H</v>
      </c>
      <c r="T5" s="31" t="str">
        <f>IF(G5=HS!G5,HS!T5,"D")</f>
        <v>H</v>
      </c>
      <c r="U5" s="31" t="str">
        <f>IF(H5=HS!H5,HS!U5,"D")</f>
        <v>H</v>
      </c>
      <c r="V5" s="31" t="str">
        <f>IF(I5=HS!I5,HS!V5,"D")</f>
        <v>H</v>
      </c>
      <c r="W5" s="31" t="str">
        <f>IF(J5=HS!J5,HS!W5,"D")</f>
        <v>H</v>
      </c>
      <c r="X5" s="31" t="str">
        <f>IF(K5=HS!K5,HS!X5,"D")</f>
        <v>H</v>
      </c>
    </row>
    <row r="6" spans="1:24" x14ac:dyDescent="0.2">
      <c r="A6">
        <v>6</v>
      </c>
      <c r="B6">
        <f>MAX(Hit!B6,Stand!B6,Double!B6)</f>
        <v>-0.41968690347101079</v>
      </c>
      <c r="C6">
        <f>MAX(Hit!C6,Stand!C6,Double!C6)</f>
        <v>-0.14075911746001987</v>
      </c>
      <c r="D6">
        <f>MAX(Hit!D6,Stand!D6,Double!D6)</f>
        <v>-0.10729107800860835</v>
      </c>
      <c r="E6">
        <f>MAX(Hit!E6,Stand!E6,Double!E6)</f>
        <v>-7.2917141926387305E-2</v>
      </c>
      <c r="F6">
        <f>MAX(Hit!F6,Stand!F6,Double!F6)</f>
        <v>-3.4915973330102178E-2</v>
      </c>
      <c r="G6">
        <f>MAX(Hit!G6,Stand!G6,Double!G6)</f>
        <v>-1.3005835529874294E-2</v>
      </c>
      <c r="H6">
        <f>MAX(Hit!H6,Stand!H6,Double!H6)</f>
        <v>-0.15193270723669944</v>
      </c>
      <c r="I6">
        <f>MAX(Hit!I6,Stand!I6,Double!I6)</f>
        <v>-0.21724188132078476</v>
      </c>
      <c r="J6">
        <f>MAX(Hit!J6,Stand!J6,Double!J6)</f>
        <v>-0.29264070019772598</v>
      </c>
      <c r="K6">
        <f>MAX(Hit!K6,Stand!K6,Double!K6)</f>
        <v>-0.38050766229289529</v>
      </c>
      <c r="N6" s="31">
        <v>6</v>
      </c>
      <c r="O6" s="31" t="str">
        <f>IF(B6=HS!B6,HS!O6,"D")</f>
        <v>H</v>
      </c>
      <c r="P6" s="31" t="str">
        <f>IF(C6=HS!C6,HS!P6,"D")</f>
        <v>H</v>
      </c>
      <c r="Q6" s="31" t="str">
        <f>IF(D6=HS!D6,HS!Q6,"D")</f>
        <v>H</v>
      </c>
      <c r="R6" s="31" t="str">
        <f>IF(E6=HS!E6,HS!R6,"D")</f>
        <v>H</v>
      </c>
      <c r="S6" s="31" t="str">
        <f>IF(F6=HS!F6,HS!S6,"D")</f>
        <v>H</v>
      </c>
      <c r="T6" s="31" t="str">
        <f>IF(G6=HS!G6,HS!T6,"D")</f>
        <v>H</v>
      </c>
      <c r="U6" s="31" t="str">
        <f>IF(H6=HS!H6,HS!U6,"D")</f>
        <v>H</v>
      </c>
      <c r="V6" s="31" t="str">
        <f>IF(I6=HS!I6,HS!V6,"D")</f>
        <v>H</v>
      </c>
      <c r="W6" s="31" t="str">
        <f>IF(J6=HS!J6,HS!W6,"D")</f>
        <v>H</v>
      </c>
      <c r="X6" s="31" t="str">
        <f>IF(K6=HS!K6,HS!X6,"D")</f>
        <v>H</v>
      </c>
    </row>
    <row r="7" spans="1:24" x14ac:dyDescent="0.2">
      <c r="A7">
        <v>7</v>
      </c>
      <c r="B7">
        <f>MAX(Hit!B7,Stand!B7,Double!B7)</f>
        <v>-0.39971038372569095</v>
      </c>
      <c r="C7">
        <f>MAX(Hit!C7,Stand!C7,Double!C7)</f>
        <v>-0.10918342786661633</v>
      </c>
      <c r="D7">
        <f>MAX(Hit!D7,Stand!D7,Double!D7)</f>
        <v>-7.6582981904463582E-2</v>
      </c>
      <c r="E7">
        <f>MAX(Hit!E7,Stand!E7,Double!E7)</f>
        <v>-4.3021794004341876E-2</v>
      </c>
      <c r="F7">
        <f>MAX(Hit!F7,Stand!F7,Double!F7)</f>
        <v>-7.2713609029408845E-3</v>
      </c>
      <c r="G7">
        <f>MAX(Hit!G7,Stand!G7,Double!G7)</f>
        <v>2.9185342353860864E-2</v>
      </c>
      <c r="H7">
        <f>MAX(Hit!H7,Stand!H7,Double!H7)</f>
        <v>-6.8807799580427764E-2</v>
      </c>
      <c r="I7">
        <f>MAX(Hit!I7,Stand!I7,Double!I7)</f>
        <v>-0.21060476872434966</v>
      </c>
      <c r="J7">
        <f>MAX(Hit!J7,Stand!J7,Double!J7)</f>
        <v>-0.28536544048687662</v>
      </c>
      <c r="K7">
        <f>MAX(Hit!K7,Stand!K7,Double!K7)</f>
        <v>-0.36507789921394679</v>
      </c>
      <c r="N7" s="31">
        <v>7</v>
      </c>
      <c r="O7" s="31" t="str">
        <f>IF(B7=HS!B7,HS!O7,"D")</f>
        <v>H</v>
      </c>
      <c r="P7" s="31" t="str">
        <f>IF(C7=HS!C7,HS!P7,"D")</f>
        <v>H</v>
      </c>
      <c r="Q7" s="31" t="str">
        <f>IF(D7=HS!D7,HS!Q7,"D")</f>
        <v>H</v>
      </c>
      <c r="R7" s="31" t="str">
        <f>IF(E7=HS!E7,HS!R7,"D")</f>
        <v>H</v>
      </c>
      <c r="S7" s="31" t="str">
        <f>IF(F7=HS!F7,HS!S7,"D")</f>
        <v>H</v>
      </c>
      <c r="T7" s="31" t="str">
        <f>IF(G7=HS!G7,HS!T7,"D")</f>
        <v>H</v>
      </c>
      <c r="U7" s="31" t="str">
        <f>IF(H7=HS!H7,HS!U7,"D")</f>
        <v>H</v>
      </c>
      <c r="V7" s="31" t="str">
        <f>IF(I7=HS!I7,HS!V7,"D")</f>
        <v>H</v>
      </c>
      <c r="W7" s="31" t="str">
        <f>IF(J7=HS!J7,HS!W7,"D")</f>
        <v>H</v>
      </c>
      <c r="X7" s="31" t="str">
        <f>IF(K7=HS!K7,HS!X7,"D")</f>
        <v>H</v>
      </c>
    </row>
    <row r="8" spans="1:24" x14ac:dyDescent="0.2">
      <c r="A8">
        <v>8</v>
      </c>
      <c r="B8">
        <f>MAX(Hit!B8,Stand!B8,Double!B8)</f>
        <v>-0.33034033459070061</v>
      </c>
      <c r="C8">
        <f>MAX(Hit!C8,Stand!C8,Double!C8)</f>
        <v>-2.1798188008805671E-2</v>
      </c>
      <c r="D8">
        <f>MAX(Hit!D8,Stand!D8,Double!D8)</f>
        <v>8.0052625306546912E-3</v>
      </c>
      <c r="E8">
        <f>MAX(Hit!E8,Stand!E8,Double!E8)</f>
        <v>3.8784473277208804E-2</v>
      </c>
      <c r="F8">
        <f>MAX(Hit!F8,Stand!F8,Double!F8)</f>
        <v>7.0804635983033826E-2</v>
      </c>
      <c r="G8">
        <f>MAX(Hit!G8,Stand!G8,Double!G8)</f>
        <v>0.11496015009622321</v>
      </c>
      <c r="H8">
        <f>MAX(Hit!H8,Stand!H8,Double!H8)</f>
        <v>8.2207439363742862E-2</v>
      </c>
      <c r="I8">
        <f>MAX(Hit!I8,Stand!I8,Double!I8)</f>
        <v>-5.989827565865629E-2</v>
      </c>
      <c r="J8">
        <f>MAX(Hit!J8,Stand!J8,Double!J8)</f>
        <v>-0.2101863319982176</v>
      </c>
      <c r="K8">
        <f>MAX(Hit!K8,Stand!K8,Double!K8)</f>
        <v>-0.30177738614031369</v>
      </c>
      <c r="N8" s="31">
        <v>8</v>
      </c>
      <c r="O8" s="31" t="str">
        <f>IF(B8=HS!B8,HS!O8,"D")</f>
        <v>H</v>
      </c>
      <c r="P8" s="31" t="str">
        <f>IF(C8=HS!C8,HS!P8,"D")</f>
        <v>H</v>
      </c>
      <c r="Q8" s="31" t="str">
        <f>IF(D8=HS!D8,HS!Q8,"D")</f>
        <v>H</v>
      </c>
      <c r="R8" s="31" t="str">
        <f>IF(E8=HS!E8,HS!R8,"D")</f>
        <v>H</v>
      </c>
      <c r="S8" s="31" t="str">
        <f>IF(F8=HS!F8,HS!S8,"D")</f>
        <v>H</v>
      </c>
      <c r="T8" s="31" t="str">
        <f>IF(G8=HS!G8,HS!T8,"D")</f>
        <v>H</v>
      </c>
      <c r="U8" s="31" t="str">
        <f>IF(H8=HS!H8,HS!U8,"D")</f>
        <v>H</v>
      </c>
      <c r="V8" s="31" t="str">
        <f>IF(I8=HS!I8,HS!V8,"D")</f>
        <v>H</v>
      </c>
      <c r="W8" s="31" t="str">
        <f>IF(J8=HS!J8,HS!W8,"D")</f>
        <v>H</v>
      </c>
      <c r="X8" s="31" t="str">
        <f>IF(K8=HS!K8,HS!X8,"D")</f>
        <v>H</v>
      </c>
    </row>
    <row r="9" spans="1:24" x14ac:dyDescent="0.2">
      <c r="A9">
        <v>9</v>
      </c>
      <c r="B9">
        <f>MAX(Hit!B9,Stand!B9,Double!B9)</f>
        <v>-0.25192476177072076</v>
      </c>
      <c r="C9">
        <f>MAX(Hit!C9,Stand!C9,Double!C9)</f>
        <v>7.444603757634051E-2</v>
      </c>
      <c r="D9">
        <f>MAX(Hit!D9,Stand!D9,Double!D9)</f>
        <v>0.12081635332999656</v>
      </c>
      <c r="E9">
        <f>MAX(Hit!E9,Stand!E9,Double!E9)</f>
        <v>0.1819489340524216</v>
      </c>
      <c r="F9">
        <f>MAX(Hit!F9,Stand!F9,Double!F9)</f>
        <v>0.24305722487303633</v>
      </c>
      <c r="G9">
        <f>MAX(Hit!G9,Stand!G9,Double!G9)</f>
        <v>0.31705474570166692</v>
      </c>
      <c r="H9">
        <f>MAX(Hit!H9,Stand!H9,Double!H9)</f>
        <v>0.17186785993695267</v>
      </c>
      <c r="I9">
        <f>MAX(Hit!I9,Stand!I9,Double!I9)</f>
        <v>9.8376217435392585E-2</v>
      </c>
      <c r="J9">
        <f>MAX(Hit!J9,Stand!J9,Double!J9)</f>
        <v>-5.217805346265169E-2</v>
      </c>
      <c r="K9">
        <f>MAX(Hit!K9,Stand!K9,Double!K9)</f>
        <v>-0.21343169035706566</v>
      </c>
      <c r="N9" s="31">
        <v>9</v>
      </c>
      <c r="O9" s="31" t="str">
        <f>IF(B9=HS!B9,HS!O9,"D")</f>
        <v>H</v>
      </c>
      <c r="P9" s="31" t="str">
        <f>IF(C9=HS!C9,HS!P9,"D")</f>
        <v>H</v>
      </c>
      <c r="Q9" s="31" t="str">
        <f>IF(D9=HS!D9,HS!Q9,"D")</f>
        <v>D</v>
      </c>
      <c r="R9" s="31" t="str">
        <f>IF(E9=HS!E9,HS!R9,"D")</f>
        <v>D</v>
      </c>
      <c r="S9" s="31" t="str">
        <f>IF(F9=HS!F9,HS!S9,"D")</f>
        <v>D</v>
      </c>
      <c r="T9" s="31" t="str">
        <f>IF(G9=HS!G9,HS!T9,"D")</f>
        <v>D</v>
      </c>
      <c r="U9" s="31" t="str">
        <f>IF(H9=HS!H9,HS!U9,"D")</f>
        <v>H</v>
      </c>
      <c r="V9" s="31" t="str">
        <f>IF(I9=HS!I9,HS!V9,"D")</f>
        <v>H</v>
      </c>
      <c r="W9" s="31" t="str">
        <f>IF(J9=HS!J9,HS!W9,"D")</f>
        <v>H</v>
      </c>
      <c r="X9" s="31" t="str">
        <f>IF(K9=HS!K9,HS!X9,"D")</f>
        <v>H</v>
      </c>
    </row>
    <row r="10" spans="1:24" x14ac:dyDescent="0.2">
      <c r="A10">
        <v>10</v>
      </c>
      <c r="B10">
        <f>MAX(Hit!B10,Stand!B10,Double!B10)</f>
        <v>-0.14666789263035868</v>
      </c>
      <c r="C10">
        <f>MAX(Hit!C10,Stand!C10,Double!C10)</f>
        <v>0.3589394124422991</v>
      </c>
      <c r="D10">
        <f>MAX(Hit!D10,Stand!D10,Double!D10)</f>
        <v>0.40932067017593915</v>
      </c>
      <c r="E10">
        <f>MAX(Hit!E10,Stand!E10,Double!E10)</f>
        <v>0.460940243794354</v>
      </c>
      <c r="F10">
        <f>MAX(Hit!F10,Stand!F10,Double!F10)</f>
        <v>0.51251710900326775</v>
      </c>
      <c r="G10">
        <f>MAX(Hit!G10,Stand!G10,Double!G10)</f>
        <v>0.57559016859776857</v>
      </c>
      <c r="H10">
        <f>MAX(Hit!H10,Stand!H10,Double!H10)</f>
        <v>0.39241245528243773</v>
      </c>
      <c r="I10">
        <f>MAX(Hit!I10,Stand!I10,Double!I10)</f>
        <v>0.28663571688628381</v>
      </c>
      <c r="J10">
        <f>MAX(Hit!J10,Stand!J10,Double!J10)</f>
        <v>0.1443283683807712</v>
      </c>
      <c r="K10">
        <f>MAX(Hit!K10,Stand!K10,Double!K10)</f>
        <v>-4.4990260383613007E-2</v>
      </c>
      <c r="N10" s="31">
        <v>10</v>
      </c>
      <c r="O10" s="31" t="str">
        <f>IF(B10=HS!B10,HS!O10,"D")</f>
        <v>H</v>
      </c>
      <c r="P10" s="31" t="str">
        <f>IF(C10=HS!C10,HS!P10,"D")</f>
        <v>D</v>
      </c>
      <c r="Q10" s="31" t="str">
        <f>IF(D10=HS!D10,HS!Q10,"D")</f>
        <v>D</v>
      </c>
      <c r="R10" s="31" t="str">
        <f>IF(E10=HS!E10,HS!R10,"D")</f>
        <v>D</v>
      </c>
      <c r="S10" s="31" t="str">
        <f>IF(F10=HS!F10,HS!S10,"D")</f>
        <v>D</v>
      </c>
      <c r="T10" s="31" t="str">
        <f>IF(G10=HS!G10,HS!T10,"D")</f>
        <v>D</v>
      </c>
      <c r="U10" s="31" t="str">
        <f>IF(H10=HS!H10,HS!U10,"D")</f>
        <v>D</v>
      </c>
      <c r="V10" s="31" t="str">
        <f>IF(I10=HS!I10,HS!V10,"D")</f>
        <v>D</v>
      </c>
      <c r="W10" s="31" t="str">
        <f>IF(J10=HS!J10,HS!W10,"D")</f>
        <v>D</v>
      </c>
      <c r="X10" s="31" t="str">
        <f>IF(K10=HS!K10,HS!X10,"D")</f>
        <v>H</v>
      </c>
    </row>
    <row r="11" spans="1:24" x14ac:dyDescent="0.2">
      <c r="A11">
        <v>11</v>
      </c>
      <c r="B11">
        <f>MAX(Hit!B11,Stand!B11,Double!B11)</f>
        <v>-4.1986836980868178E-2</v>
      </c>
      <c r="C11">
        <f>MAX(Hit!C11,Stand!C11,Double!C11)</f>
        <v>0.47064092333946889</v>
      </c>
      <c r="D11">
        <f>MAX(Hit!D11,Stand!D11,Double!D11)</f>
        <v>0.51779525312221675</v>
      </c>
      <c r="E11">
        <f>MAX(Hit!E11,Stand!E11,Double!E11)</f>
        <v>0.56604055041797607</v>
      </c>
      <c r="F11">
        <f>MAX(Hit!F11,Stand!F11,Double!F11)</f>
        <v>0.61469901790902803</v>
      </c>
      <c r="G11">
        <f>MAX(Hit!G11,Stand!G11,Double!G11)</f>
        <v>0.66738009490756944</v>
      </c>
      <c r="H11">
        <f>MAX(Hit!H11,Stand!H11,Double!H11)</f>
        <v>0.46288894886429077</v>
      </c>
      <c r="I11">
        <f>MAX(Hit!I11,Stand!I11,Double!I11)</f>
        <v>0.35069259087031512</v>
      </c>
      <c r="J11">
        <f>MAX(Hit!J11,Stand!J11,Double!J11)</f>
        <v>0.22778342315245487</v>
      </c>
      <c r="K11">
        <f>MAX(Hit!K11,Stand!K11,Double!K11)</f>
        <v>5.9690795265877464E-2</v>
      </c>
      <c r="N11" s="31">
        <v>11</v>
      </c>
      <c r="O11" s="31" t="str">
        <f>IF(B11=HS!B11,HS!O11,"D")</f>
        <v>H</v>
      </c>
      <c r="P11" s="31" t="str">
        <f>IF(C11=HS!C11,HS!P11,"D")</f>
        <v>D</v>
      </c>
      <c r="Q11" s="31" t="str">
        <f>IF(D11=HS!D11,HS!Q11,"D")</f>
        <v>D</v>
      </c>
      <c r="R11" s="31" t="str">
        <f>IF(E11=HS!E11,HS!R11,"D")</f>
        <v>D</v>
      </c>
      <c r="S11" s="31" t="str">
        <f>IF(F11=HS!F11,HS!S11,"D")</f>
        <v>D</v>
      </c>
      <c r="T11" s="31" t="str">
        <f>IF(G11=HS!G11,HS!T11,"D")</f>
        <v>D</v>
      </c>
      <c r="U11" s="31" t="str">
        <f>IF(H11=HS!H11,HS!U11,"D")</f>
        <v>D</v>
      </c>
      <c r="V11" s="31" t="str">
        <f>IF(I11=HS!I11,HS!V11,"D")</f>
        <v>D</v>
      </c>
      <c r="W11" s="31" t="str">
        <f>IF(J11=HS!J11,HS!W11,"D")</f>
        <v>D</v>
      </c>
      <c r="X11" s="31" t="str">
        <f>IF(K11=HS!K11,HS!X11,"D")</f>
        <v>H</v>
      </c>
    </row>
    <row r="12" spans="1:24" x14ac:dyDescent="0.2">
      <c r="A12">
        <v>12</v>
      </c>
      <c r="B12">
        <f>MAX(Hit!B12,Stand!B12,Double!B12)</f>
        <v>-0.46566058377683939</v>
      </c>
      <c r="C12">
        <f>MAX(Hit!C12,Stand!C12,Double!C12)</f>
        <v>-0.25338998596663809</v>
      </c>
      <c r="D12">
        <f>MAX(Hit!D12,Stand!D12,Double!D12)</f>
        <v>-0.2336908997980866</v>
      </c>
      <c r="E12">
        <f>MAX(Hit!E12,Stand!E12,Double!E12)</f>
        <v>-0.21106310899491437</v>
      </c>
      <c r="F12">
        <f>MAX(Hit!F12,Stand!F12,Double!F12)</f>
        <v>-0.16719266083547524</v>
      </c>
      <c r="G12">
        <f>MAX(Hit!G12,Stand!G12,Double!G12)</f>
        <v>-0.1536990158300045</v>
      </c>
      <c r="H12">
        <f>MAX(Hit!H12,Stand!H12,Double!H12)</f>
        <v>-0.21284771451731424</v>
      </c>
      <c r="I12">
        <f>MAX(Hit!I12,Stand!I12,Double!I12)</f>
        <v>-0.27157480502428616</v>
      </c>
      <c r="J12">
        <f>MAX(Hit!J12,Stand!J12,Double!J12)</f>
        <v>-0.3400132806089356</v>
      </c>
      <c r="K12">
        <f>MAX(Hit!K12,Stand!K12,Double!K12)</f>
        <v>-0.42069618899826788</v>
      </c>
      <c r="N12" s="31">
        <v>12</v>
      </c>
      <c r="O12" s="31" t="str">
        <f>IF(B12=HS!B12,HS!O12,"D")</f>
        <v>H</v>
      </c>
      <c r="P12" s="31" t="str">
        <f>IF(C12=HS!C12,HS!P12,"D")</f>
        <v>H</v>
      </c>
      <c r="Q12" s="31" t="str">
        <f>IF(D12=HS!D12,HS!Q12,"D")</f>
        <v>H</v>
      </c>
      <c r="R12" s="31" t="str">
        <f>IF(E12=HS!E12,HS!R12,"D")</f>
        <v>S</v>
      </c>
      <c r="S12" s="31" t="str">
        <f>IF(F12=HS!F12,HS!S12,"D")</f>
        <v>S</v>
      </c>
      <c r="T12" s="31" t="str">
        <f>IF(G12=HS!G12,HS!T12,"D")</f>
        <v>S</v>
      </c>
      <c r="U12" s="31" t="str">
        <f>IF(H12=HS!H12,HS!U12,"D")</f>
        <v>H</v>
      </c>
      <c r="V12" s="31" t="str">
        <f>IF(I12=HS!I12,HS!V12,"D")</f>
        <v>H</v>
      </c>
      <c r="W12" s="31" t="str">
        <f>IF(J12=HS!J12,HS!W12,"D")</f>
        <v>H</v>
      </c>
      <c r="X12" s="31" t="str">
        <f>IF(K12=HS!K12,HS!X12,"D")</f>
        <v>H</v>
      </c>
    </row>
    <row r="13" spans="1:24" x14ac:dyDescent="0.2">
      <c r="A13">
        <v>13</v>
      </c>
      <c r="B13">
        <f>MAX(Hit!B13,Stand!B13,Double!B13)</f>
        <v>-0.50382768493563657</v>
      </c>
      <c r="C13">
        <f>MAX(Hit!C13,Stand!C13,Double!C13)</f>
        <v>-0.29278372720927726</v>
      </c>
      <c r="D13">
        <f>MAX(Hit!D13,Stand!D13,Double!D13)</f>
        <v>-0.2522502292357135</v>
      </c>
      <c r="E13">
        <f>MAX(Hit!E13,Stand!E13,Double!E13)</f>
        <v>-0.21106310899491437</v>
      </c>
      <c r="F13">
        <f>MAX(Hit!F13,Stand!F13,Double!F13)</f>
        <v>-0.16719266083547524</v>
      </c>
      <c r="G13">
        <f>MAX(Hit!G13,Stand!G13,Double!G13)</f>
        <v>-0.1536990158300045</v>
      </c>
      <c r="H13">
        <f>MAX(Hit!H13,Stand!H13,Double!H13)</f>
        <v>-0.26907287776607752</v>
      </c>
      <c r="I13">
        <f>MAX(Hit!I13,Stand!I13,Double!I13)</f>
        <v>-0.32360517609397998</v>
      </c>
      <c r="J13">
        <f>MAX(Hit!J13,Stand!J13,Double!J13)</f>
        <v>-0.38715518913686875</v>
      </c>
      <c r="K13">
        <f>MAX(Hit!K13,Stand!K13,Double!K13)</f>
        <v>-0.46207503264124877</v>
      </c>
      <c r="N13" s="31">
        <v>13</v>
      </c>
      <c r="O13" s="31" t="str">
        <f>IF(B13=HS!B13,HS!O13,"D")</f>
        <v>H</v>
      </c>
      <c r="P13" s="31" t="str">
        <f>IF(C13=HS!C13,HS!P13,"D")</f>
        <v>S</v>
      </c>
      <c r="Q13" s="31" t="str">
        <f>IF(D13=HS!D13,HS!Q13,"D")</f>
        <v>S</v>
      </c>
      <c r="R13" s="31" t="str">
        <f>IF(E13=HS!E13,HS!R13,"D")</f>
        <v>S</v>
      </c>
      <c r="S13" s="31" t="str">
        <f>IF(F13=HS!F13,HS!S13,"D")</f>
        <v>S</v>
      </c>
      <c r="T13" s="31" t="str">
        <f>IF(G13=HS!G13,HS!T13,"D")</f>
        <v>S</v>
      </c>
      <c r="U13" s="31" t="str">
        <f>IF(H13=HS!H13,HS!U13,"D")</f>
        <v>H</v>
      </c>
      <c r="V13" s="31" t="str">
        <f>IF(I13=HS!I13,HS!V13,"D")</f>
        <v>H</v>
      </c>
      <c r="W13" s="31" t="str">
        <f>IF(J13=HS!J13,HS!W13,"D")</f>
        <v>H</v>
      </c>
      <c r="X13" s="31" t="str">
        <f>IF(K13=HS!K13,HS!X13,"D")</f>
        <v>H</v>
      </c>
    </row>
    <row r="14" spans="1:24" x14ac:dyDescent="0.2">
      <c r="A14">
        <v>14</v>
      </c>
      <c r="B14">
        <f>MAX(Hit!B14,Stand!B14,Double!B14)</f>
        <v>-0.53926856458309114</v>
      </c>
      <c r="C14">
        <f>MAX(Hit!C14,Stand!C14,Double!C14)</f>
        <v>-0.29278372720927726</v>
      </c>
      <c r="D14">
        <f>MAX(Hit!D14,Stand!D14,Double!D14)</f>
        <v>-0.2522502292357135</v>
      </c>
      <c r="E14">
        <f>MAX(Hit!E14,Stand!E14,Double!E14)</f>
        <v>-0.21106310899491437</v>
      </c>
      <c r="F14">
        <f>MAX(Hit!F14,Stand!F14,Double!F14)</f>
        <v>-0.16719266083547524</v>
      </c>
      <c r="G14">
        <f>MAX(Hit!G14,Stand!G14,Double!G14)</f>
        <v>-0.1536990158300045</v>
      </c>
      <c r="H14">
        <f>MAX(Hit!H14,Stand!H14,Double!H14)</f>
        <v>-0.3212819579256434</v>
      </c>
      <c r="I14">
        <f>MAX(Hit!I14,Stand!I14,Double!I14)</f>
        <v>-0.37191909208726714</v>
      </c>
      <c r="J14">
        <f>MAX(Hit!J14,Stand!J14,Double!J14)</f>
        <v>-0.43092981848423528</v>
      </c>
      <c r="K14">
        <f>MAX(Hit!K14,Stand!K14,Double!K14)</f>
        <v>-0.50049824459544523</v>
      </c>
      <c r="N14" s="31">
        <v>14</v>
      </c>
      <c r="O14" s="31" t="str">
        <f>IF(B14=HS!B14,HS!O14,"D")</f>
        <v>H</v>
      </c>
      <c r="P14" s="31" t="str">
        <f>IF(C14=HS!C14,HS!P14,"D")</f>
        <v>S</v>
      </c>
      <c r="Q14" s="31" t="str">
        <f>IF(D14=HS!D14,HS!Q14,"D")</f>
        <v>S</v>
      </c>
      <c r="R14" s="31" t="str">
        <f>IF(E14=HS!E14,HS!R14,"D")</f>
        <v>S</v>
      </c>
      <c r="S14" s="31" t="str">
        <f>IF(F14=HS!F14,HS!S14,"D")</f>
        <v>S</v>
      </c>
      <c r="T14" s="31" t="str">
        <f>IF(G14=HS!G14,HS!T14,"D")</f>
        <v>S</v>
      </c>
      <c r="U14" s="31" t="str">
        <f>IF(H14=HS!H14,HS!U14,"D")</f>
        <v>H</v>
      </c>
      <c r="V14" s="31" t="str">
        <f>IF(I14=HS!I14,HS!V14,"D")</f>
        <v>H</v>
      </c>
      <c r="W14" s="31" t="str">
        <f>IF(J14=HS!J14,HS!W14,"D")</f>
        <v>H</v>
      </c>
      <c r="X14" s="31" t="str">
        <f>IF(K14=HS!K14,HS!X14,"D")</f>
        <v>H</v>
      </c>
    </row>
    <row r="15" spans="1:24" x14ac:dyDescent="0.2">
      <c r="A15">
        <v>15</v>
      </c>
      <c r="B15">
        <f>MAX(Hit!B15,Stand!B15,Double!B15)</f>
        <v>-0.572177952827156</v>
      </c>
      <c r="C15">
        <f>MAX(Hit!C15,Stand!C15,Double!C15)</f>
        <v>-0.29278372720927726</v>
      </c>
      <c r="D15">
        <f>MAX(Hit!D15,Stand!D15,Double!D15)</f>
        <v>-0.2522502292357135</v>
      </c>
      <c r="E15">
        <f>MAX(Hit!E15,Stand!E15,Double!E15)</f>
        <v>-0.21106310899491437</v>
      </c>
      <c r="F15">
        <f>MAX(Hit!F15,Stand!F15,Double!F15)</f>
        <v>-0.16719266083547524</v>
      </c>
      <c r="G15">
        <f>MAX(Hit!G15,Stand!G15,Double!G15)</f>
        <v>-0.1536990158300045</v>
      </c>
      <c r="H15">
        <f>MAX(Hit!H15,Stand!H15,Double!H15)</f>
        <v>-0.36976181807381175</v>
      </c>
      <c r="I15">
        <f>MAX(Hit!I15,Stand!I15,Double!I15)</f>
        <v>-0.41678201408103371</v>
      </c>
      <c r="J15">
        <f>MAX(Hit!J15,Stand!J15,Double!J15)</f>
        <v>-0.47157768859250415</v>
      </c>
      <c r="K15">
        <f>MAX(Hit!K15,Stand!K15,Double!K15)</f>
        <v>-0.53617694141005634</v>
      </c>
      <c r="N15" s="31">
        <v>15</v>
      </c>
      <c r="O15" s="31" t="str">
        <f>IF(B15=HS!B15,HS!O15,"D")</f>
        <v>H</v>
      </c>
      <c r="P15" s="31" t="str">
        <f>IF(C15=HS!C15,HS!P15,"D")</f>
        <v>S</v>
      </c>
      <c r="Q15" s="31" t="str">
        <f>IF(D15=HS!D15,HS!Q15,"D")</f>
        <v>S</v>
      </c>
      <c r="R15" s="31" t="str">
        <f>IF(E15=HS!E15,HS!R15,"D")</f>
        <v>S</v>
      </c>
      <c r="S15" s="31" t="str">
        <f>IF(F15=HS!F15,HS!S15,"D")</f>
        <v>S</v>
      </c>
      <c r="T15" s="31" t="str">
        <f>IF(G15=HS!G15,HS!T15,"D")</f>
        <v>S</v>
      </c>
      <c r="U15" s="31" t="str">
        <f>IF(H15=HS!H15,HS!U15,"D")</f>
        <v>H</v>
      </c>
      <c r="V15" s="31" t="str">
        <f>IF(I15=HS!I15,HS!V15,"D")</f>
        <v>H</v>
      </c>
      <c r="W15" s="31" t="str">
        <f>IF(J15=HS!J15,HS!W15,"D")</f>
        <v>H</v>
      </c>
      <c r="X15" s="31" t="str">
        <f>IF(K15=HS!K15,HS!X15,"D")</f>
        <v>H</v>
      </c>
    </row>
    <row r="16" spans="1:24" x14ac:dyDescent="0.2">
      <c r="A16">
        <v>16</v>
      </c>
      <c r="B16">
        <f>MAX(Hit!B16,Stand!B16,Double!B16)</f>
        <v>-0.57578184676460165</v>
      </c>
      <c r="C16">
        <f>MAX(Hit!C16,Stand!C16,Double!C16)</f>
        <v>-0.29278372720927726</v>
      </c>
      <c r="D16">
        <f>MAX(Hit!D16,Stand!D16,Double!D16)</f>
        <v>-0.2522502292357135</v>
      </c>
      <c r="E16">
        <f>MAX(Hit!E16,Stand!E16,Double!E16)</f>
        <v>-0.21106310899491437</v>
      </c>
      <c r="F16">
        <f>MAX(Hit!F16,Stand!F16,Double!F16)</f>
        <v>-0.16719266083547524</v>
      </c>
      <c r="G16">
        <f>MAX(Hit!G16,Stand!G16,Double!G16)</f>
        <v>-0.1536990158300045</v>
      </c>
      <c r="H16">
        <f>MAX(Hit!H16,Stand!H16,Double!H16)</f>
        <v>-0.41477883106853947</v>
      </c>
      <c r="I16">
        <f>MAX(Hit!I16,Stand!I16,Double!I16)</f>
        <v>-0.45844044164667419</v>
      </c>
      <c r="J16">
        <f>MAX(Hit!J16,Stand!J16,Double!J16)</f>
        <v>-0.50932213940732529</v>
      </c>
      <c r="K16">
        <f>MAX(Hit!K16,Stand!K16,Double!K16)</f>
        <v>-0.56930715988076652</v>
      </c>
      <c r="N16" s="31">
        <v>16</v>
      </c>
      <c r="O16" s="31" t="str">
        <f>IF(B16=HS!B16,HS!O16,"D")</f>
        <v>S</v>
      </c>
      <c r="P16" s="31" t="str">
        <f>IF(C16=HS!C16,HS!P16,"D")</f>
        <v>S</v>
      </c>
      <c r="Q16" s="31" t="str">
        <f>IF(D16=HS!D16,HS!Q16,"D")</f>
        <v>S</v>
      </c>
      <c r="R16" s="31" t="str">
        <f>IF(E16=HS!E16,HS!R16,"D")</f>
        <v>S</v>
      </c>
      <c r="S16" s="31" t="str">
        <f>IF(F16=HS!F16,HS!S16,"D")</f>
        <v>S</v>
      </c>
      <c r="T16" s="31" t="str">
        <f>IF(G16=HS!G16,HS!T16,"D")</f>
        <v>S</v>
      </c>
      <c r="U16" s="31" t="str">
        <f>IF(H16=HS!H16,HS!U16,"D")</f>
        <v>H</v>
      </c>
      <c r="V16" s="31" t="str">
        <f>IF(I16=HS!I16,HS!V16,"D")</f>
        <v>H</v>
      </c>
      <c r="W16" s="31" t="str">
        <f>IF(J16=HS!J16,HS!W16,"D")</f>
        <v>H</v>
      </c>
      <c r="X16" s="31" t="str">
        <f>IF(K16=HS!K16,HS!X16,"D")</f>
        <v>H</v>
      </c>
    </row>
    <row r="17" spans="1:24" x14ac:dyDescent="0.2">
      <c r="A17">
        <v>17</v>
      </c>
      <c r="B17">
        <f>MAX(Hit!B17,Stand!B17,Double!B17)</f>
        <v>-0.46435750824198752</v>
      </c>
      <c r="C17">
        <f>MAX(Hit!C17,Stand!C17,Double!C17)</f>
        <v>-0.15297458768154204</v>
      </c>
      <c r="D17">
        <f>MAX(Hit!D17,Stand!D17,Double!D17)</f>
        <v>-0.11721624142457365</v>
      </c>
      <c r="E17">
        <f>MAX(Hit!E17,Stand!E17,Double!E17)</f>
        <v>-8.0573373145316152E-2</v>
      </c>
      <c r="F17">
        <f>MAX(Hit!F17,Stand!F17,Double!F17)</f>
        <v>-4.4941375564924446E-2</v>
      </c>
      <c r="G17">
        <f>MAX(Hit!G17,Stand!G17,Double!G17)</f>
        <v>1.1739160673341853E-2</v>
      </c>
      <c r="H17">
        <f>MAX(Hit!H17,Stand!H17,Double!H17)</f>
        <v>-0.10680898948269468</v>
      </c>
      <c r="I17">
        <f>MAX(Hit!I17,Stand!I17,Double!I17)</f>
        <v>-0.38195097104844711</v>
      </c>
      <c r="J17">
        <f>MAX(Hit!J17,Stand!J17,Double!J17)</f>
        <v>-0.42315423964521737</v>
      </c>
      <c r="K17">
        <f>MAX(Hit!K17,Stand!K17,Double!K17)</f>
        <v>-0.46435750824198763</v>
      </c>
      <c r="N17" s="31">
        <v>17</v>
      </c>
      <c r="O17" s="31" t="str">
        <f>IF(B17=HS!B17,HS!O17,"D")</f>
        <v>S</v>
      </c>
      <c r="P17" s="31" t="str">
        <f>IF(C17=HS!C17,HS!P17,"D")</f>
        <v>S</v>
      </c>
      <c r="Q17" s="31" t="str">
        <f>IF(D17=HS!D17,HS!Q17,"D")</f>
        <v>S</v>
      </c>
      <c r="R17" s="31" t="str">
        <f>IF(E17=HS!E17,HS!R17,"D")</f>
        <v>S</v>
      </c>
      <c r="S17" s="31" t="str">
        <f>IF(F17=HS!F17,HS!S17,"D")</f>
        <v>S</v>
      </c>
      <c r="T17" s="31" t="str">
        <f>IF(G17=HS!G17,HS!T17,"D")</f>
        <v>S</v>
      </c>
      <c r="U17" s="31" t="str">
        <f>IF(H17=HS!H17,HS!U17,"D")</f>
        <v>S</v>
      </c>
      <c r="V17" s="31" t="str">
        <f>IF(I17=HS!I17,HS!V17,"D")</f>
        <v>S</v>
      </c>
      <c r="W17" s="31" t="str">
        <f>IF(J17=HS!J17,HS!W17,"D")</f>
        <v>S</v>
      </c>
      <c r="X17" s="31" t="str">
        <f>IF(K17=HS!K17,HS!X17,"D")</f>
        <v>S</v>
      </c>
    </row>
    <row r="18" spans="1:24" x14ac:dyDescent="0.2">
      <c r="A18">
        <v>18</v>
      </c>
      <c r="B18">
        <f>MAX(Hit!B18,Stand!B18,Double!B18)</f>
        <v>-0.24150883119675959</v>
      </c>
      <c r="C18">
        <f>MAX(Hit!C18,Stand!C18,Double!C18)</f>
        <v>0.12174190222088771</v>
      </c>
      <c r="D18">
        <f>MAX(Hit!D18,Stand!D18,Double!D18)</f>
        <v>0.14830007284131119</v>
      </c>
      <c r="E18">
        <f>MAX(Hit!E18,Stand!E18,Double!E18)</f>
        <v>0.17585443719748528</v>
      </c>
      <c r="F18">
        <f>MAX(Hit!F18,Stand!F18,Double!F18)</f>
        <v>0.19956119497617719</v>
      </c>
      <c r="G18">
        <f>MAX(Hit!G18,Stand!G18,Double!G18)</f>
        <v>0.28344391604689856</v>
      </c>
      <c r="H18">
        <f>MAX(Hit!H18,Stand!H18,Double!H18)</f>
        <v>0.3995541673365518</v>
      </c>
      <c r="I18">
        <f>MAX(Hit!I18,Stand!I18,Double!I18)</f>
        <v>0.10595134861912359</v>
      </c>
      <c r="J18">
        <f>MAX(Hit!J18,Stand!J18,Double!J18)</f>
        <v>-0.18316335667343331</v>
      </c>
      <c r="K18">
        <f>MAX(Hit!K18,Stand!K18,Double!K18)</f>
        <v>-0.24150883119675959</v>
      </c>
      <c r="N18" s="31">
        <v>18</v>
      </c>
      <c r="O18" s="31" t="str">
        <f>IF(B18=HS!B18,HS!O18,"D")</f>
        <v>S</v>
      </c>
      <c r="P18" s="31" t="str">
        <f>IF(C18=HS!C18,HS!P18,"D")</f>
        <v>S</v>
      </c>
      <c r="Q18" s="31" t="str">
        <f>IF(D18=HS!D18,HS!Q18,"D")</f>
        <v>S</v>
      </c>
      <c r="R18" s="31" t="str">
        <f>IF(E18=HS!E18,HS!R18,"D")</f>
        <v>S</v>
      </c>
      <c r="S18" s="31" t="str">
        <f>IF(F18=HS!F18,HS!S18,"D")</f>
        <v>S</v>
      </c>
      <c r="T18" s="31" t="str">
        <f>IF(G18=HS!G18,HS!T18,"D")</f>
        <v>S</v>
      </c>
      <c r="U18" s="31" t="str">
        <f>IF(H18=HS!H18,HS!U18,"D")</f>
        <v>S</v>
      </c>
      <c r="V18" s="31" t="str">
        <f>IF(I18=HS!I18,HS!V18,"D")</f>
        <v>S</v>
      </c>
      <c r="W18" s="31" t="str">
        <f>IF(J18=HS!J18,HS!W18,"D")</f>
        <v>S</v>
      </c>
      <c r="X18" s="31" t="str">
        <f>IF(K18=HS!K18,HS!X18,"D")</f>
        <v>S</v>
      </c>
    </row>
    <row r="19" spans="1:24" x14ac:dyDescent="0.2">
      <c r="A19">
        <v>19</v>
      </c>
      <c r="B19">
        <f>MAX(Hit!B19,Stand!B19,Double!B19)</f>
        <v>-1.8660154151531549E-2</v>
      </c>
      <c r="C19">
        <f>MAX(Hit!C19,Stand!C19,Double!C19)</f>
        <v>0.38630468602058987</v>
      </c>
      <c r="D19">
        <f>MAX(Hit!D19,Stand!D19,Double!D19)</f>
        <v>0.40436293659776001</v>
      </c>
      <c r="E19">
        <f>MAX(Hit!E19,Stand!E19,Double!E19)</f>
        <v>0.42317892482749647</v>
      </c>
      <c r="F19">
        <f>MAX(Hit!F19,Stand!F19,Double!F19)</f>
        <v>0.43951210416088371</v>
      </c>
      <c r="G19">
        <f>MAX(Hit!G19,Stand!G19,Double!G19)</f>
        <v>0.49597707378731909</v>
      </c>
      <c r="H19">
        <f>MAX(Hit!H19,Stand!H19,Double!H19)</f>
        <v>0.6159764957534315</v>
      </c>
      <c r="I19">
        <f>MAX(Hit!I19,Stand!I19,Double!I19)</f>
        <v>0.5938536682866945</v>
      </c>
      <c r="J19">
        <f>MAX(Hit!J19,Stand!J19,Double!J19)</f>
        <v>0.28759675706758142</v>
      </c>
      <c r="K19">
        <f>MAX(Hit!K19,Stand!K19,Double!K19)</f>
        <v>-1.8660154151531536E-2</v>
      </c>
      <c r="N19" s="31">
        <v>19</v>
      </c>
      <c r="O19" s="31" t="str">
        <f>IF(B19=HS!B19,HS!O19,"D")</f>
        <v>S</v>
      </c>
      <c r="P19" s="31" t="str">
        <f>IF(C19=HS!C19,HS!P19,"D")</f>
        <v>S</v>
      </c>
      <c r="Q19" s="31" t="str">
        <f>IF(D19=HS!D19,HS!Q19,"D")</f>
        <v>S</v>
      </c>
      <c r="R19" s="31" t="str">
        <f>IF(E19=HS!E19,HS!R19,"D")</f>
        <v>S</v>
      </c>
      <c r="S19" s="31" t="str">
        <f>IF(F19=HS!F19,HS!S19,"D")</f>
        <v>S</v>
      </c>
      <c r="T19" s="31" t="str">
        <f>IF(G19=HS!G19,HS!T19,"D")</f>
        <v>S</v>
      </c>
      <c r="U19" s="31" t="str">
        <f>IF(H19=HS!H19,HS!U19,"D")</f>
        <v>S</v>
      </c>
      <c r="V19" s="31" t="str">
        <f>IF(I19=HS!I19,HS!V19,"D")</f>
        <v>S</v>
      </c>
      <c r="W19" s="31" t="str">
        <f>IF(J19=HS!J19,HS!W19,"D")</f>
        <v>S</v>
      </c>
      <c r="X19" s="31" t="str">
        <f>IF(K19=HS!K19,HS!X19,"D")</f>
        <v>S</v>
      </c>
    </row>
    <row r="20" spans="1:24" x14ac:dyDescent="0.2">
      <c r="A20">
        <v>20</v>
      </c>
      <c r="B20">
        <f>MAX(Hit!B20,Stand!B20,Double!B20)</f>
        <v>0.20418852289369649</v>
      </c>
      <c r="C20">
        <f>MAX(Hit!C20,Stand!C20,Double!C20)</f>
        <v>0.63998657521683877</v>
      </c>
      <c r="D20">
        <f>MAX(Hit!D20,Stand!D20,Double!D20)</f>
        <v>0.65027209425148136</v>
      </c>
      <c r="E20">
        <f>MAX(Hit!E20,Stand!E20,Double!E20)</f>
        <v>0.66104996194807186</v>
      </c>
      <c r="F20">
        <f>MAX(Hit!F20,Stand!F20,Double!F20)</f>
        <v>0.67035969063279999</v>
      </c>
      <c r="G20">
        <f>MAX(Hit!G20,Stand!G20,Double!G20)</f>
        <v>0.70395857017134467</v>
      </c>
      <c r="H20">
        <f>MAX(Hit!H20,Stand!H20,Double!H20)</f>
        <v>0.77322722653717491</v>
      </c>
      <c r="I20">
        <f>MAX(Hit!I20,Stand!I20,Double!I20)</f>
        <v>0.79181515955189841</v>
      </c>
      <c r="J20">
        <f>MAX(Hit!J20,Stand!J20,Double!J20)</f>
        <v>0.75835687080859626</v>
      </c>
      <c r="K20">
        <f>MAX(Hit!K20,Stand!K20,Double!K20)</f>
        <v>0.43495775366292722</v>
      </c>
      <c r="N20" s="31">
        <v>20</v>
      </c>
      <c r="O20" s="31" t="str">
        <f>IF(B20=HS!B20,HS!O20,"D")</f>
        <v>S</v>
      </c>
      <c r="P20" s="31" t="str">
        <f>IF(C20=HS!C20,HS!P20,"D")</f>
        <v>S</v>
      </c>
      <c r="Q20" s="31" t="str">
        <f>IF(D20=HS!D20,HS!Q20,"D")</f>
        <v>S</v>
      </c>
      <c r="R20" s="31" t="str">
        <f>IF(E20=HS!E20,HS!R20,"D")</f>
        <v>S</v>
      </c>
      <c r="S20" s="31" t="str">
        <f>IF(F20=HS!F20,HS!S20,"D")</f>
        <v>S</v>
      </c>
      <c r="T20" s="31" t="str">
        <f>IF(G20=HS!G20,HS!T20,"D")</f>
        <v>S</v>
      </c>
      <c r="U20" s="31" t="str">
        <f>IF(H20=HS!H20,HS!U20,"D")</f>
        <v>S</v>
      </c>
      <c r="V20" s="31" t="str">
        <f>IF(I20=HS!I20,HS!V20,"D")</f>
        <v>S</v>
      </c>
      <c r="W20" s="31" t="str">
        <f>IF(J20=HS!J20,HS!W20,"D")</f>
        <v>S</v>
      </c>
      <c r="X20" s="31" t="str">
        <f>IF(K20=HS!K20,HS!X20,"D")</f>
        <v>S</v>
      </c>
    </row>
    <row r="21" spans="1:24" x14ac:dyDescent="0.2">
      <c r="A21">
        <v>21</v>
      </c>
      <c r="B21">
        <f>MAX(Hit!B21,Stand!B21,Double!B21)</f>
        <v>0.65780643070815525</v>
      </c>
      <c r="C21">
        <f>MAX(Hit!C21,Stand!C21,Double!C21)</f>
        <v>0.88200651549403997</v>
      </c>
      <c r="D21">
        <f>MAX(Hit!D21,Stand!D21,Double!D21)</f>
        <v>0.88530035730174927</v>
      </c>
      <c r="E21">
        <f>MAX(Hit!E21,Stand!E21,Double!E21)</f>
        <v>0.88876729296591961</v>
      </c>
      <c r="F21">
        <f>MAX(Hit!F21,Stand!F21,Double!F21)</f>
        <v>0.89175382659528035</v>
      </c>
      <c r="G21">
        <f>MAX(Hit!G21,Stand!G21,Double!G21)</f>
        <v>0.90283674384257995</v>
      </c>
      <c r="H21">
        <f>MAX(Hit!H21,Stand!H21,Double!H21)</f>
        <v>0.92592629596452325</v>
      </c>
      <c r="I21">
        <f>MAX(Hit!I21,Stand!I21,Double!I21)</f>
        <v>0.93060505318396614</v>
      </c>
      <c r="J21">
        <f>MAX(Hit!J21,Stand!J21,Double!J21)</f>
        <v>0.93917615614724415</v>
      </c>
      <c r="K21">
        <f>MAX(Hit!K21,Stand!K21,Double!K21)</f>
        <v>0.88857566147738598</v>
      </c>
      <c r="N21" s="31">
        <v>21</v>
      </c>
      <c r="O21" s="31" t="str">
        <f>IF(B21=HS!B21,HS!O21,"D")</f>
        <v>S</v>
      </c>
      <c r="P21" s="31" t="str">
        <f>IF(C21=HS!C21,HS!P21,"D")</f>
        <v>S</v>
      </c>
      <c r="Q21" s="31" t="str">
        <f>IF(D21=HS!D21,HS!Q21,"D")</f>
        <v>S</v>
      </c>
      <c r="R21" s="31" t="str">
        <f>IF(E21=HS!E21,HS!R21,"D")</f>
        <v>S</v>
      </c>
      <c r="S21" s="31" t="str">
        <f>IF(F21=HS!F21,HS!S21,"D")</f>
        <v>S</v>
      </c>
      <c r="T21" s="31" t="str">
        <f>IF(G21=HS!G21,HS!T21,"D")</f>
        <v>S</v>
      </c>
      <c r="U21" s="31" t="str">
        <f>IF(H21=HS!H21,HS!U21,"D")</f>
        <v>S</v>
      </c>
      <c r="V21" s="31" t="str">
        <f>IF(I21=HS!I21,HS!V21,"D")</f>
        <v>S</v>
      </c>
      <c r="W21" s="31" t="str">
        <f>IF(J21=HS!J21,HS!W21,"D")</f>
        <v>S</v>
      </c>
      <c r="X21" s="31" t="str">
        <f>IF(K21=HS!K21,HS!X21,"D")</f>
        <v>S</v>
      </c>
    </row>
    <row r="22" spans="1:24" x14ac:dyDescent="0.2">
      <c r="A22">
        <v>22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31">
        <v>22</v>
      </c>
      <c r="O22" s="31" t="str">
        <f>IF(B22=HS!B22,HS!O22,"D")</f>
        <v>S</v>
      </c>
      <c r="P22" s="31" t="str">
        <f>IF(C22=HS!C22,HS!P22,"D")</f>
        <v>S</v>
      </c>
      <c r="Q22" s="31" t="str">
        <f>IF(D22=HS!D22,HS!Q22,"D")</f>
        <v>S</v>
      </c>
      <c r="R22" s="31" t="str">
        <f>IF(E22=HS!E22,HS!R22,"D")</f>
        <v>S</v>
      </c>
      <c r="S22" s="31" t="str">
        <f>IF(F22=HS!F22,HS!S22,"D")</f>
        <v>S</v>
      </c>
      <c r="T22" s="31" t="str">
        <f>IF(G22=HS!G22,HS!T22,"D")</f>
        <v>S</v>
      </c>
      <c r="U22" s="31" t="str">
        <f>IF(H22=HS!H22,HS!U22,"D")</f>
        <v>S</v>
      </c>
      <c r="V22" s="31" t="str">
        <f>IF(I22=HS!I22,HS!V22,"D")</f>
        <v>S</v>
      </c>
      <c r="W22" s="31" t="str">
        <f>IF(J22=HS!J22,HS!W22,"D")</f>
        <v>S</v>
      </c>
      <c r="X22" s="31" t="str">
        <f>IF(K22=HS!K22,HS!X22,"D")</f>
        <v>S</v>
      </c>
    </row>
    <row r="23" spans="1:24" x14ac:dyDescent="0.2">
      <c r="A23">
        <v>23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31">
        <v>23</v>
      </c>
      <c r="O23" s="31" t="str">
        <f>IF(B23=HS!B23,HS!O23,"D")</f>
        <v>S</v>
      </c>
      <c r="P23" s="31" t="str">
        <f>IF(C23=HS!C23,HS!P23,"D")</f>
        <v>S</v>
      </c>
      <c r="Q23" s="31" t="str">
        <f>IF(D23=HS!D23,HS!Q23,"D")</f>
        <v>S</v>
      </c>
      <c r="R23" s="31" t="str">
        <f>IF(E23=HS!E23,HS!R23,"D")</f>
        <v>S</v>
      </c>
      <c r="S23" s="31" t="str">
        <f>IF(F23=HS!F23,HS!S23,"D")</f>
        <v>S</v>
      </c>
      <c r="T23" s="31" t="str">
        <f>IF(G23=HS!G23,HS!T23,"D")</f>
        <v>S</v>
      </c>
      <c r="U23" s="31" t="str">
        <f>IF(H23=HS!H23,HS!U23,"D")</f>
        <v>S</v>
      </c>
      <c r="V23" s="31" t="str">
        <f>IF(I23=HS!I23,HS!V23,"D")</f>
        <v>S</v>
      </c>
      <c r="W23" s="31" t="str">
        <f>IF(J23=HS!J23,HS!W23,"D")</f>
        <v>S</v>
      </c>
      <c r="X23" s="31" t="str">
        <f>IF(K23=HS!K23,HS!X23,"D")</f>
        <v>S</v>
      </c>
    </row>
    <row r="24" spans="1:24" x14ac:dyDescent="0.2">
      <c r="A24">
        <v>24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31">
        <v>24</v>
      </c>
      <c r="O24" s="31" t="str">
        <f>IF(B24=HS!B24,HS!O24,"D")</f>
        <v>S</v>
      </c>
      <c r="P24" s="31" t="str">
        <f>IF(C24=HS!C24,HS!P24,"D")</f>
        <v>S</v>
      </c>
      <c r="Q24" s="31" t="str">
        <f>IF(D24=HS!D24,HS!Q24,"D")</f>
        <v>S</v>
      </c>
      <c r="R24" s="31" t="str">
        <f>IF(E24=HS!E24,HS!R24,"D")</f>
        <v>S</v>
      </c>
      <c r="S24" s="31" t="str">
        <f>IF(F24=HS!F24,HS!S24,"D")</f>
        <v>S</v>
      </c>
      <c r="T24" s="31" t="str">
        <f>IF(G24=HS!G24,HS!T24,"D")</f>
        <v>S</v>
      </c>
      <c r="U24" s="31" t="str">
        <f>IF(H24=HS!H24,HS!U24,"D")</f>
        <v>S</v>
      </c>
      <c r="V24" s="31" t="str">
        <f>IF(I24=HS!I24,HS!V24,"D")</f>
        <v>S</v>
      </c>
      <c r="W24" s="31" t="str">
        <f>IF(J24=HS!J24,HS!W24,"D")</f>
        <v>S</v>
      </c>
      <c r="X24" s="31" t="str">
        <f>IF(K24=HS!K24,HS!X24,"D")</f>
        <v>S</v>
      </c>
    </row>
    <row r="25" spans="1:24" x14ac:dyDescent="0.2">
      <c r="A25">
        <v>25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31">
        <v>25</v>
      </c>
      <c r="O25" s="31" t="str">
        <f>IF(B25=HS!B25,HS!O25,"D")</f>
        <v>S</v>
      </c>
      <c r="P25" s="31" t="str">
        <f>IF(C25=HS!C25,HS!P25,"D")</f>
        <v>S</v>
      </c>
      <c r="Q25" s="31" t="str">
        <f>IF(D25=HS!D25,HS!Q25,"D")</f>
        <v>S</v>
      </c>
      <c r="R25" s="31" t="str">
        <f>IF(E25=HS!E25,HS!R25,"D")</f>
        <v>S</v>
      </c>
      <c r="S25" s="31" t="str">
        <f>IF(F25=HS!F25,HS!S25,"D")</f>
        <v>S</v>
      </c>
      <c r="T25" s="31" t="str">
        <f>IF(G25=HS!G25,HS!T25,"D")</f>
        <v>S</v>
      </c>
      <c r="U25" s="31" t="str">
        <f>IF(H25=HS!H25,HS!U25,"D")</f>
        <v>S</v>
      </c>
      <c r="V25" s="31" t="str">
        <f>IF(I25=HS!I25,HS!V25,"D")</f>
        <v>S</v>
      </c>
      <c r="W25" s="31" t="str">
        <f>IF(J25=HS!J25,HS!W25,"D")</f>
        <v>S</v>
      </c>
      <c r="X25" s="31" t="str">
        <f>IF(K25=HS!K25,HS!X25,"D")</f>
        <v>S</v>
      </c>
    </row>
    <row r="26" spans="1:24" x14ac:dyDescent="0.2">
      <c r="A26">
        <v>26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31">
        <v>26</v>
      </c>
      <c r="O26" s="31" t="str">
        <f>IF(B26=HS!B26,HS!O26,"D")</f>
        <v>S</v>
      </c>
      <c r="P26" s="31" t="str">
        <f>IF(C26=HS!C26,HS!P26,"D")</f>
        <v>S</v>
      </c>
      <c r="Q26" s="31" t="str">
        <f>IF(D26=HS!D26,HS!Q26,"D")</f>
        <v>S</v>
      </c>
      <c r="R26" s="31" t="str">
        <f>IF(E26=HS!E26,HS!R26,"D")</f>
        <v>S</v>
      </c>
      <c r="S26" s="31" t="str">
        <f>IF(F26=HS!F26,HS!S26,"D")</f>
        <v>S</v>
      </c>
      <c r="T26" s="31" t="str">
        <f>IF(G26=HS!G26,HS!T26,"D")</f>
        <v>S</v>
      </c>
      <c r="U26" s="31" t="str">
        <f>IF(H26=HS!H26,HS!U26,"D")</f>
        <v>S</v>
      </c>
      <c r="V26" s="31" t="str">
        <f>IF(I26=HS!I26,HS!V26,"D")</f>
        <v>S</v>
      </c>
      <c r="W26" s="31" t="str">
        <f>IF(J26=HS!J26,HS!W26,"D")</f>
        <v>S</v>
      </c>
      <c r="X26" s="31" t="str">
        <f>IF(K26=HS!K26,HS!X26,"D")</f>
        <v>S</v>
      </c>
    </row>
    <row r="27" spans="1:24" x14ac:dyDescent="0.2">
      <c r="A27">
        <v>27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31">
        <v>27</v>
      </c>
      <c r="O27" s="31" t="str">
        <f>IF(B27=HS!B27,HS!O27,"D")</f>
        <v>S</v>
      </c>
      <c r="P27" s="31" t="str">
        <f>IF(C27=HS!C27,HS!P27,"D")</f>
        <v>S</v>
      </c>
      <c r="Q27" s="31" t="str">
        <f>IF(D27=HS!D27,HS!Q27,"D")</f>
        <v>S</v>
      </c>
      <c r="R27" s="31" t="str">
        <f>IF(E27=HS!E27,HS!R27,"D")</f>
        <v>S</v>
      </c>
      <c r="S27" s="31" t="str">
        <f>IF(F27=HS!F27,HS!S27,"D")</f>
        <v>S</v>
      </c>
      <c r="T27" s="31" t="str">
        <f>IF(G27=HS!G27,HS!T27,"D")</f>
        <v>S</v>
      </c>
      <c r="U27" s="31" t="str">
        <f>IF(H27=HS!H27,HS!U27,"D")</f>
        <v>S</v>
      </c>
      <c r="V27" s="31" t="str">
        <f>IF(I27=HS!I27,HS!V27,"D")</f>
        <v>S</v>
      </c>
      <c r="W27" s="31" t="str">
        <f>IF(J27=HS!J27,HS!W27,"D")</f>
        <v>S</v>
      </c>
      <c r="X27" s="31" t="str">
        <f>IF(K27=HS!K27,HS!X27,"D")</f>
        <v>S</v>
      </c>
    </row>
    <row r="28" spans="1:24" x14ac:dyDescent="0.2">
      <c r="A28">
        <v>28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31">
        <v>28</v>
      </c>
      <c r="O28" s="31" t="str">
        <f>IF(B28=HS!B28,HS!O28,"D")</f>
        <v>S</v>
      </c>
      <c r="P28" s="31" t="str">
        <f>IF(C28=HS!C28,HS!P28,"D")</f>
        <v>S</v>
      </c>
      <c r="Q28" s="31" t="str">
        <f>IF(D28=HS!D28,HS!Q28,"D")</f>
        <v>S</v>
      </c>
      <c r="R28" s="31" t="str">
        <f>IF(E28=HS!E28,HS!R28,"D")</f>
        <v>S</v>
      </c>
      <c r="S28" s="31" t="str">
        <f>IF(F28=HS!F28,HS!S28,"D")</f>
        <v>S</v>
      </c>
      <c r="T28" s="31" t="str">
        <f>IF(G28=HS!G28,HS!T28,"D")</f>
        <v>S</v>
      </c>
      <c r="U28" s="31" t="str">
        <f>IF(H28=HS!H28,HS!U28,"D")</f>
        <v>S</v>
      </c>
      <c r="V28" s="31" t="str">
        <f>IF(I28=HS!I28,HS!V28,"D")</f>
        <v>S</v>
      </c>
      <c r="W28" s="31" t="str">
        <f>IF(J28=HS!J28,HS!W28,"D")</f>
        <v>S</v>
      </c>
      <c r="X28" s="31" t="str">
        <f>IF(K28=HS!K28,HS!X28,"D")</f>
        <v>S</v>
      </c>
    </row>
    <row r="29" spans="1:24" x14ac:dyDescent="0.2">
      <c r="A29">
        <v>29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31">
        <v>29</v>
      </c>
      <c r="O29" s="31" t="str">
        <f>IF(B29=HS!B29,HS!O29,"D")</f>
        <v>S</v>
      </c>
      <c r="P29" s="31" t="str">
        <f>IF(C29=HS!C29,HS!P29,"D")</f>
        <v>S</v>
      </c>
      <c r="Q29" s="31" t="str">
        <f>IF(D29=HS!D29,HS!Q29,"D")</f>
        <v>S</v>
      </c>
      <c r="R29" s="31" t="str">
        <f>IF(E29=HS!E29,HS!R29,"D")</f>
        <v>S</v>
      </c>
      <c r="S29" s="31" t="str">
        <f>IF(F29=HS!F29,HS!S29,"D")</f>
        <v>S</v>
      </c>
      <c r="T29" s="31" t="str">
        <f>IF(G29=HS!G29,HS!T29,"D")</f>
        <v>S</v>
      </c>
      <c r="U29" s="31" t="str">
        <f>IF(H29=HS!H29,HS!U29,"D")</f>
        <v>S</v>
      </c>
      <c r="V29" s="31" t="str">
        <f>IF(I29=HS!I29,HS!V29,"D")</f>
        <v>S</v>
      </c>
      <c r="W29" s="31" t="str">
        <f>IF(J29=HS!J29,HS!W29,"D")</f>
        <v>S</v>
      </c>
      <c r="X29" s="31" t="str">
        <f>IF(K29=HS!K29,HS!X29,"D")</f>
        <v>S</v>
      </c>
    </row>
    <row r="30" spans="1:24" x14ac:dyDescent="0.2">
      <c r="A30">
        <v>30</v>
      </c>
      <c r="B30">
        <f>MAX(Hit!B30,Stand!B30,Double!B30)</f>
        <v>-1</v>
      </c>
      <c r="C30">
        <f>MAX(Hit!C30,Stand!C30,Double!C30)</f>
        <v>-1</v>
      </c>
      <c r="D30">
        <f>MAX(Hit!D30,Stand!D30,Double!D30)</f>
        <v>-1</v>
      </c>
      <c r="E30">
        <f>MAX(Hit!E30,Stand!E30,Double!E30)</f>
        <v>-1</v>
      </c>
      <c r="F30">
        <f>MAX(Hit!F30,Stand!F30,Double!F30)</f>
        <v>-1</v>
      </c>
      <c r="G30">
        <f>MAX(Hit!G30,Stand!G30,Double!G30)</f>
        <v>-1</v>
      </c>
      <c r="H30">
        <f>MAX(Hit!H30,Stand!H30,Double!H30)</f>
        <v>-1</v>
      </c>
      <c r="I30">
        <f>MAX(Hit!I30,Stand!I30,Double!I30)</f>
        <v>-1</v>
      </c>
      <c r="J30">
        <f>MAX(Hit!J30,Stand!J30,Double!J30)</f>
        <v>-1</v>
      </c>
      <c r="K30">
        <f>MAX(Hit!K30,Stand!K30,Double!K30)</f>
        <v>-1</v>
      </c>
      <c r="N30" s="31">
        <v>30</v>
      </c>
      <c r="O30" s="31" t="str">
        <f>IF(B30=HS!B30,HS!O30,"D")</f>
        <v>S</v>
      </c>
      <c r="P30" s="31" t="str">
        <f>IF(C30=HS!C30,HS!P30,"D")</f>
        <v>S</v>
      </c>
      <c r="Q30" s="31" t="str">
        <f>IF(D30=HS!D30,HS!Q30,"D")</f>
        <v>S</v>
      </c>
      <c r="R30" s="31" t="str">
        <f>IF(E30=HS!E30,HS!R30,"D")</f>
        <v>S</v>
      </c>
      <c r="S30" s="31" t="str">
        <f>IF(F30=HS!F30,HS!S30,"D")</f>
        <v>S</v>
      </c>
      <c r="T30" s="31" t="str">
        <f>IF(G30=HS!G30,HS!T30,"D")</f>
        <v>S</v>
      </c>
      <c r="U30" s="31" t="str">
        <f>IF(H30=HS!H30,HS!U30,"D")</f>
        <v>S</v>
      </c>
      <c r="V30" s="31" t="str">
        <f>IF(I30=HS!I30,HS!V30,"D")</f>
        <v>S</v>
      </c>
      <c r="W30" s="31" t="str">
        <f>IF(J30=HS!J30,HS!W30,"D")</f>
        <v>S</v>
      </c>
      <c r="X30" s="31" t="str">
        <f>IF(K30=HS!K30,HS!X30,"D")</f>
        <v>S</v>
      </c>
    </row>
    <row r="31" spans="1:24" x14ac:dyDescent="0.2">
      <c r="A31">
        <v>31</v>
      </c>
      <c r="B31">
        <f>MAX(Hit!B31,Stand!B31,Double!B31)</f>
        <v>-1</v>
      </c>
      <c r="C31">
        <f>MAX(Hit!C31,Stand!C31,Double!C31)</f>
        <v>-1</v>
      </c>
      <c r="D31">
        <f>MAX(Hit!D31,Stand!D31,Double!D31)</f>
        <v>-1</v>
      </c>
      <c r="E31">
        <f>MAX(Hit!E31,Stand!E31,Double!E31)</f>
        <v>-1</v>
      </c>
      <c r="F31">
        <f>MAX(Hit!F31,Stand!F31,Double!F31)</f>
        <v>-1</v>
      </c>
      <c r="G31">
        <f>MAX(Hit!G31,Stand!G31,Double!G31)</f>
        <v>-1</v>
      </c>
      <c r="H31">
        <f>MAX(Hit!H31,Stand!H31,Double!H31)</f>
        <v>-1</v>
      </c>
      <c r="I31">
        <f>MAX(Hit!I31,Stand!I31,Double!I31)</f>
        <v>-1</v>
      </c>
      <c r="J31">
        <f>MAX(Hit!J31,Stand!J31,Double!J31)</f>
        <v>-1</v>
      </c>
      <c r="K31">
        <f>MAX(Hit!K31,Stand!K31,Double!K31)</f>
        <v>-1</v>
      </c>
      <c r="N31" s="31">
        <v>31</v>
      </c>
      <c r="O31" s="31" t="str">
        <f>IF(B31=HS!B31,HS!O31,"D")</f>
        <v>S</v>
      </c>
      <c r="P31" s="31" t="str">
        <f>IF(C31=HS!C31,HS!P31,"D")</f>
        <v>S</v>
      </c>
      <c r="Q31" s="31" t="str">
        <f>IF(D31=HS!D31,HS!Q31,"D")</f>
        <v>S</v>
      </c>
      <c r="R31" s="31" t="str">
        <f>IF(E31=HS!E31,HS!R31,"D")</f>
        <v>S</v>
      </c>
      <c r="S31" s="31" t="str">
        <f>IF(F31=HS!F31,HS!S31,"D")</f>
        <v>S</v>
      </c>
      <c r="T31" s="31" t="str">
        <f>IF(G31=HS!G31,HS!T31,"D")</f>
        <v>S</v>
      </c>
      <c r="U31" s="31" t="str">
        <f>IF(H31=HS!H31,HS!U31,"D")</f>
        <v>S</v>
      </c>
      <c r="V31" s="31" t="str">
        <f>IF(I31=HS!I31,HS!V31,"D")</f>
        <v>S</v>
      </c>
      <c r="W31" s="31" t="str">
        <f>IF(J31=HS!J31,HS!W31,"D")</f>
        <v>S</v>
      </c>
      <c r="X31" s="31" t="str">
        <f>IF(K31=HS!K31,HS!X31,"D")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MAX(Hit!B34,Stand!B34,Double!B34)</f>
        <v>7.4082476325384949E-2</v>
      </c>
      <c r="C34">
        <f>MAX(Hit!C34,Stand!C34,Double!C34)</f>
        <v>0.3696374242362967</v>
      </c>
      <c r="D34">
        <f>MAX(Hit!D34,Stand!D34,Double!D34)</f>
        <v>0.38767410174512951</v>
      </c>
      <c r="E34">
        <f>MAX(Hit!E34,Stand!E34,Double!E34)</f>
        <v>0.40637639293641487</v>
      </c>
      <c r="F34">
        <f>MAX(Hit!F34,Stand!F34,Double!F34)</f>
        <v>0.42575273133176267</v>
      </c>
      <c r="G34">
        <f>MAX(Hit!G34,Stand!G34,Double!G34)</f>
        <v>0.45589668319225651</v>
      </c>
      <c r="H34">
        <f>MAX(Hit!H34,Stand!H34,Double!H34)</f>
        <v>0.45736852128859351</v>
      </c>
      <c r="I34">
        <f>MAX(Hit!I34,Stand!I34,Double!I34)</f>
        <v>0.40074805174057659</v>
      </c>
      <c r="J34">
        <f>MAX(Hit!J34,Stand!J34,Double!J34)</f>
        <v>0.32142328174266549</v>
      </c>
      <c r="K34">
        <f>MAX(Hit!K34,Stand!K34,Double!K34)</f>
        <v>0.19656557835630536</v>
      </c>
      <c r="N34" s="31">
        <v>11</v>
      </c>
      <c r="O34" s="31" t="str">
        <f>IF(B34=HS!B34,HS!O34,"D")</f>
        <v>H</v>
      </c>
      <c r="P34" s="31" t="str">
        <f>IF(C34=HS!C34,HS!P34,"D")</f>
        <v>H</v>
      </c>
      <c r="Q34" s="31" t="str">
        <f>IF(D34=HS!D34,HS!Q34,"D")</f>
        <v>H</v>
      </c>
      <c r="R34" s="31" t="str">
        <f>IF(E34=HS!E34,HS!R34,"D")</f>
        <v>H</v>
      </c>
      <c r="S34" s="31" t="str">
        <f>IF(F34=HS!F34,HS!S34,"D")</f>
        <v>H</v>
      </c>
      <c r="T34" s="31" t="str">
        <f>IF(G34=HS!G34,HS!T34,"D")</f>
        <v>H</v>
      </c>
      <c r="U34" s="31" t="str">
        <f>IF(H34=HS!H34,HS!U34,"D")</f>
        <v>H</v>
      </c>
      <c r="V34" s="31" t="str">
        <f>IF(I34=HS!I34,HS!V34,"D")</f>
        <v>H</v>
      </c>
      <c r="W34" s="31" t="str">
        <f>IF(J34=HS!J34,HS!W34,"D")</f>
        <v>H</v>
      </c>
      <c r="X34" s="31" t="str">
        <f>IF(K34=HS!K34,HS!X34,"D")</f>
        <v>H</v>
      </c>
    </row>
    <row r="35" spans="1:24" x14ac:dyDescent="0.2">
      <c r="A35">
        <v>12</v>
      </c>
      <c r="B35">
        <f>MAX(Hit!B35,Stand!B35,Double!B35)</f>
        <v>-0.20521353107155851</v>
      </c>
      <c r="C35">
        <f>MAX(Hit!C35,Stand!C35,Double!C35)</f>
        <v>8.1836216051656044E-2</v>
      </c>
      <c r="D35">
        <f>MAX(Hit!D35,Stand!D35,Double!D35)</f>
        <v>0.10350704654207775</v>
      </c>
      <c r="E35">
        <f>MAX(Hit!E35,Stand!E35,Double!E35)</f>
        <v>0.12659562809256977</v>
      </c>
      <c r="F35">
        <f>MAX(Hit!F35,Stand!F35,Double!F35)</f>
        <v>0.15648238458465519</v>
      </c>
      <c r="G35">
        <f>MAX(Hit!G35,Stand!G35,Double!G35)</f>
        <v>0.18595361333225549</v>
      </c>
      <c r="H35">
        <f>MAX(Hit!H35,Stand!H35,Double!H35)</f>
        <v>0.16547293077063496</v>
      </c>
      <c r="I35">
        <f>MAX(Hit!I35,Stand!I35,Double!I35)</f>
        <v>9.5115020927032307E-2</v>
      </c>
      <c r="J35">
        <f>MAX(Hit!J35,Stand!J35,Double!J35)</f>
        <v>6.5790841226897296E-5</v>
      </c>
      <c r="K35">
        <f>MAX(Hit!K35,Stand!K35,Double!K35)</f>
        <v>-0.12808280155666141</v>
      </c>
      <c r="N35" s="31">
        <v>12</v>
      </c>
      <c r="O35" s="31" t="str">
        <f>IF(B35=HS!B35,HS!O35,"D")</f>
        <v>H</v>
      </c>
      <c r="P35" s="31" t="str">
        <f>IF(C35=HS!C35,HS!P35,"D")</f>
        <v>H</v>
      </c>
      <c r="Q35" s="31" t="str">
        <f>IF(D35=HS!D35,HS!Q35,"D")</f>
        <v>H</v>
      </c>
      <c r="R35" s="31" t="str">
        <f>IF(E35=HS!E35,HS!R35,"D")</f>
        <v>H</v>
      </c>
      <c r="S35" s="31" t="str">
        <f>IF(F35=HS!F35,HS!S35,"D")</f>
        <v>H</v>
      </c>
      <c r="T35" s="31" t="str">
        <f>IF(G35=HS!G35,HS!T35,"D")</f>
        <v>H</v>
      </c>
      <c r="U35" s="31" t="str">
        <f>IF(H35=HS!H35,HS!U35,"D")</f>
        <v>H</v>
      </c>
      <c r="V35" s="31" t="str">
        <f>IF(I35=HS!I35,HS!V35,"D")</f>
        <v>H</v>
      </c>
      <c r="W35" s="31" t="str">
        <f>IF(J35=HS!J35,HS!W35,"D")</f>
        <v>H</v>
      </c>
      <c r="X35" s="31" t="str">
        <f>IF(K35=HS!K35,HS!X35,"D")</f>
        <v>H</v>
      </c>
    </row>
    <row r="36" spans="1:24" x14ac:dyDescent="0.2">
      <c r="A36">
        <v>13</v>
      </c>
      <c r="B36">
        <f>MAX(Hit!B36,Stand!B36,Double!B36)</f>
        <v>-0.23472177802444921</v>
      </c>
      <c r="C36">
        <f>MAX(Hit!C36,Stand!C36,Double!C36)</f>
        <v>4.6636132695309543E-2</v>
      </c>
      <c r="D36">
        <f>MAX(Hit!D36,Stand!D36,Double!D36)</f>
        <v>7.4118813392744051E-2</v>
      </c>
      <c r="E36">
        <f>MAX(Hit!E36,Stand!E36,Double!E36)</f>
        <v>0.10247714687203523</v>
      </c>
      <c r="F36">
        <f>MAX(Hit!F36,Stand!F36,Double!F36)</f>
        <v>0.13336273848321728</v>
      </c>
      <c r="G36">
        <f>MAX(Hit!G36,Stand!G36,Double!G36)</f>
        <v>0.16169271124923693</v>
      </c>
      <c r="H36">
        <f>MAX(Hit!H36,Stand!H36,Double!H36)</f>
        <v>0.12238569517899196</v>
      </c>
      <c r="I36">
        <f>MAX(Hit!I36,Stand!I36,Double!I36)</f>
        <v>5.4057070196311334E-2</v>
      </c>
      <c r="J36">
        <f>MAX(Hit!J36,Stand!J36,Double!J36)</f>
        <v>-3.7694688127479885E-2</v>
      </c>
      <c r="K36">
        <f>MAX(Hit!K36,Stand!K36,Double!K36)</f>
        <v>-0.16080628455762785</v>
      </c>
      <c r="N36" s="31">
        <v>13</v>
      </c>
      <c r="O36" s="31" t="str">
        <f>IF(B36=HS!B36,HS!O36,"D")</f>
        <v>H</v>
      </c>
      <c r="P36" s="31" t="str">
        <f>IF(C36=HS!C36,HS!P36,"D")</f>
        <v>H</v>
      </c>
      <c r="Q36" s="31" t="str">
        <f>IF(D36=HS!D36,HS!Q36,"D")</f>
        <v>H</v>
      </c>
      <c r="R36" s="31" t="str">
        <f>IF(E36=HS!E36,HS!R36,"D")</f>
        <v>H</v>
      </c>
      <c r="S36" s="31" t="str">
        <f>IF(F36=HS!F36,HS!S36,"D")</f>
        <v>H</v>
      </c>
      <c r="T36" s="31" t="str">
        <f>IF(G36=HS!G36,HS!T36,"D")</f>
        <v>H</v>
      </c>
      <c r="U36" s="31" t="str">
        <f>IF(H36=HS!H36,HS!U36,"D")</f>
        <v>H</v>
      </c>
      <c r="V36" s="31" t="str">
        <f>IF(I36=HS!I36,HS!V36,"D")</f>
        <v>H</v>
      </c>
      <c r="W36" s="31" t="str">
        <f>IF(J36=HS!J36,HS!W36,"D")</f>
        <v>H</v>
      </c>
      <c r="X36" s="31" t="str">
        <f>IF(K36=HS!K36,HS!X36,"D")</f>
        <v>H</v>
      </c>
    </row>
    <row r="37" spans="1:24" x14ac:dyDescent="0.2">
      <c r="A37">
        <v>14</v>
      </c>
      <c r="B37">
        <f>MAX(Hit!B37,Stand!B37,Double!B37)</f>
        <v>-0.26406959413166387</v>
      </c>
      <c r="C37">
        <f>MAX(Hit!C37,Stand!C37,Double!C37)</f>
        <v>2.2391856987839083E-2</v>
      </c>
      <c r="D37">
        <f>MAX(Hit!D37,Stand!D37,Double!D37)</f>
        <v>5.0806738919282814E-2</v>
      </c>
      <c r="E37">
        <f>MAX(Hit!E37,Stand!E37,Double!E37)</f>
        <v>8.0081414310110233E-2</v>
      </c>
      <c r="F37">
        <f>MAX(Hit!F37,Stand!F37,Double!F37)</f>
        <v>0.11189449567473925</v>
      </c>
      <c r="G37">
        <f>MAX(Hit!G37,Stand!G37,Double!G37)</f>
        <v>0.1391647307435768</v>
      </c>
      <c r="H37">
        <f>MAX(Hit!H37,Stand!H37,Double!H37)</f>
        <v>7.9507488494468148E-2</v>
      </c>
      <c r="I37">
        <f>MAX(Hit!I37,Stand!I37,Double!I37)</f>
        <v>1.3277219463208478E-2</v>
      </c>
      <c r="J37">
        <f>MAX(Hit!J37,Stand!J37,Double!J37)</f>
        <v>-7.516318944168382E-2</v>
      </c>
      <c r="K37">
        <f>MAX(Hit!K37,Stand!K37,Double!K37)</f>
        <v>-0.1933035414076569</v>
      </c>
      <c r="N37" s="31">
        <v>14</v>
      </c>
      <c r="O37" s="31" t="str">
        <f>IF(B37=HS!B37,HS!O37,"D")</f>
        <v>H</v>
      </c>
      <c r="P37" s="31" t="str">
        <f>IF(C37=HS!C37,HS!P37,"D")</f>
        <v>H</v>
      </c>
      <c r="Q37" s="31" t="str">
        <f>IF(D37=HS!D37,HS!Q37,"D")</f>
        <v>H</v>
      </c>
      <c r="R37" s="31" t="str">
        <f>IF(E37=HS!E37,HS!R37,"D")</f>
        <v>H</v>
      </c>
      <c r="S37" s="31" t="str">
        <f>IF(F37=HS!F37,HS!S37,"D")</f>
        <v>H</v>
      </c>
      <c r="T37" s="31" t="str">
        <f>IF(G37=HS!G37,HS!T37,"D")</f>
        <v>H</v>
      </c>
      <c r="U37" s="31" t="str">
        <f>IF(H37=HS!H37,HS!U37,"D")</f>
        <v>H</v>
      </c>
      <c r="V37" s="31" t="str">
        <f>IF(I37=HS!I37,HS!V37,"D")</f>
        <v>H</v>
      </c>
      <c r="W37" s="31" t="str">
        <f>IF(J37=HS!J37,HS!W37,"D")</f>
        <v>H</v>
      </c>
      <c r="X37" s="31" t="str">
        <f>IF(K37=HS!K37,HS!X37,"D")</f>
        <v>H</v>
      </c>
    </row>
    <row r="38" spans="1:24" x14ac:dyDescent="0.2">
      <c r="A38">
        <v>15</v>
      </c>
      <c r="B38">
        <f>MAX(Hit!B38,Stand!B38,Double!B38)</f>
        <v>-0.29312934580507005</v>
      </c>
      <c r="C38">
        <f>MAX(Hit!C38,Stand!C38,Double!C38)</f>
        <v>-1.2068474052636583E-4</v>
      </c>
      <c r="D38">
        <f>MAX(Hit!D38,Stand!D38,Double!D38)</f>
        <v>2.9159812622497363E-2</v>
      </c>
      <c r="E38">
        <f>MAX(Hit!E38,Stand!E38,Double!E38)</f>
        <v>5.9285376931179926E-2</v>
      </c>
      <c r="F38">
        <f>MAX(Hit!F38,Stand!F38,Double!F38)</f>
        <v>9.1959698781152482E-2</v>
      </c>
      <c r="G38">
        <f>MAX(Hit!G38,Stand!G38,Double!G38)</f>
        <v>0.11824589170260671</v>
      </c>
      <c r="H38">
        <f>MAX(Hit!H38,Stand!H38,Double!H38)</f>
        <v>3.7028282279269235E-2</v>
      </c>
      <c r="I38">
        <f>MAX(Hit!I38,Stand!I38,Double!I38)</f>
        <v>-2.7054780502901672E-2</v>
      </c>
      <c r="J38">
        <f>MAX(Hit!J38,Stand!J38,Double!J38)</f>
        <v>-0.11218876868994289</v>
      </c>
      <c r="K38">
        <f>MAX(Hit!K38,Stand!K38,Double!K38)</f>
        <v>-0.22543993358238781</v>
      </c>
      <c r="N38" s="31">
        <v>15</v>
      </c>
      <c r="O38" s="31" t="str">
        <f>IF(B38=HS!B38,HS!O38,"D")</f>
        <v>H</v>
      </c>
      <c r="P38" s="31" t="str">
        <f>IF(C38=HS!C38,HS!P38,"D")</f>
        <v>H</v>
      </c>
      <c r="Q38" s="31" t="str">
        <f>IF(D38=HS!D38,HS!Q38,"D")</f>
        <v>H</v>
      </c>
      <c r="R38" s="31" t="str">
        <f>IF(E38=HS!E38,HS!R38,"D")</f>
        <v>H</v>
      </c>
      <c r="S38" s="31" t="str">
        <f>IF(F38=HS!F38,HS!S38,"D")</f>
        <v>H</v>
      </c>
      <c r="T38" s="31" t="str">
        <f>IF(G38=HS!G38,HS!T38,"D")</f>
        <v>H</v>
      </c>
      <c r="U38" s="31" t="str">
        <f>IF(H38=HS!H38,HS!U38,"D")</f>
        <v>H</v>
      </c>
      <c r="V38" s="31" t="str">
        <f>IF(I38=HS!I38,HS!V38,"D")</f>
        <v>H</v>
      </c>
      <c r="W38" s="31" t="str">
        <f>IF(J38=HS!J38,HS!W38,"D")</f>
        <v>H</v>
      </c>
      <c r="X38" s="31" t="str">
        <f>IF(K38=HS!K38,HS!X38,"D")</f>
        <v>H</v>
      </c>
    </row>
    <row r="39" spans="1:24" x14ac:dyDescent="0.2">
      <c r="A39">
        <v>16</v>
      </c>
      <c r="B39">
        <f>MAX(Hit!B39,Stand!B39,Double!B39)</f>
        <v>-0.31409107314591783</v>
      </c>
      <c r="C39">
        <f>MAX(Hit!C39,Stand!C39,Double!C39)</f>
        <v>-2.1025187774008566E-2</v>
      </c>
      <c r="D39">
        <f>MAX(Hit!D39,Stand!D39,Double!D39)</f>
        <v>9.0590953469108244E-3</v>
      </c>
      <c r="E39">
        <f>MAX(Hit!E39,Stand!E39,Double!E39)</f>
        <v>3.9974770793601705E-2</v>
      </c>
      <c r="F39">
        <f>MAX(Hit!F39,Stand!F39,Double!F39)</f>
        <v>7.3448815951393354E-2</v>
      </c>
      <c r="G39">
        <f>MAX(Hit!G39,Stand!G39,Double!G39)</f>
        <v>9.8821255450277368E-2</v>
      </c>
      <c r="H39">
        <f>MAX(Hit!H39,Stand!H39,Double!H39)</f>
        <v>-4.8901571730158942E-3</v>
      </c>
      <c r="I39">
        <f>MAX(Hit!I39,Stand!I39,Double!I39)</f>
        <v>-6.6794847920094103E-2</v>
      </c>
      <c r="J39">
        <f>MAX(Hit!J39,Stand!J39,Double!J39)</f>
        <v>-0.14864353463007471</v>
      </c>
      <c r="K39">
        <f>MAX(Hit!K39,Stand!K39,Double!K39)</f>
        <v>-0.25710121084742421</v>
      </c>
      <c r="N39" s="31">
        <v>16</v>
      </c>
      <c r="O39" s="31" t="str">
        <f>IF(B39=HS!B39,HS!O39,"D")</f>
        <v>H</v>
      </c>
      <c r="P39" s="31" t="str">
        <f>IF(C39=HS!C39,HS!P39,"D")</f>
        <v>H</v>
      </c>
      <c r="Q39" s="31" t="str">
        <f>IF(D39=HS!D39,HS!Q39,"D")</f>
        <v>H</v>
      </c>
      <c r="R39" s="31" t="str">
        <f>IF(E39=HS!E39,HS!R39,"D")</f>
        <v>H</v>
      </c>
      <c r="S39" s="31" t="str">
        <f>IF(F39=HS!F39,HS!S39,"D")</f>
        <v>H</v>
      </c>
      <c r="T39" s="31" t="str">
        <f>IF(G39=HS!G39,HS!T39,"D")</f>
        <v>H</v>
      </c>
      <c r="U39" s="31" t="str">
        <f>IF(H39=HS!H39,HS!U39,"D")</f>
        <v>H</v>
      </c>
      <c r="V39" s="31" t="str">
        <f>IF(I39=HS!I39,HS!V39,"D")</f>
        <v>H</v>
      </c>
      <c r="W39" s="31" t="str">
        <f>IF(J39=HS!J39,HS!W39,"D")</f>
        <v>H</v>
      </c>
      <c r="X39" s="31" t="str">
        <f>IF(K39=HS!K39,HS!X39,"D")</f>
        <v>H</v>
      </c>
    </row>
    <row r="40" spans="1:24" x14ac:dyDescent="0.2">
      <c r="A40">
        <v>17</v>
      </c>
      <c r="B40">
        <f>MAX(Hit!B40,Stand!B40,Double!B40)</f>
        <v>-0.30094774596936263</v>
      </c>
      <c r="C40">
        <f>MAX(Hit!C40,Stand!C40,Double!C40)</f>
        <v>-4.9104358288916297E-4</v>
      </c>
      <c r="D40">
        <f>MAX(Hit!D40,Stand!D40,Double!D40)</f>
        <v>2.8975282965620523E-2</v>
      </c>
      <c r="E40">
        <f>MAX(Hit!E40,Stand!E40,Double!E40)</f>
        <v>5.9326275337164343E-2</v>
      </c>
      <c r="F40">
        <f>MAX(Hit!F40,Stand!F40,Double!F40)</f>
        <v>9.1189077686774395E-2</v>
      </c>
      <c r="G40">
        <f>MAX(Hit!G40,Stand!G40,Double!G40)</f>
        <v>0.12805214364549905</v>
      </c>
      <c r="H40">
        <f>MAX(Hit!H40,Stand!H40,Double!H40)</f>
        <v>5.3823463716116654E-2</v>
      </c>
      <c r="I40">
        <f>MAX(Hit!I40,Stand!I40,Double!I40)</f>
        <v>-7.2915398729642075E-2</v>
      </c>
      <c r="J40">
        <f>MAX(Hit!J40,Stand!J40,Double!J40)</f>
        <v>-0.14978689218213323</v>
      </c>
      <c r="K40">
        <f>MAX(Hit!K40,Stand!K40,Double!K40)</f>
        <v>-0.24941602102444038</v>
      </c>
      <c r="N40" s="31">
        <v>17</v>
      </c>
      <c r="O40" s="31" t="str">
        <f>IF(B40=HS!B40,HS!O40,"D")</f>
        <v>H</v>
      </c>
      <c r="P40" s="31" t="str">
        <f>IF(C40=HS!C40,HS!P40,"D")</f>
        <v>H</v>
      </c>
      <c r="Q40" s="31" t="str">
        <f>IF(D40=HS!D40,HS!Q40,"D")</f>
        <v>H</v>
      </c>
      <c r="R40" s="31" t="str">
        <f>IF(E40=HS!E40,HS!R40,"D")</f>
        <v>H</v>
      </c>
      <c r="S40" s="31" t="str">
        <f>IF(F40=HS!F40,HS!S40,"D")</f>
        <v>H</v>
      </c>
      <c r="T40" s="31" t="str">
        <f>IF(G40=HS!G40,HS!T40,"D")</f>
        <v>H</v>
      </c>
      <c r="U40" s="31" t="str">
        <f>IF(H40=HS!H40,HS!U40,"D")</f>
        <v>H</v>
      </c>
      <c r="V40" s="31" t="str">
        <f>IF(I40=HS!I40,HS!V40,"D")</f>
        <v>H</v>
      </c>
      <c r="W40" s="31" t="str">
        <f>IF(J40=HS!J40,HS!W40,"D")</f>
        <v>H</v>
      </c>
      <c r="X40" s="31" t="str">
        <f>IF(K40=HS!K40,HS!X40,"D")</f>
        <v>H</v>
      </c>
    </row>
    <row r="41" spans="1:24" x14ac:dyDescent="0.2">
      <c r="A41">
        <v>18</v>
      </c>
      <c r="B41">
        <f>MAX(Hit!B41,Stand!B41,Double!B41)</f>
        <v>-0.24150883119675959</v>
      </c>
      <c r="C41">
        <f>MAX(Hit!C41,Stand!C41,Double!C41)</f>
        <v>0.12174190222088771</v>
      </c>
      <c r="D41">
        <f>MAX(Hit!D41,Stand!D41,Double!D41)</f>
        <v>0.14830007284131119</v>
      </c>
      <c r="E41">
        <f>MAX(Hit!E41,Stand!E41,Double!E41)</f>
        <v>0.17585443719748528</v>
      </c>
      <c r="F41">
        <f>MAX(Hit!F41,Stand!F41,Double!F41)</f>
        <v>0.19956119497617719</v>
      </c>
      <c r="G41">
        <f>MAX(Hit!G41,Stand!G41,Double!G41)</f>
        <v>0.28344391604689856</v>
      </c>
      <c r="H41">
        <f>MAX(Hit!H41,Stand!H41,Double!H41)</f>
        <v>0.3995541673365518</v>
      </c>
      <c r="I41">
        <f>MAX(Hit!I41,Stand!I41,Double!I41)</f>
        <v>0.10595134861912359</v>
      </c>
      <c r="J41">
        <f>MAX(Hit!J41,Stand!J41,Double!J41)</f>
        <v>-0.10074430758041522</v>
      </c>
      <c r="K41">
        <f>MAX(Hit!K41,Stand!K41,Double!K41)</f>
        <v>-0.20109793381277147</v>
      </c>
      <c r="N41" s="31">
        <v>18</v>
      </c>
      <c r="O41" s="31" t="str">
        <f>IF(B41=HS!B41,HS!O41,"D")</f>
        <v>S</v>
      </c>
      <c r="P41" s="31" t="str">
        <f>IF(C41=HS!C41,HS!P41,"D")</f>
        <v>S</v>
      </c>
      <c r="Q41" s="31" t="str">
        <f>IF(D41=HS!D41,HS!Q41,"D")</f>
        <v>S</v>
      </c>
      <c r="R41" s="31" t="str">
        <f>IF(E41=HS!E41,HS!R41,"D")</f>
        <v>S</v>
      </c>
      <c r="S41" s="31" t="str">
        <f>IF(F41=HS!F41,HS!S41,"D")</f>
        <v>S</v>
      </c>
      <c r="T41" s="31" t="str">
        <f>IF(G41=HS!G41,HS!T41,"D")</f>
        <v>S</v>
      </c>
      <c r="U41" s="31" t="str">
        <f>IF(H41=HS!H41,HS!U41,"D")</f>
        <v>S</v>
      </c>
      <c r="V41" s="31" t="str">
        <f>IF(I41=HS!I41,HS!V41,"D")</f>
        <v>S</v>
      </c>
      <c r="W41" s="31" t="str">
        <f>IF(J41=HS!J41,HS!W41,"D")</f>
        <v>H</v>
      </c>
      <c r="X41" s="31" t="str">
        <f>IF(K41=HS!K41,HS!X41,"D")</f>
        <v>H</v>
      </c>
    </row>
    <row r="42" spans="1:24" x14ac:dyDescent="0.2">
      <c r="A42">
        <v>19</v>
      </c>
      <c r="B42">
        <f>MAX(Hit!B42,Stand!B42,Double!B42)</f>
        <v>-1.8660154151531549E-2</v>
      </c>
      <c r="C42">
        <f>MAX(Hit!C42,Stand!C42,Double!C42)</f>
        <v>0.38630468602058987</v>
      </c>
      <c r="D42">
        <f>MAX(Hit!D42,Stand!D42,Double!D42)</f>
        <v>0.40436293659776001</v>
      </c>
      <c r="E42">
        <f>MAX(Hit!E42,Stand!E42,Double!E42)</f>
        <v>0.42317892482749647</v>
      </c>
      <c r="F42">
        <f>MAX(Hit!F42,Stand!F42,Double!F42)</f>
        <v>0.43951210416088371</v>
      </c>
      <c r="G42">
        <f>MAX(Hit!G42,Stand!G42,Double!G42)</f>
        <v>0.49597707378731909</v>
      </c>
      <c r="H42">
        <f>MAX(Hit!H42,Stand!H42,Double!H42)</f>
        <v>0.6159764957534315</v>
      </c>
      <c r="I42">
        <f>MAX(Hit!I42,Stand!I42,Double!I42)</f>
        <v>0.5938536682866945</v>
      </c>
      <c r="J42">
        <f>MAX(Hit!J42,Stand!J42,Double!J42)</f>
        <v>0.28759675706758142</v>
      </c>
      <c r="K42">
        <f>MAX(Hit!K42,Stand!K42,Double!K42)</f>
        <v>-1.8660154151531536E-2</v>
      </c>
      <c r="N42" s="31">
        <v>19</v>
      </c>
      <c r="O42" s="31" t="str">
        <f>IF(B42=HS!B42,HS!O42,"D")</f>
        <v>S</v>
      </c>
      <c r="P42" s="31" t="str">
        <f>IF(C42=HS!C42,HS!P42,"D")</f>
        <v>S</v>
      </c>
      <c r="Q42" s="31" t="str">
        <f>IF(D42=HS!D42,HS!Q42,"D")</f>
        <v>S</v>
      </c>
      <c r="R42" s="31" t="str">
        <f>IF(E42=HS!E42,HS!R42,"D")</f>
        <v>S</v>
      </c>
      <c r="S42" s="31" t="str">
        <f>IF(F42=HS!F42,HS!S42,"D")</f>
        <v>S</v>
      </c>
      <c r="T42" s="31" t="str">
        <f>IF(G42=HS!G42,HS!T42,"D")</f>
        <v>S</v>
      </c>
      <c r="U42" s="31" t="str">
        <f>IF(H42=HS!H42,HS!U42,"D")</f>
        <v>S</v>
      </c>
      <c r="V42" s="31" t="str">
        <f>IF(I42=HS!I42,HS!V42,"D")</f>
        <v>S</v>
      </c>
      <c r="W42" s="31" t="str">
        <f>IF(J42=HS!J42,HS!W42,"D")</f>
        <v>S</v>
      </c>
      <c r="X42" s="31" t="str">
        <f>IF(K42=HS!K42,HS!X42,"D")</f>
        <v>S</v>
      </c>
    </row>
    <row r="43" spans="1:24" x14ac:dyDescent="0.2">
      <c r="A43">
        <v>20</v>
      </c>
      <c r="B43">
        <f>MAX(Hit!B43,Stand!B43,Double!B43)</f>
        <v>0.20418852289369649</v>
      </c>
      <c r="C43">
        <f>MAX(Hit!C43,Stand!C43,Double!C43)</f>
        <v>0.63998657521683877</v>
      </c>
      <c r="D43">
        <f>MAX(Hit!D43,Stand!D43,Double!D43)</f>
        <v>0.65027209425148136</v>
      </c>
      <c r="E43">
        <f>MAX(Hit!E43,Stand!E43,Double!E43)</f>
        <v>0.66104996194807186</v>
      </c>
      <c r="F43">
        <f>MAX(Hit!F43,Stand!F43,Double!F43)</f>
        <v>0.67035969063279999</v>
      </c>
      <c r="G43">
        <f>MAX(Hit!G43,Stand!G43,Double!G43)</f>
        <v>0.70395857017134467</v>
      </c>
      <c r="H43">
        <f>MAX(Hit!H43,Stand!H43,Double!H43)</f>
        <v>0.77322722653717491</v>
      </c>
      <c r="I43">
        <f>MAX(Hit!I43,Stand!I43,Double!I43)</f>
        <v>0.79181515955189841</v>
      </c>
      <c r="J43">
        <f>MAX(Hit!J43,Stand!J43,Double!J43)</f>
        <v>0.75835687080859626</v>
      </c>
      <c r="K43">
        <f>MAX(Hit!K43,Stand!K43,Double!K43)</f>
        <v>0.43495775366292722</v>
      </c>
      <c r="N43" s="31">
        <v>20</v>
      </c>
      <c r="O43" s="31" t="str">
        <f>IF(B43=HS!B43,HS!O43,"D")</f>
        <v>S</v>
      </c>
      <c r="P43" s="31" t="str">
        <f>IF(C43=HS!C43,HS!P43,"D")</f>
        <v>S</v>
      </c>
      <c r="Q43" s="31" t="str">
        <f>IF(D43=HS!D43,HS!Q43,"D")</f>
        <v>S</v>
      </c>
      <c r="R43" s="31" t="str">
        <f>IF(E43=HS!E43,HS!R43,"D")</f>
        <v>S</v>
      </c>
      <c r="S43" s="31" t="str">
        <f>IF(F43=HS!F43,HS!S43,"D")</f>
        <v>S</v>
      </c>
      <c r="T43" s="31" t="str">
        <f>IF(G43=HS!G43,HS!T43,"D")</f>
        <v>S</v>
      </c>
      <c r="U43" s="31" t="str">
        <f>IF(H43=HS!H43,HS!U43,"D")</f>
        <v>S</v>
      </c>
      <c r="V43" s="31" t="str">
        <f>IF(I43=HS!I43,HS!V43,"D")</f>
        <v>S</v>
      </c>
      <c r="W43" s="31" t="str">
        <f>IF(J43=HS!J43,HS!W43,"D")</f>
        <v>S</v>
      </c>
      <c r="X43" s="31" t="str">
        <f>IF(K43=HS!K43,HS!X43,"D")</f>
        <v>S</v>
      </c>
    </row>
    <row r="44" spans="1:24" x14ac:dyDescent="0.2">
      <c r="A44">
        <v>21</v>
      </c>
      <c r="B44">
        <f>MAX(Hit!B44,Stand!B44,Double!B44)</f>
        <v>0.65780643070815525</v>
      </c>
      <c r="C44">
        <f>MAX(Hit!C44,Stand!C44,Double!C44)</f>
        <v>0.88200651549403997</v>
      </c>
      <c r="D44">
        <f>MAX(Hit!D44,Stand!D44,Double!D44)</f>
        <v>0.88530035730174927</v>
      </c>
      <c r="E44">
        <f>MAX(Hit!E44,Stand!E44,Double!E44)</f>
        <v>0.88876729296591961</v>
      </c>
      <c r="F44">
        <f>MAX(Hit!F44,Stand!F44,Double!F44)</f>
        <v>0.89175382659528035</v>
      </c>
      <c r="G44">
        <f>MAX(Hit!G44,Stand!G44,Double!G44)</f>
        <v>0.90283674384257995</v>
      </c>
      <c r="H44">
        <f>MAX(Hit!H44,Stand!H44,Double!H44)</f>
        <v>0.92592629596452325</v>
      </c>
      <c r="I44">
        <f>MAX(Hit!I44,Stand!I44,Double!I44)</f>
        <v>0.93060505318396614</v>
      </c>
      <c r="J44">
        <f>MAX(Hit!J44,Stand!J44,Double!J44)</f>
        <v>0.93917615614724415</v>
      </c>
      <c r="K44">
        <f>MAX(Hit!K44,Stand!K44,Double!K44)</f>
        <v>0.88857566147738598</v>
      </c>
      <c r="N44" s="31">
        <v>21</v>
      </c>
      <c r="O44" s="31" t="str">
        <f>IF(B44=HS!B44,HS!O44,"D")</f>
        <v>S</v>
      </c>
      <c r="P44" s="31" t="str">
        <f>IF(C44=HS!C44,HS!P44,"D")</f>
        <v>S</v>
      </c>
      <c r="Q44" s="31" t="str">
        <f>IF(D44=HS!D44,HS!Q44,"D")</f>
        <v>S</v>
      </c>
      <c r="R44" s="31" t="str">
        <f>IF(E44=HS!E44,HS!R44,"D")</f>
        <v>S</v>
      </c>
      <c r="S44" s="31" t="str">
        <f>IF(F44=HS!F44,HS!S44,"D")</f>
        <v>S</v>
      </c>
      <c r="T44" s="31" t="str">
        <f>IF(G44=HS!G44,HS!T44,"D")</f>
        <v>S</v>
      </c>
      <c r="U44" s="31" t="str">
        <f>IF(H44=HS!H44,HS!U44,"D")</f>
        <v>S</v>
      </c>
      <c r="V44" s="31" t="str">
        <f>IF(I44=HS!I44,HS!V44,"D")</f>
        <v>S</v>
      </c>
      <c r="W44" s="31" t="str">
        <f>IF(J44=HS!J44,HS!W44,"D")</f>
        <v>S</v>
      </c>
      <c r="X44" s="31" t="str">
        <f>IF(K44=HS!K44,HS!X44,"D")</f>
        <v>S</v>
      </c>
    </row>
    <row r="45" spans="1:24" x14ac:dyDescent="0.2">
      <c r="A45">
        <v>22</v>
      </c>
      <c r="B45">
        <f>MAX(Hit!B45,Stand!B45,Double!B45)</f>
        <v>-0.46566058377683939</v>
      </c>
      <c r="C45">
        <f>MAX(Hit!C45,Stand!C45,Double!C45)</f>
        <v>-0.25338998596663809</v>
      </c>
      <c r="D45">
        <f>MAX(Hit!D45,Stand!D45,Double!D45)</f>
        <v>-0.2336908997980866</v>
      </c>
      <c r="E45">
        <f>MAX(Hit!E45,Stand!E45,Double!E45)</f>
        <v>-0.21106310899491437</v>
      </c>
      <c r="F45">
        <f>MAX(Hit!F45,Stand!F45,Double!F45)</f>
        <v>-0.16719266083547524</v>
      </c>
      <c r="G45">
        <f>MAX(Hit!G45,Stand!G45,Double!G45)</f>
        <v>-0.1536990158300045</v>
      </c>
      <c r="H45">
        <f>MAX(Hit!H45,Stand!H45,Double!H45)</f>
        <v>-0.21284771451731424</v>
      </c>
      <c r="I45">
        <f>MAX(Hit!I45,Stand!I45,Double!I45)</f>
        <v>-0.27157480502428616</v>
      </c>
      <c r="J45">
        <f>MAX(Hit!J45,Stand!J45,Double!J45)</f>
        <v>-0.3400132806089356</v>
      </c>
      <c r="K45">
        <f>MAX(Hit!K45,Stand!K45,Double!K45)</f>
        <v>-0.42069618899826788</v>
      </c>
      <c r="N45" s="31">
        <v>22</v>
      </c>
      <c r="O45" s="31" t="str">
        <f>IF(B45=HS!B45,HS!O45,"D")</f>
        <v>H</v>
      </c>
      <c r="P45" s="31" t="str">
        <f>IF(C45=HS!C45,HS!P45,"D")</f>
        <v>H</v>
      </c>
      <c r="Q45" s="31" t="str">
        <f>IF(D45=HS!D45,HS!Q45,"D")</f>
        <v>H</v>
      </c>
      <c r="R45" s="31" t="str">
        <f>IF(E45=HS!E45,HS!R45,"D")</f>
        <v>S</v>
      </c>
      <c r="S45" s="31" t="str">
        <f>IF(F45=HS!F45,HS!S45,"D")</f>
        <v>S</v>
      </c>
      <c r="T45" s="31" t="str">
        <f>IF(G45=HS!G45,HS!T45,"D")</f>
        <v>S</v>
      </c>
      <c r="U45" s="31" t="str">
        <f>IF(H45=HS!H45,HS!U45,"D")</f>
        <v>H</v>
      </c>
      <c r="V45" s="31" t="str">
        <f>IF(I45=HS!I45,HS!V45,"D")</f>
        <v>H</v>
      </c>
      <c r="W45" s="31" t="str">
        <f>IF(J45=HS!J45,HS!W45,"D")</f>
        <v>H</v>
      </c>
      <c r="X45" s="31" t="str">
        <f>IF(K45=HS!K45,HS!X45,"D")</f>
        <v>H</v>
      </c>
    </row>
    <row r="46" spans="1:24" x14ac:dyDescent="0.2">
      <c r="A46">
        <v>23</v>
      </c>
      <c r="B46">
        <f>MAX(Hit!B46,Stand!B46,Double!B46)</f>
        <v>-0.50382768493563657</v>
      </c>
      <c r="C46">
        <f>MAX(Hit!C46,Stand!C46,Double!C46)</f>
        <v>-0.29278372720927726</v>
      </c>
      <c r="D46">
        <f>MAX(Hit!D46,Stand!D46,Double!D46)</f>
        <v>-0.2522502292357135</v>
      </c>
      <c r="E46">
        <f>MAX(Hit!E46,Stand!E46,Double!E46)</f>
        <v>-0.21106310899491437</v>
      </c>
      <c r="F46">
        <f>MAX(Hit!F46,Stand!F46,Double!F46)</f>
        <v>-0.16719266083547524</v>
      </c>
      <c r="G46">
        <f>MAX(Hit!G46,Stand!G46,Double!G46)</f>
        <v>-0.1536990158300045</v>
      </c>
      <c r="H46">
        <f>MAX(Hit!H46,Stand!H46,Double!H46)</f>
        <v>-0.26907287776607752</v>
      </c>
      <c r="I46">
        <f>MAX(Hit!I46,Stand!I46,Double!I46)</f>
        <v>-0.32360517609397998</v>
      </c>
      <c r="J46">
        <f>MAX(Hit!J46,Stand!J46,Double!J46)</f>
        <v>-0.38715518913686875</v>
      </c>
      <c r="K46">
        <f>MAX(Hit!K46,Stand!K46,Double!K46)</f>
        <v>-0.46207503264124877</v>
      </c>
      <c r="N46" s="31">
        <v>23</v>
      </c>
      <c r="O46" s="31" t="str">
        <f>IF(B46=HS!B46,HS!O46,"D")</f>
        <v>H</v>
      </c>
      <c r="P46" s="31" t="str">
        <f>IF(C46=HS!C46,HS!P46,"D")</f>
        <v>S</v>
      </c>
      <c r="Q46" s="31" t="str">
        <f>IF(D46=HS!D46,HS!Q46,"D")</f>
        <v>S</v>
      </c>
      <c r="R46" s="31" t="str">
        <f>IF(E46=HS!E46,HS!R46,"D")</f>
        <v>S</v>
      </c>
      <c r="S46" s="31" t="str">
        <f>IF(F46=HS!F46,HS!S46,"D")</f>
        <v>S</v>
      </c>
      <c r="T46" s="31" t="str">
        <f>IF(G46=HS!G46,HS!T46,"D")</f>
        <v>S</v>
      </c>
      <c r="U46" s="31" t="str">
        <f>IF(H46=HS!H46,HS!U46,"D")</f>
        <v>H</v>
      </c>
      <c r="V46" s="31" t="str">
        <f>IF(I46=HS!I46,HS!V46,"D")</f>
        <v>H</v>
      </c>
      <c r="W46" s="31" t="str">
        <f>IF(J46=HS!J46,HS!W46,"D")</f>
        <v>H</v>
      </c>
      <c r="X46" s="31" t="str">
        <f>IF(K46=HS!K46,HS!X46,"D")</f>
        <v>H</v>
      </c>
    </row>
    <row r="47" spans="1:24" x14ac:dyDescent="0.2">
      <c r="A47">
        <v>24</v>
      </c>
      <c r="B47">
        <f>MAX(Hit!B47,Stand!B47,Double!B47)</f>
        <v>-0.53926856458309114</v>
      </c>
      <c r="C47">
        <f>MAX(Hit!C47,Stand!C47,Double!C47)</f>
        <v>-0.29278372720927726</v>
      </c>
      <c r="D47">
        <f>MAX(Hit!D47,Stand!D47,Double!D47)</f>
        <v>-0.2522502292357135</v>
      </c>
      <c r="E47">
        <f>MAX(Hit!E47,Stand!E47,Double!E47)</f>
        <v>-0.21106310899491437</v>
      </c>
      <c r="F47">
        <f>MAX(Hit!F47,Stand!F47,Double!F47)</f>
        <v>-0.16719266083547524</v>
      </c>
      <c r="G47">
        <f>MAX(Hit!G47,Stand!G47,Double!G47)</f>
        <v>-0.1536990158300045</v>
      </c>
      <c r="H47">
        <f>MAX(Hit!H47,Stand!H47,Double!H47)</f>
        <v>-0.3212819579256434</v>
      </c>
      <c r="I47">
        <f>MAX(Hit!I47,Stand!I47,Double!I47)</f>
        <v>-0.37191909208726714</v>
      </c>
      <c r="J47">
        <f>MAX(Hit!J47,Stand!J47,Double!J47)</f>
        <v>-0.43092981848423528</v>
      </c>
      <c r="K47">
        <f>MAX(Hit!K47,Stand!K47,Double!K47)</f>
        <v>-0.50049824459544523</v>
      </c>
      <c r="N47" s="31">
        <v>24</v>
      </c>
      <c r="O47" s="31" t="str">
        <f>IF(B47=HS!B47,HS!O47,"D")</f>
        <v>H</v>
      </c>
      <c r="P47" s="31" t="str">
        <f>IF(C47=HS!C47,HS!P47,"D")</f>
        <v>S</v>
      </c>
      <c r="Q47" s="31" t="str">
        <f>IF(D47=HS!D47,HS!Q47,"D")</f>
        <v>S</v>
      </c>
      <c r="R47" s="31" t="str">
        <f>IF(E47=HS!E47,HS!R47,"D")</f>
        <v>S</v>
      </c>
      <c r="S47" s="31" t="str">
        <f>IF(F47=HS!F47,HS!S47,"D")</f>
        <v>S</v>
      </c>
      <c r="T47" s="31" t="str">
        <f>IF(G47=HS!G47,HS!T47,"D")</f>
        <v>S</v>
      </c>
      <c r="U47" s="31" t="str">
        <f>IF(H47=HS!H47,HS!U47,"D")</f>
        <v>H</v>
      </c>
      <c r="V47" s="31" t="str">
        <f>IF(I47=HS!I47,HS!V47,"D")</f>
        <v>H</v>
      </c>
      <c r="W47" s="31" t="str">
        <f>IF(J47=HS!J47,HS!W47,"D")</f>
        <v>H</v>
      </c>
      <c r="X47" s="31" t="str">
        <f>IF(K47=HS!K47,HS!X47,"D")</f>
        <v>H</v>
      </c>
    </row>
    <row r="48" spans="1:24" x14ac:dyDescent="0.2">
      <c r="A48">
        <v>25</v>
      </c>
      <c r="B48">
        <f>MAX(Hit!B48,Stand!B48,Double!B48)</f>
        <v>-0.572177952827156</v>
      </c>
      <c r="C48">
        <f>MAX(Hit!C48,Stand!C48,Double!C48)</f>
        <v>-0.29278372720927726</v>
      </c>
      <c r="D48">
        <f>MAX(Hit!D48,Stand!D48,Double!D48)</f>
        <v>-0.2522502292357135</v>
      </c>
      <c r="E48">
        <f>MAX(Hit!E48,Stand!E48,Double!E48)</f>
        <v>-0.21106310899491437</v>
      </c>
      <c r="F48">
        <f>MAX(Hit!F48,Stand!F48,Double!F48)</f>
        <v>-0.16719266083547524</v>
      </c>
      <c r="G48">
        <f>MAX(Hit!G48,Stand!G48,Double!G48)</f>
        <v>-0.1536990158300045</v>
      </c>
      <c r="H48">
        <f>MAX(Hit!H48,Stand!H48,Double!H48)</f>
        <v>-0.36976181807381175</v>
      </c>
      <c r="I48">
        <f>MAX(Hit!I48,Stand!I48,Double!I48)</f>
        <v>-0.41678201408103371</v>
      </c>
      <c r="J48">
        <f>MAX(Hit!J48,Stand!J48,Double!J48)</f>
        <v>-0.47157768859250415</v>
      </c>
      <c r="K48">
        <f>MAX(Hit!K48,Stand!K48,Double!K48)</f>
        <v>-0.53617694141005634</v>
      </c>
      <c r="N48" s="31">
        <v>25</v>
      </c>
      <c r="O48" s="31" t="str">
        <f>IF(B48=HS!B48,HS!O48,"D")</f>
        <v>H</v>
      </c>
      <c r="P48" s="31" t="str">
        <f>IF(C48=HS!C48,HS!P48,"D")</f>
        <v>S</v>
      </c>
      <c r="Q48" s="31" t="str">
        <f>IF(D48=HS!D48,HS!Q48,"D")</f>
        <v>S</v>
      </c>
      <c r="R48" s="31" t="str">
        <f>IF(E48=HS!E48,HS!R48,"D")</f>
        <v>S</v>
      </c>
      <c r="S48" s="31" t="str">
        <f>IF(F48=HS!F48,HS!S48,"D")</f>
        <v>S</v>
      </c>
      <c r="T48" s="31" t="str">
        <f>IF(G48=HS!G48,HS!T48,"D")</f>
        <v>S</v>
      </c>
      <c r="U48" s="31" t="str">
        <f>IF(H48=HS!H48,HS!U48,"D")</f>
        <v>H</v>
      </c>
      <c r="V48" s="31" t="str">
        <f>IF(I48=HS!I48,HS!V48,"D")</f>
        <v>H</v>
      </c>
      <c r="W48" s="31" t="str">
        <f>IF(J48=HS!J48,HS!W48,"D")</f>
        <v>H</v>
      </c>
      <c r="X48" s="31" t="str">
        <f>IF(K48=HS!K48,HS!X48,"D")</f>
        <v>H</v>
      </c>
    </row>
    <row r="49" spans="1:24" x14ac:dyDescent="0.2">
      <c r="A49">
        <v>26</v>
      </c>
      <c r="B49">
        <f>MAX(Hit!B49,Stand!B49,Double!B49)</f>
        <v>-0.57578184676460165</v>
      </c>
      <c r="C49">
        <f>MAX(Hit!C49,Stand!C49,Double!C49)</f>
        <v>-0.29278372720927726</v>
      </c>
      <c r="D49">
        <f>MAX(Hit!D49,Stand!D49,Double!D49)</f>
        <v>-0.2522502292357135</v>
      </c>
      <c r="E49">
        <f>MAX(Hit!E49,Stand!E49,Double!E49)</f>
        <v>-0.21106310899491437</v>
      </c>
      <c r="F49">
        <f>MAX(Hit!F49,Stand!F49,Double!F49)</f>
        <v>-0.16719266083547524</v>
      </c>
      <c r="G49">
        <f>MAX(Hit!G49,Stand!G49,Double!G49)</f>
        <v>-0.1536990158300045</v>
      </c>
      <c r="H49">
        <f>MAX(Hit!H49,Stand!H49,Double!H49)</f>
        <v>-0.41477883106853947</v>
      </c>
      <c r="I49">
        <f>MAX(Hit!I49,Stand!I49,Double!I49)</f>
        <v>-0.45844044164667419</v>
      </c>
      <c r="J49">
        <f>MAX(Hit!J49,Stand!J49,Double!J49)</f>
        <v>-0.50932213940732529</v>
      </c>
      <c r="K49">
        <f>MAX(Hit!K49,Stand!K49,Double!K49)</f>
        <v>-0.56930715988076652</v>
      </c>
      <c r="N49" s="31">
        <v>26</v>
      </c>
      <c r="O49" s="31" t="str">
        <f>IF(B49=HS!B49,HS!O49,"D")</f>
        <v>S</v>
      </c>
      <c r="P49" s="31" t="str">
        <f>IF(C49=HS!C49,HS!P49,"D")</f>
        <v>S</v>
      </c>
      <c r="Q49" s="31" t="str">
        <f>IF(D49=HS!D49,HS!Q49,"D")</f>
        <v>S</v>
      </c>
      <c r="R49" s="31" t="str">
        <f>IF(E49=HS!E49,HS!R49,"D")</f>
        <v>S</v>
      </c>
      <c r="S49" s="31" t="str">
        <f>IF(F49=HS!F49,HS!S49,"D")</f>
        <v>S</v>
      </c>
      <c r="T49" s="31" t="str">
        <f>IF(G49=HS!G49,HS!T49,"D")</f>
        <v>S</v>
      </c>
      <c r="U49" s="31" t="str">
        <f>IF(H49=HS!H49,HS!U49,"D")</f>
        <v>H</v>
      </c>
      <c r="V49" s="31" t="str">
        <f>IF(I49=HS!I49,HS!V49,"D")</f>
        <v>H</v>
      </c>
      <c r="W49" s="31" t="str">
        <f>IF(J49=HS!J49,HS!W49,"D")</f>
        <v>H</v>
      </c>
      <c r="X49" s="31" t="str">
        <f>IF(K49=HS!K49,HS!X49,"D")</f>
        <v>H</v>
      </c>
    </row>
    <row r="50" spans="1:24" x14ac:dyDescent="0.2">
      <c r="A50">
        <v>27</v>
      </c>
      <c r="B50">
        <f>MAX(Hit!B50,Stand!B50,Double!B50)</f>
        <v>-0.46435750824198752</v>
      </c>
      <c r="C50">
        <f>MAX(Hit!C50,Stand!C50,Double!C50)</f>
        <v>-0.15297458768154204</v>
      </c>
      <c r="D50">
        <f>MAX(Hit!D50,Stand!D50,Double!D50)</f>
        <v>-0.11721624142457365</v>
      </c>
      <c r="E50">
        <f>MAX(Hit!E50,Stand!E50,Double!E50)</f>
        <v>-8.0573373145316152E-2</v>
      </c>
      <c r="F50">
        <f>MAX(Hit!F50,Stand!F50,Double!F50)</f>
        <v>-4.4941375564924446E-2</v>
      </c>
      <c r="G50">
        <f>MAX(Hit!G50,Stand!G50,Double!G50)</f>
        <v>1.1739160673341853E-2</v>
      </c>
      <c r="H50">
        <f>MAX(Hit!H50,Stand!H50,Double!H50)</f>
        <v>-0.10680898948269468</v>
      </c>
      <c r="I50">
        <f>MAX(Hit!I50,Stand!I50,Double!I50)</f>
        <v>-0.38195097104844711</v>
      </c>
      <c r="J50">
        <f>MAX(Hit!J50,Stand!J50,Double!J50)</f>
        <v>-0.42315423964521737</v>
      </c>
      <c r="K50">
        <f>MAX(Hit!K50,Stand!K50,Double!K50)</f>
        <v>-0.46435750824198763</v>
      </c>
      <c r="N50" s="31">
        <v>27</v>
      </c>
      <c r="O50" s="31" t="str">
        <f>IF(B50=HS!B50,HS!O50,"D")</f>
        <v>S</v>
      </c>
      <c r="P50" s="31" t="str">
        <f>IF(C50=HS!C50,HS!P50,"D")</f>
        <v>S</v>
      </c>
      <c r="Q50" s="31" t="str">
        <f>IF(D50=HS!D50,HS!Q50,"D")</f>
        <v>S</v>
      </c>
      <c r="R50" s="31" t="str">
        <f>IF(E50=HS!E50,HS!R50,"D")</f>
        <v>S</v>
      </c>
      <c r="S50" s="31" t="str">
        <f>IF(F50=HS!F50,HS!S50,"D")</f>
        <v>S</v>
      </c>
      <c r="T50" s="31" t="str">
        <f>IF(G50=HS!G50,HS!T50,"D")</f>
        <v>S</v>
      </c>
      <c r="U50" s="31" t="str">
        <f>IF(H50=HS!H50,HS!U50,"D")</f>
        <v>S</v>
      </c>
      <c r="V50" s="31" t="str">
        <f>IF(I50=HS!I50,HS!V50,"D")</f>
        <v>S</v>
      </c>
      <c r="W50" s="31" t="str">
        <f>IF(J50=HS!J50,HS!W50,"D")</f>
        <v>S</v>
      </c>
      <c r="X50" s="31" t="str">
        <f>IF(K50=HS!K50,HS!X50,"D")</f>
        <v>S</v>
      </c>
    </row>
    <row r="51" spans="1:24" x14ac:dyDescent="0.2">
      <c r="A51">
        <v>28</v>
      </c>
      <c r="B51">
        <f>MAX(Hit!B51,Stand!B51,Double!B51)</f>
        <v>-0.24150883119675959</v>
      </c>
      <c r="C51">
        <f>MAX(Hit!C51,Stand!C51,Double!C51)</f>
        <v>0.12174190222088771</v>
      </c>
      <c r="D51">
        <f>MAX(Hit!D51,Stand!D51,Double!D51)</f>
        <v>0.14830007284131119</v>
      </c>
      <c r="E51">
        <f>MAX(Hit!E51,Stand!E51,Double!E51)</f>
        <v>0.17585443719748528</v>
      </c>
      <c r="F51">
        <f>MAX(Hit!F51,Stand!F51,Double!F51)</f>
        <v>0.19956119497617719</v>
      </c>
      <c r="G51">
        <f>MAX(Hit!G51,Stand!G51,Double!G51)</f>
        <v>0.28344391604689856</v>
      </c>
      <c r="H51">
        <f>MAX(Hit!H51,Stand!H51,Double!H51)</f>
        <v>0.3995541673365518</v>
      </c>
      <c r="I51">
        <f>MAX(Hit!I51,Stand!I51,Double!I51)</f>
        <v>0.10595134861912359</v>
      </c>
      <c r="J51">
        <f>MAX(Hit!J51,Stand!J51,Double!J51)</f>
        <v>-0.18316335667343331</v>
      </c>
      <c r="K51">
        <f>MAX(Hit!K51,Stand!K51,Double!K51)</f>
        <v>-0.24150883119675959</v>
      </c>
      <c r="N51" s="31">
        <v>28</v>
      </c>
      <c r="O51" s="31" t="str">
        <f>IF(B51=HS!B51,HS!O51,"D")</f>
        <v>S</v>
      </c>
      <c r="P51" s="31" t="str">
        <f>IF(C51=HS!C51,HS!P51,"D")</f>
        <v>S</v>
      </c>
      <c r="Q51" s="31" t="str">
        <f>IF(D51=HS!D51,HS!Q51,"D")</f>
        <v>S</v>
      </c>
      <c r="R51" s="31" t="str">
        <f>IF(E51=HS!E51,HS!R51,"D")</f>
        <v>S</v>
      </c>
      <c r="S51" s="31" t="str">
        <f>IF(F51=HS!F51,HS!S51,"D")</f>
        <v>S</v>
      </c>
      <c r="T51" s="31" t="str">
        <f>IF(G51=HS!G51,HS!T51,"D")</f>
        <v>S</v>
      </c>
      <c r="U51" s="31" t="str">
        <f>IF(H51=HS!H51,HS!U51,"D")</f>
        <v>S</v>
      </c>
      <c r="V51" s="31" t="str">
        <f>IF(I51=HS!I51,HS!V51,"D")</f>
        <v>S</v>
      </c>
      <c r="W51" s="31" t="str">
        <f>IF(J51=HS!J51,HS!W51,"D")</f>
        <v>S</v>
      </c>
      <c r="X51" s="31" t="str">
        <f>IF(K51=HS!K51,HS!X51,"D")</f>
        <v>S</v>
      </c>
    </row>
    <row r="52" spans="1:24" x14ac:dyDescent="0.2">
      <c r="A52">
        <v>29</v>
      </c>
      <c r="B52">
        <f>MAX(Hit!B52,Stand!B52,Double!B52)</f>
        <v>-1.8660154151531549E-2</v>
      </c>
      <c r="C52">
        <f>MAX(Hit!C52,Stand!C52,Double!C52)</f>
        <v>0.38630468602058987</v>
      </c>
      <c r="D52">
        <f>MAX(Hit!D52,Stand!D52,Double!D52)</f>
        <v>0.40436293659776001</v>
      </c>
      <c r="E52">
        <f>MAX(Hit!E52,Stand!E52,Double!E52)</f>
        <v>0.42317892482749647</v>
      </c>
      <c r="F52">
        <f>MAX(Hit!F52,Stand!F52,Double!F52)</f>
        <v>0.43951210416088371</v>
      </c>
      <c r="G52">
        <f>MAX(Hit!G52,Stand!G52,Double!G52)</f>
        <v>0.49597707378731909</v>
      </c>
      <c r="H52">
        <f>MAX(Hit!H52,Stand!H52,Double!H52)</f>
        <v>0.6159764957534315</v>
      </c>
      <c r="I52">
        <f>MAX(Hit!I52,Stand!I52,Double!I52)</f>
        <v>0.5938536682866945</v>
      </c>
      <c r="J52">
        <f>MAX(Hit!J52,Stand!J52,Double!J52)</f>
        <v>0.28759675706758142</v>
      </c>
      <c r="K52">
        <f>MAX(Hit!K52,Stand!K52,Double!K52)</f>
        <v>-1.8660154151531536E-2</v>
      </c>
      <c r="N52" s="31">
        <v>29</v>
      </c>
      <c r="O52" s="31" t="str">
        <f>IF(B52=HS!B52,HS!O52,"D")</f>
        <v>S</v>
      </c>
      <c r="P52" s="31" t="str">
        <f>IF(C52=HS!C52,HS!P52,"D")</f>
        <v>S</v>
      </c>
      <c r="Q52" s="31" t="str">
        <f>IF(D52=HS!D52,HS!Q52,"D")</f>
        <v>S</v>
      </c>
      <c r="R52" s="31" t="str">
        <f>IF(E52=HS!E52,HS!R52,"D")</f>
        <v>S</v>
      </c>
      <c r="S52" s="31" t="str">
        <f>IF(F52=HS!F52,HS!S52,"D")</f>
        <v>S</v>
      </c>
      <c r="T52" s="31" t="str">
        <f>IF(G52=HS!G52,HS!T52,"D")</f>
        <v>S</v>
      </c>
      <c r="U52" s="31" t="str">
        <f>IF(H52=HS!H52,HS!U52,"D")</f>
        <v>S</v>
      </c>
      <c r="V52" s="31" t="str">
        <f>IF(I52=HS!I52,HS!V52,"D")</f>
        <v>S</v>
      </c>
      <c r="W52" s="31" t="str">
        <f>IF(J52=HS!J52,HS!W52,"D")</f>
        <v>S</v>
      </c>
      <c r="X52" s="31" t="str">
        <f>IF(K52=HS!K52,HS!X52,"D")</f>
        <v>S</v>
      </c>
    </row>
    <row r="53" spans="1:24" x14ac:dyDescent="0.2">
      <c r="A53">
        <v>30</v>
      </c>
      <c r="B53">
        <f>MAX(Hit!B53,Stand!B53,Double!B53)</f>
        <v>0.20418852289369649</v>
      </c>
      <c r="C53">
        <f>MAX(Hit!C53,Stand!C53,Double!C53)</f>
        <v>0.63998657521683877</v>
      </c>
      <c r="D53">
        <f>MAX(Hit!D53,Stand!D53,Double!D53)</f>
        <v>0.65027209425148136</v>
      </c>
      <c r="E53">
        <f>MAX(Hit!E53,Stand!E53,Double!E53)</f>
        <v>0.66104996194807186</v>
      </c>
      <c r="F53">
        <f>MAX(Hit!F53,Stand!F53,Double!F53)</f>
        <v>0.67035969063279999</v>
      </c>
      <c r="G53">
        <f>MAX(Hit!G53,Stand!G53,Double!G53)</f>
        <v>0.70395857017134467</v>
      </c>
      <c r="H53">
        <f>MAX(Hit!H53,Stand!H53,Double!H53)</f>
        <v>0.77322722653717491</v>
      </c>
      <c r="I53">
        <f>MAX(Hit!I53,Stand!I53,Double!I53)</f>
        <v>0.79181515955189841</v>
      </c>
      <c r="J53">
        <f>MAX(Hit!J53,Stand!J53,Double!J53)</f>
        <v>0.75835687080859626</v>
      </c>
      <c r="K53">
        <f>MAX(Hit!K53,Stand!K53,Double!K53)</f>
        <v>0.43495775366292722</v>
      </c>
      <c r="N53" s="31">
        <v>30</v>
      </c>
      <c r="O53" s="31" t="str">
        <f>IF(B53=HS!B53,HS!O53,"D")</f>
        <v>S</v>
      </c>
      <c r="P53" s="31" t="str">
        <f>IF(C53=HS!C53,HS!P53,"D")</f>
        <v>S</v>
      </c>
      <c r="Q53" s="31" t="str">
        <f>IF(D53=HS!D53,HS!Q53,"D")</f>
        <v>S</v>
      </c>
      <c r="R53" s="31" t="str">
        <f>IF(E53=HS!E53,HS!R53,"D")</f>
        <v>S</v>
      </c>
      <c r="S53" s="31" t="str">
        <f>IF(F53=HS!F53,HS!S53,"D")</f>
        <v>S</v>
      </c>
      <c r="T53" s="31" t="str">
        <f>IF(G53=HS!G53,HS!T53,"D")</f>
        <v>S</v>
      </c>
      <c r="U53" s="31" t="str">
        <f>IF(H53=HS!H53,HS!U53,"D")</f>
        <v>S</v>
      </c>
      <c r="V53" s="31" t="str">
        <f>IF(I53=HS!I53,HS!V53,"D")</f>
        <v>S</v>
      </c>
      <c r="W53" s="31" t="str">
        <f>IF(J53=HS!J53,HS!W53,"D")</f>
        <v>S</v>
      </c>
      <c r="X53" s="31" t="str">
        <f>IF(K53=HS!K53,HS!X53,"D")</f>
        <v>S</v>
      </c>
    </row>
    <row r="54" spans="1:24" x14ac:dyDescent="0.2">
      <c r="A54">
        <v>31</v>
      </c>
      <c r="B54">
        <f>MAX(Hit!B54,Stand!B54,Double!B54)</f>
        <v>0.65780643070815525</v>
      </c>
      <c r="C54">
        <f>MAX(Hit!C54,Stand!C54,Double!C54)</f>
        <v>0.88200651549403997</v>
      </c>
      <c r="D54">
        <f>MAX(Hit!D54,Stand!D54,Double!D54)</f>
        <v>0.88530035730174927</v>
      </c>
      <c r="E54">
        <f>MAX(Hit!E54,Stand!E54,Double!E54)</f>
        <v>0.88876729296591961</v>
      </c>
      <c r="F54">
        <f>MAX(Hit!F54,Stand!F54,Double!F54)</f>
        <v>0.89175382659528035</v>
      </c>
      <c r="G54">
        <f>MAX(Hit!G54,Stand!G54,Double!G54)</f>
        <v>0.90283674384257995</v>
      </c>
      <c r="H54">
        <f>MAX(Hit!H54,Stand!H54,Double!H54)</f>
        <v>0.92592629596452325</v>
      </c>
      <c r="I54">
        <f>MAX(Hit!I54,Stand!I54,Double!I54)</f>
        <v>0.93060505318396614</v>
      </c>
      <c r="J54">
        <f>MAX(Hit!J54,Stand!J54,Double!J54)</f>
        <v>0.93917615614724415</v>
      </c>
      <c r="K54">
        <f>MAX(Hit!K54,Stand!K54,Double!K54)</f>
        <v>0.88857566147738598</v>
      </c>
      <c r="N54" s="31">
        <v>31</v>
      </c>
      <c r="O54" s="31" t="str">
        <f>IF(B54=HS!B54,HS!O54,"D")</f>
        <v>S</v>
      </c>
      <c r="P54" s="31" t="str">
        <f>IF(C54=HS!C54,HS!P54,"D")</f>
        <v>S</v>
      </c>
      <c r="Q54" s="31" t="str">
        <f>IF(D54=HS!D54,HS!Q54,"D")</f>
        <v>S</v>
      </c>
      <c r="R54" s="31" t="str">
        <f>IF(E54=HS!E54,HS!R54,"D")</f>
        <v>S</v>
      </c>
      <c r="S54" s="31" t="str">
        <f>IF(F54=HS!F54,HS!S54,"D")</f>
        <v>S</v>
      </c>
      <c r="T54" s="31" t="str">
        <f>IF(G54=HS!G54,HS!T54,"D")</f>
        <v>S</v>
      </c>
      <c r="U54" s="31" t="str">
        <f>IF(H54=HS!H54,HS!U54,"D")</f>
        <v>S</v>
      </c>
      <c r="V54" s="31" t="str">
        <f>IF(I54=HS!I54,HS!V54,"D")</f>
        <v>S</v>
      </c>
      <c r="W54" s="31" t="str">
        <f>IF(J54=HS!J54,HS!W54,"D")</f>
        <v>S</v>
      </c>
      <c r="X54" s="31" t="str">
        <f>IF(K54=HS!K54,HS!X54,"D")</f>
        <v>S</v>
      </c>
    </row>
  </sheetData>
  <sheetProtection sheet="1" objects="1" scenarios="1"/>
  <phoneticPr fontId="16" type="noConversion"/>
  <conditionalFormatting sqref="O2:X31">
    <cfRule type="containsText" dxfId="1011" priority="16" operator="containsText" text="S">
      <formula>NOT(ISERROR(SEARCH("S",O2)))</formula>
    </cfRule>
    <cfRule type="containsText" dxfId="1010" priority="17" operator="containsText" text="H">
      <formula>NOT(ISERROR(SEARCH("H",O2)))</formula>
    </cfRule>
  </conditionalFormatting>
  <conditionalFormatting sqref="O2:X31">
    <cfRule type="containsText" dxfId="1009" priority="13" operator="containsText" text="D">
      <formula>NOT(ISERROR(SEARCH("D",O2)))</formula>
    </cfRule>
  </conditionalFormatting>
  <conditionalFormatting sqref="O34:X54">
    <cfRule type="containsText" dxfId="1008" priority="2" operator="containsText" text="S">
      <formula>NOT(ISERROR(SEARCH("S",O34)))</formula>
    </cfRule>
    <cfRule type="containsText" dxfId="1007" priority="3" operator="containsText" text="H">
      <formula>NOT(ISERROR(SEARCH("H",O34)))</formula>
    </cfRule>
  </conditionalFormatting>
  <conditionalFormatting sqref="O34:X54">
    <cfRule type="containsText" dxfId="1006" priority="1" operator="containsText" text="D">
      <formula>NOT(ISERROR(SEARCH("D",O34)))</formula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 x14ac:dyDescent="0.2">
      <c r="A3">
        <v>3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 x14ac:dyDescent="0.2">
      <c r="A4">
        <v>4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 x14ac:dyDescent="0.2">
      <c r="A5">
        <v>5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 x14ac:dyDescent="0.2">
      <c r="A6">
        <v>6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 x14ac:dyDescent="0.2">
      <c r="A7">
        <v>7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 x14ac:dyDescent="0.2">
      <c r="A8">
        <v>8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 x14ac:dyDescent="0.2">
      <c r="A9">
        <v>9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 x14ac:dyDescent="0.2">
      <c r="A10">
        <v>10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 x14ac:dyDescent="0.2">
      <c r="A11">
        <v>11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 x14ac:dyDescent="0.2">
      <c r="A12">
        <v>12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 x14ac:dyDescent="0.2">
      <c r="A13">
        <v>13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 x14ac:dyDescent="0.2">
      <c r="A14">
        <v>14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 x14ac:dyDescent="0.2">
      <c r="A15">
        <v>15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 x14ac:dyDescent="0.2">
      <c r="A16">
        <v>16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2">
      <c r="A17">
        <v>17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2">
      <c r="A18">
        <v>18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2">
      <c r="A19">
        <v>19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2">
      <c r="A20">
        <v>20</v>
      </c>
      <c r="B20">
        <v>-0.5</v>
      </c>
      <c r="C20">
        <v>-0.5</v>
      </c>
      <c r="D20">
        <v>-0.5</v>
      </c>
      <c r="E20">
        <v>-0.5</v>
      </c>
      <c r="F20">
        <v>-0.5</v>
      </c>
      <c r="G20">
        <v>-0.5</v>
      </c>
      <c r="H20">
        <v>-0.5</v>
      </c>
      <c r="I20">
        <v>-0.5</v>
      </c>
      <c r="J20">
        <v>-0.5</v>
      </c>
      <c r="K20">
        <v>-0.5</v>
      </c>
    </row>
    <row r="21" spans="1:11" x14ac:dyDescent="0.2">
      <c r="A21">
        <v>21</v>
      </c>
      <c r="B21">
        <v>-0.5</v>
      </c>
      <c r="C21">
        <v>-0.5</v>
      </c>
      <c r="D21">
        <v>-0.5</v>
      </c>
      <c r="E21">
        <v>-0.5</v>
      </c>
      <c r="F21">
        <v>-0.5</v>
      </c>
      <c r="G21">
        <v>-0.5</v>
      </c>
      <c r="H21">
        <v>-0.5</v>
      </c>
      <c r="I21">
        <v>-0.5</v>
      </c>
      <c r="J21">
        <v>-0.5</v>
      </c>
      <c r="K21">
        <v>-0.5</v>
      </c>
    </row>
    <row r="22" spans="1:11" x14ac:dyDescent="0.2">
      <c r="A22">
        <v>22</v>
      </c>
      <c r="B22">
        <v>-0.5</v>
      </c>
      <c r="C22">
        <v>-0.5</v>
      </c>
      <c r="D22">
        <v>-0.5</v>
      </c>
      <c r="E22">
        <v>-0.5</v>
      </c>
      <c r="F22">
        <v>-0.5</v>
      </c>
      <c r="G22">
        <v>-0.5</v>
      </c>
      <c r="H22">
        <v>-0.5</v>
      </c>
      <c r="I22">
        <v>-0.5</v>
      </c>
      <c r="J22">
        <v>-0.5</v>
      </c>
      <c r="K22">
        <v>-0.5</v>
      </c>
    </row>
    <row r="23" spans="1:11" x14ac:dyDescent="0.2">
      <c r="A23">
        <v>23</v>
      </c>
      <c r="B23">
        <v>-0.5</v>
      </c>
      <c r="C23">
        <v>-0.5</v>
      </c>
      <c r="D23">
        <v>-0.5</v>
      </c>
      <c r="E23">
        <v>-0.5</v>
      </c>
      <c r="F23">
        <v>-0.5</v>
      </c>
      <c r="G23">
        <v>-0.5</v>
      </c>
      <c r="H23">
        <v>-0.5</v>
      </c>
      <c r="I23">
        <v>-0.5</v>
      </c>
      <c r="J23">
        <v>-0.5</v>
      </c>
      <c r="K23">
        <v>-0.5</v>
      </c>
    </row>
    <row r="24" spans="1:11" x14ac:dyDescent="0.2">
      <c r="A24">
        <v>24</v>
      </c>
      <c r="B24">
        <v>-0.5</v>
      </c>
      <c r="C24">
        <v>-0.5</v>
      </c>
      <c r="D24">
        <v>-0.5</v>
      </c>
      <c r="E24">
        <v>-0.5</v>
      </c>
      <c r="F24">
        <v>-0.5</v>
      </c>
      <c r="G24">
        <v>-0.5</v>
      </c>
      <c r="H24">
        <v>-0.5</v>
      </c>
      <c r="I24">
        <v>-0.5</v>
      </c>
      <c r="J24">
        <v>-0.5</v>
      </c>
      <c r="K24">
        <v>-0.5</v>
      </c>
    </row>
    <row r="25" spans="1:11" x14ac:dyDescent="0.2">
      <c r="A25">
        <v>25</v>
      </c>
      <c r="B25">
        <v>-0.5</v>
      </c>
      <c r="C25">
        <v>-0.5</v>
      </c>
      <c r="D25">
        <v>-0.5</v>
      </c>
      <c r="E25">
        <v>-0.5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</row>
    <row r="26" spans="1:11" x14ac:dyDescent="0.2">
      <c r="A26">
        <v>26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</row>
    <row r="27" spans="1:11" x14ac:dyDescent="0.2">
      <c r="A27">
        <v>27</v>
      </c>
      <c r="B27">
        <v>-0.5</v>
      </c>
      <c r="C27">
        <v>-0.5</v>
      </c>
      <c r="D27">
        <v>-0.5</v>
      </c>
      <c r="E27">
        <v>-0.5</v>
      </c>
      <c r="F27">
        <v>-0.5</v>
      </c>
      <c r="G27">
        <v>-0.5</v>
      </c>
      <c r="H27">
        <v>-0.5</v>
      </c>
      <c r="I27">
        <v>-0.5</v>
      </c>
      <c r="J27">
        <v>-0.5</v>
      </c>
      <c r="K27">
        <v>-0.5</v>
      </c>
    </row>
    <row r="28" spans="1:11" x14ac:dyDescent="0.2">
      <c r="A28">
        <v>28</v>
      </c>
      <c r="B28">
        <v>-0.5</v>
      </c>
      <c r="C28">
        <v>-0.5</v>
      </c>
      <c r="D28">
        <v>-0.5</v>
      </c>
      <c r="E28">
        <v>-0.5</v>
      </c>
      <c r="F28">
        <v>-0.5</v>
      </c>
      <c r="G28">
        <v>-0.5</v>
      </c>
      <c r="H28">
        <v>-0.5</v>
      </c>
      <c r="I28">
        <v>-0.5</v>
      </c>
      <c r="J28">
        <v>-0.5</v>
      </c>
      <c r="K28">
        <v>-0.5</v>
      </c>
    </row>
    <row r="29" spans="1:11" x14ac:dyDescent="0.2">
      <c r="A29">
        <v>29</v>
      </c>
      <c r="B29">
        <v>-0.5</v>
      </c>
      <c r="C29">
        <v>-0.5</v>
      </c>
      <c r="D29">
        <v>-0.5</v>
      </c>
      <c r="E29">
        <v>-0.5</v>
      </c>
      <c r="F29">
        <v>-0.5</v>
      </c>
      <c r="G29">
        <v>-0.5</v>
      </c>
      <c r="H29">
        <v>-0.5</v>
      </c>
      <c r="I29">
        <v>-0.5</v>
      </c>
      <c r="J29">
        <v>-0.5</v>
      </c>
      <c r="K29">
        <v>-0.5</v>
      </c>
    </row>
    <row r="30" spans="1:11" x14ac:dyDescent="0.2">
      <c r="A30">
        <v>30</v>
      </c>
      <c r="B30">
        <v>-0.5</v>
      </c>
      <c r="C30">
        <v>-0.5</v>
      </c>
      <c r="D30">
        <v>-0.5</v>
      </c>
      <c r="E30">
        <v>-0.5</v>
      </c>
      <c r="F30">
        <v>-0.5</v>
      </c>
      <c r="G30">
        <v>-0.5</v>
      </c>
      <c r="H30">
        <v>-0.5</v>
      </c>
      <c r="I30">
        <v>-0.5</v>
      </c>
      <c r="J30">
        <v>-0.5</v>
      </c>
      <c r="K30">
        <v>-0.5</v>
      </c>
    </row>
    <row r="31" spans="1:11" x14ac:dyDescent="0.2">
      <c r="A31">
        <v>31</v>
      </c>
      <c r="B31">
        <v>-0.5</v>
      </c>
      <c r="C31">
        <v>-0.5</v>
      </c>
      <c r="D31">
        <v>-0.5</v>
      </c>
      <c r="E31">
        <v>-0.5</v>
      </c>
      <c r="F31">
        <v>-0.5</v>
      </c>
      <c r="G31">
        <v>-0.5</v>
      </c>
      <c r="H31">
        <v>-0.5</v>
      </c>
      <c r="I31">
        <v>-0.5</v>
      </c>
      <c r="J31">
        <v>-0.5</v>
      </c>
      <c r="K31">
        <v>-0.5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-0.5</v>
      </c>
      <c r="I34">
        <v>-0.5</v>
      </c>
      <c r="J34">
        <v>-0.5</v>
      </c>
      <c r="K34">
        <v>-0.5</v>
      </c>
    </row>
    <row r="35" spans="1:11" x14ac:dyDescent="0.2">
      <c r="A35">
        <v>12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</row>
    <row r="36" spans="1:11" x14ac:dyDescent="0.2">
      <c r="A36">
        <v>13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</row>
    <row r="37" spans="1:11" x14ac:dyDescent="0.2">
      <c r="A37">
        <v>14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</row>
    <row r="38" spans="1:11" x14ac:dyDescent="0.2">
      <c r="A38">
        <v>15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</row>
    <row r="39" spans="1:11" x14ac:dyDescent="0.2">
      <c r="A39">
        <v>16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</row>
    <row r="40" spans="1:11" x14ac:dyDescent="0.2">
      <c r="A40">
        <v>17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</row>
    <row r="41" spans="1:11" x14ac:dyDescent="0.2">
      <c r="A41">
        <v>18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</row>
    <row r="42" spans="1:11" x14ac:dyDescent="0.2">
      <c r="A42">
        <v>19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</row>
    <row r="43" spans="1:11" x14ac:dyDescent="0.2">
      <c r="A43">
        <v>20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</row>
    <row r="44" spans="1:11" x14ac:dyDescent="0.2">
      <c r="A44">
        <v>21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</row>
    <row r="45" spans="1:11" x14ac:dyDescent="0.2">
      <c r="A45">
        <v>22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</row>
    <row r="46" spans="1:11" x14ac:dyDescent="0.2">
      <c r="A46">
        <v>23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-0.5</v>
      </c>
      <c r="I46">
        <v>-0.5</v>
      </c>
      <c r="J46">
        <v>-0.5</v>
      </c>
      <c r="K46">
        <v>-0.5</v>
      </c>
    </row>
    <row r="47" spans="1:11" x14ac:dyDescent="0.2">
      <c r="A47">
        <v>24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-0.5</v>
      </c>
      <c r="I47">
        <v>-0.5</v>
      </c>
      <c r="J47">
        <v>-0.5</v>
      </c>
      <c r="K47">
        <v>-0.5</v>
      </c>
    </row>
    <row r="48" spans="1:11" x14ac:dyDescent="0.2">
      <c r="A48">
        <v>25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-0.5</v>
      </c>
      <c r="I48">
        <v>-0.5</v>
      </c>
      <c r="J48">
        <v>-0.5</v>
      </c>
      <c r="K48">
        <v>-0.5</v>
      </c>
    </row>
    <row r="49" spans="1:11" x14ac:dyDescent="0.2">
      <c r="A49">
        <v>26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-0.5</v>
      </c>
      <c r="I49">
        <v>-0.5</v>
      </c>
      <c r="J49">
        <v>-0.5</v>
      </c>
      <c r="K49">
        <v>-0.5</v>
      </c>
    </row>
    <row r="50" spans="1:11" x14ac:dyDescent="0.2">
      <c r="A50">
        <v>27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-0.5</v>
      </c>
      <c r="I50">
        <v>-0.5</v>
      </c>
      <c r="J50">
        <v>-0.5</v>
      </c>
      <c r="K50">
        <v>-0.5</v>
      </c>
    </row>
    <row r="51" spans="1:11" x14ac:dyDescent="0.2">
      <c r="A51">
        <v>28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-0.5</v>
      </c>
      <c r="I51">
        <v>-0.5</v>
      </c>
      <c r="J51">
        <v>-0.5</v>
      </c>
      <c r="K51">
        <v>-0.5</v>
      </c>
    </row>
    <row r="52" spans="1:11" x14ac:dyDescent="0.2">
      <c r="A52">
        <v>29</v>
      </c>
      <c r="B52">
        <v>-0.5</v>
      </c>
      <c r="C52">
        <v>-0.5</v>
      </c>
      <c r="D52">
        <v>-0.5</v>
      </c>
      <c r="E52">
        <v>-0.5</v>
      </c>
      <c r="F52">
        <v>-0.5</v>
      </c>
      <c r="G52">
        <v>-0.5</v>
      </c>
      <c r="H52">
        <v>-0.5</v>
      </c>
      <c r="I52">
        <v>-0.5</v>
      </c>
      <c r="J52">
        <v>-0.5</v>
      </c>
      <c r="K52">
        <v>-0.5</v>
      </c>
    </row>
    <row r="53" spans="1:11" x14ac:dyDescent="0.2">
      <c r="A53">
        <v>30</v>
      </c>
      <c r="B53">
        <v>-0.5</v>
      </c>
      <c r="C53">
        <v>-0.5</v>
      </c>
      <c r="D53">
        <v>-0.5</v>
      </c>
      <c r="E53">
        <v>-0.5</v>
      </c>
      <c r="F53">
        <v>-0.5</v>
      </c>
      <c r="G53">
        <v>-0.5</v>
      </c>
      <c r="H53">
        <v>-0.5</v>
      </c>
      <c r="I53">
        <v>-0.5</v>
      </c>
      <c r="J53">
        <v>-0.5</v>
      </c>
      <c r="K53">
        <v>-0.5</v>
      </c>
    </row>
    <row r="54" spans="1:11" x14ac:dyDescent="0.2">
      <c r="A54">
        <v>31</v>
      </c>
      <c r="B54">
        <v>-0.5</v>
      </c>
      <c r="C54">
        <v>-0.5</v>
      </c>
      <c r="D54">
        <v>-0.5</v>
      </c>
      <c r="E54">
        <v>-0.5</v>
      </c>
      <c r="F54">
        <v>-0.5</v>
      </c>
      <c r="G54">
        <v>-0.5</v>
      </c>
      <c r="H54">
        <v>-0.5</v>
      </c>
      <c r="I54">
        <v>-0.5</v>
      </c>
      <c r="J54">
        <v>-0.5</v>
      </c>
      <c r="K54">
        <v>-0.5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54"/>
  <sheetViews>
    <sheetView topLeftCell="A16" workbookViewId="0">
      <selection activeCell="K9" sqref="K9"/>
    </sheetView>
  </sheetViews>
  <sheetFormatPr baseColWidth="10" defaultColWidth="8.83203125" defaultRowHeight="16" x14ac:dyDescent="0.2"/>
  <cols>
    <col min="12" max="12" width="4.83203125" customWidth="1"/>
    <col min="13" max="13" width="4.6640625" customWidth="1"/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IF(AND(Rules!$B$8=Rules!$E$8,Rules!$B$7=Rules!$E$7),MAX(Hit!B2,Stand!B2,Double!B2,Surrender!B2),MAX(Hit!B2,Stand!B2,Double!B2))</f>
        <v>-0.34456837192534162</v>
      </c>
      <c r="C2">
        <f>IF(Rules!$B$7=Rules!$E$7,MAX(Hit!C2,Stand!C2,Double!C2,Surrender!C2),MAX(Hit!C2,Stand!C2,Double!C2))</f>
        <v>-7.5884358318949102E-2</v>
      </c>
      <c r="D2">
        <f>IF(Rules!$B$7=Rules!$E$7,MAX(Hit!D2,Stand!D2,Double!D2,Surrender!D2),MAX(Hit!D2,Stand!D2,Double!D2))</f>
        <v>-4.9750706146412041E-2</v>
      </c>
      <c r="E2">
        <f>IF(Rules!$B$7=Rules!$E$7,MAX(Hit!E2,Stand!E2,Double!E2,Surrender!E2),MAX(Hit!E2,Stand!E2,Double!E2))</f>
        <v>-2.2100412135834389E-2</v>
      </c>
      <c r="F2">
        <f>IF(Rules!$B$7=Rules!$E$7,MAX(Hit!F2,Stand!F2,Double!F2,Surrender!F2),MAX(Hit!F2,Stand!F2,Double!F2))</f>
        <v>1.3730032284783571E-2</v>
      </c>
      <c r="G2">
        <f>IF(Rules!$B$7=Rules!$E$7,MAX(Hit!G2,Stand!G2,Double!G2,Surrender!G2),MAX(Hit!G2,Stand!G2,Double!G2))</f>
        <v>3.8883411946301231E-2</v>
      </c>
      <c r="H2">
        <f>IF(Rules!$B$7=Rules!$E$7,MAX(Hit!H2,Stand!H2,Double!H2,Surrender!H2),MAX(Hit!H2,Stand!H2,Double!H2))</f>
        <v>-2.7257021375862247E-2</v>
      </c>
      <c r="I2">
        <f>IF(Rules!$B$7=Rules!$E$7,MAX(Hit!I2,Stand!I2,Double!I2,Surrender!I2),MAX(Hit!I2,Stand!I2,Double!I2))</f>
        <v>-0.10316172777512723</v>
      </c>
      <c r="J2">
        <f>IF(Rules!$B$7=Rules!$E$7,MAX(Hit!J2,Stand!J2,Double!J2,Surrender!J2),MAX(Hit!J2,Stand!J2,Double!J2))</f>
        <v>-0.19004714305350842</v>
      </c>
      <c r="K2">
        <f>IF(Rules!$B$7=Rules!$E$7,MAX(Hit!K2,Stand!K2,Double!K2,Surrender!K2),MAX(Hit!K2,Stand!K2,Double!K2))</f>
        <v>-0.29096372773977425</v>
      </c>
      <c r="N2" s="31">
        <v>2</v>
      </c>
      <c r="O2" s="31" t="str">
        <f>IF(B2=Surrender!B2,"R",HSD!O2)</f>
        <v>H</v>
      </c>
      <c r="P2" s="31" t="str">
        <f>IF(C2=Surrender!C2,"R",HSD!P2)</f>
        <v>H</v>
      </c>
      <c r="Q2" s="31" t="str">
        <f>IF(D2=Surrender!D2,"R",HSD!Q2)</f>
        <v>H</v>
      </c>
      <c r="R2" s="31" t="str">
        <f>IF(E2=Surrender!E2,"R",HSD!R2)</f>
        <v>H</v>
      </c>
      <c r="S2" s="31" t="str">
        <f>IF(F2=Surrender!F2,"R",HSD!S2)</f>
        <v>H</v>
      </c>
      <c r="T2" s="31" t="str">
        <f>IF(G2=Surrender!G2,"R",HSD!T2)</f>
        <v>H</v>
      </c>
      <c r="U2" s="31" t="str">
        <f>IF(H2=Surrender!H2,"R",HSD!U2)</f>
        <v>H</v>
      </c>
      <c r="V2" s="31" t="str">
        <f>IF(I2=Surrender!I2,"R",HSD!V2)</f>
        <v>H</v>
      </c>
      <c r="W2" s="31" t="str">
        <f>IF(J2=Surrender!J2,"R",HSD!W2)</f>
        <v>H</v>
      </c>
      <c r="X2" s="31" t="str">
        <f>IF(K2=Surrender!K2,"R",HSD!X2)</f>
        <v>H</v>
      </c>
    </row>
    <row r="3" spans="1:24" x14ac:dyDescent="0.2">
      <c r="A3">
        <v>3</v>
      </c>
      <c r="B3">
        <f>IF(AND(Rules!$B$8=Rules!$E$8,Rules!$B$7=Rules!$E$7),MAX(Hit!B3,Stand!B3,Double!B3,Surrender!B3),MAX(Hit!B3,Stand!B3,Double!B3))</f>
        <v>-0.36474464099475529</v>
      </c>
      <c r="C3">
        <f>IF(Rules!$B$7=Rules!$E$7,MAX(Hit!C3,Stand!C3,Double!C3,Surrender!C3),MAX(Hit!C3,Stand!C3,Double!C3))</f>
        <v>-0.10052250439785246</v>
      </c>
      <c r="D3">
        <f>IF(Rules!$B$7=Rules!$E$7,MAX(Hit!D3,Stand!D3,Double!D3,Surrender!D3),MAX(Hit!D3,Stand!D3,Double!D3))</f>
        <v>-6.8875858278897514E-2</v>
      </c>
      <c r="E3">
        <f>IF(Rules!$B$7=Rules!$E$7,MAX(Hit!E3,Stand!E3,Double!E3,Surrender!E3),MAX(Hit!E3,Stand!E3,Double!E3))</f>
        <v>-3.6261290708905339E-2</v>
      </c>
      <c r="F3">
        <f>IF(Rules!$B$7=Rules!$E$7,MAX(Hit!F3,Stand!F3,Double!F3,Surrender!F3),MAX(Hit!F3,Stand!F3,Double!F3))</f>
        <v>1.6995712139687808E-4</v>
      </c>
      <c r="G3">
        <f>IF(Rules!$B$7=Rules!$E$7,MAX(Hit!G3,Stand!G3,Double!G3,Surrender!G3),MAX(Hit!G3,Stand!G3,Double!G3))</f>
        <v>2.447130320655936E-2</v>
      </c>
      <c r="H3">
        <f>IF(Rules!$B$7=Rules!$E$7,MAX(Hit!H3,Stand!H3,Double!H3,Surrender!H3),MAX(Hit!H3,Stand!H3,Double!H3))</f>
        <v>-5.7437588540356667E-2</v>
      </c>
      <c r="I3">
        <f>IF(Rules!$B$7=Rules!$E$7,MAX(Hit!I3,Stand!I3,Double!I3,Surrender!I3),MAX(Hit!I3,Stand!I3,Double!I3))</f>
        <v>-0.13094188065020099</v>
      </c>
      <c r="J3">
        <f>IF(Rules!$B$7=Rules!$E$7,MAX(Hit!J3,Stand!J3,Double!J3,Surrender!J3),MAX(Hit!J3,Stand!J3,Double!J3))</f>
        <v>-0.21507662281362433</v>
      </c>
      <c r="K3">
        <f>IF(Rules!$B$7=Rules!$E$7,MAX(Hit!K3,Stand!K3,Double!K3,Surrender!K3),MAX(Hit!K3,Stand!K3,Double!K3))</f>
        <v>-0.31277980128259808</v>
      </c>
      <c r="N3" s="31">
        <v>3</v>
      </c>
      <c r="O3" s="31" t="str">
        <f>IF(B3=Surrender!B3,"R",HSD!O3)</f>
        <v>H</v>
      </c>
      <c r="P3" s="31" t="str">
        <f>IF(C3=Surrender!C3,"R",HSD!P3)</f>
        <v>H</v>
      </c>
      <c r="Q3" s="31" t="str">
        <f>IF(D3=Surrender!D3,"R",HSD!Q3)</f>
        <v>H</v>
      </c>
      <c r="R3" s="31" t="str">
        <f>IF(E3=Surrender!E3,"R",HSD!R3)</f>
        <v>H</v>
      </c>
      <c r="S3" s="31" t="str">
        <f>IF(F3=Surrender!F3,"R",HSD!S3)</f>
        <v>H</v>
      </c>
      <c r="T3" s="31" t="str">
        <f>IF(G3=Surrender!G3,"R",HSD!T3)</f>
        <v>H</v>
      </c>
      <c r="U3" s="31" t="str">
        <f>IF(H3=Surrender!H3,"R",HSD!U3)</f>
        <v>H</v>
      </c>
      <c r="V3" s="31" t="str">
        <f>IF(I3=Surrender!I3,"R",HSD!V3)</f>
        <v>H</v>
      </c>
      <c r="W3" s="31" t="str">
        <f>IF(J3=Surrender!J3,"R",HSD!W3)</f>
        <v>H</v>
      </c>
      <c r="X3" s="31" t="str">
        <f>IF(K3=Surrender!K3,"R",HSD!X3)</f>
        <v>H</v>
      </c>
    </row>
    <row r="4" spans="1:24" x14ac:dyDescent="0.2">
      <c r="A4">
        <v>4</v>
      </c>
      <c r="B4">
        <f>IF(AND(Rules!$B$8=Rules!$E$8,Rules!$B$7=Rules!$E$7),MAX(Hit!B4,Stand!B4,Double!B4,Surrender!B4),MAX(Hit!B4,Stand!B4,Double!B4))</f>
        <v>-0.38538530661686615</v>
      </c>
      <c r="C4">
        <f>IF(Rules!$B$7=Rules!$E$7,MAX(Hit!C4,Stand!C4,Double!C4,Surrender!C4),MAX(Hit!C4,Stand!C4,Double!C4))</f>
        <v>-0.11491332761892134</v>
      </c>
      <c r="D4">
        <f>IF(Rules!$B$7=Rules!$E$7,MAX(Hit!D4,Stand!D4,Double!D4,Surrender!D4),MAX(Hit!D4,Stand!D4,Double!D4))</f>
        <v>-8.2613314299744348E-2</v>
      </c>
      <c r="E4">
        <f>IF(Rules!$B$7=Rules!$E$7,MAX(Hit!E4,Stand!E4,Double!E4,Surrender!E4),MAX(Hit!E4,Stand!E4,Double!E4))</f>
        <v>-4.9367420106916922E-2</v>
      </c>
      <c r="F4">
        <f>IF(Rules!$B$7=Rules!$E$7,MAX(Hit!F4,Stand!F4,Double!F4,Surrender!F4),MAX(Hit!F4,Stand!F4,Double!F4))</f>
        <v>-1.2379926519926384E-2</v>
      </c>
      <c r="G4">
        <f>IF(Rules!$B$7=Rules!$E$7,MAX(Hit!G4,Stand!G4,Double!G4,Surrender!G4),MAX(Hit!G4,Stand!G4,Double!G4))</f>
        <v>1.1130417280979797E-2</v>
      </c>
      <c r="H4">
        <f>IF(Rules!$B$7=Rules!$E$7,MAX(Hit!H4,Stand!H4,Double!H4,Surrender!H4),MAX(Hit!H4,Stand!H4,Double!H4))</f>
        <v>-8.8279201058463722E-2</v>
      </c>
      <c r="I4">
        <f>IF(Rules!$B$7=Rules!$E$7,MAX(Hit!I4,Stand!I4,Double!I4,Surrender!I4),MAX(Hit!I4,Stand!I4,Double!I4))</f>
        <v>-0.15933415266020512</v>
      </c>
      <c r="J4">
        <f>IF(Rules!$B$7=Rules!$E$7,MAX(Hit!J4,Stand!J4,Double!J4,Surrender!J4),MAX(Hit!J4,Stand!J4,Double!J4))</f>
        <v>-0.24066617915336547</v>
      </c>
      <c r="K4">
        <f>IF(Rules!$B$7=Rules!$E$7,MAX(Hit!K4,Stand!K4,Double!K4,Surrender!K4),MAX(Hit!K4,Stand!K4,Double!K4))</f>
        <v>-0.33509986436351097</v>
      </c>
      <c r="N4" s="31">
        <v>4</v>
      </c>
      <c r="O4" s="31" t="str">
        <f>IF(B4=Surrender!B4,"R",HSD!O4)</f>
        <v>H</v>
      </c>
      <c r="P4" s="31" t="str">
        <f>IF(C4=Surrender!C4,"R",HSD!P4)</f>
        <v>H</v>
      </c>
      <c r="Q4" s="31" t="str">
        <f>IF(D4=Surrender!D4,"R",HSD!Q4)</f>
        <v>H</v>
      </c>
      <c r="R4" s="31" t="str">
        <f>IF(E4=Surrender!E4,"R",HSD!R4)</f>
        <v>H</v>
      </c>
      <c r="S4" s="31" t="str">
        <f>IF(F4=Surrender!F4,"R",HSD!S4)</f>
        <v>H</v>
      </c>
      <c r="T4" s="31" t="str">
        <f>IF(G4=Surrender!G4,"R",HSD!T4)</f>
        <v>H</v>
      </c>
      <c r="U4" s="31" t="str">
        <f>IF(H4=Surrender!H4,"R",HSD!U4)</f>
        <v>H</v>
      </c>
      <c r="V4" s="31" t="str">
        <f>IF(I4=Surrender!I4,"R",HSD!V4)</f>
        <v>H</v>
      </c>
      <c r="W4" s="31" t="str">
        <f>IF(J4=Surrender!J4,"R",HSD!W4)</f>
        <v>H</v>
      </c>
      <c r="X4" s="31" t="str">
        <f>IF(K4=Surrender!K4,"R",HSD!X4)</f>
        <v>H</v>
      </c>
    </row>
    <row r="5" spans="1:24" x14ac:dyDescent="0.2">
      <c r="A5">
        <v>5</v>
      </c>
      <c r="B5">
        <f>IF(AND(Rules!$B$8=Rules!$E$8,Rules!$B$7=Rules!$E$7),MAX(Hit!B5,Stand!B5,Double!B5,Surrender!B5),MAX(Hit!B5,Stand!B5,Double!B5))</f>
        <v>-0.40632230211141912</v>
      </c>
      <c r="C5">
        <f>IF(Rules!$B$7=Rules!$E$7,MAX(Hit!C5,Stand!C5,Double!C5,Surrender!C5),MAX(Hit!C5,Stand!C5,Double!C5))</f>
        <v>-0.12821556706374745</v>
      </c>
      <c r="D5">
        <f>IF(Rules!$B$7=Rules!$E$7,MAX(Hit!D5,Stand!D5,Double!D5,Surrender!D5),MAX(Hit!D5,Stand!D5,Double!D5))</f>
        <v>-9.5310227261489883E-2</v>
      </c>
      <c r="E5">
        <f>IF(Rules!$B$7=Rules!$E$7,MAX(Hit!E5,Stand!E5,Double!E5,Surrender!E5),MAX(Hit!E5,Stand!E5,Double!E5))</f>
        <v>-6.1479464199694238E-2</v>
      </c>
      <c r="F5">
        <f>IF(Rules!$B$7=Rules!$E$7,MAX(Hit!F5,Stand!F5,Double!F5,Surrender!F5),MAX(Hit!F5,Stand!F5,Double!F5))</f>
        <v>-2.397897039185962E-2</v>
      </c>
      <c r="G5">
        <f>IF(Rules!$B$7=Rules!$E$7,MAX(Hit!G5,Stand!G5,Double!G5,Surrender!G5),MAX(Hit!G5,Stand!G5,Double!G5))</f>
        <v>-1.1863378384401623E-3</v>
      </c>
      <c r="H5">
        <f>IF(Rules!$B$7=Rules!$E$7,MAX(Hit!H5,Stand!H5,Double!H5,Surrender!H5),MAX(Hit!H5,Stand!H5,Double!H5))</f>
        <v>-0.11944744188414852</v>
      </c>
      <c r="I5">
        <f>IF(Rules!$B$7=Rules!$E$7,MAX(Hit!I5,Stand!I5,Double!I5,Surrender!I5),MAX(Hit!I5,Stand!I5,Double!I5))</f>
        <v>-0.18809330390318518</v>
      </c>
      <c r="J5">
        <f>IF(Rules!$B$7=Rules!$E$7,MAX(Hit!J5,Stand!J5,Double!J5,Surrender!J5),MAX(Hit!J5,Stand!J5,Double!J5))</f>
        <v>-0.26661505335795899</v>
      </c>
      <c r="K5">
        <f>IF(Rules!$B$7=Rules!$E$7,MAX(Hit!K5,Stand!K5,Double!K5,Surrender!K5),MAX(Hit!K5,Stand!K5,Double!K5))</f>
        <v>-0.3577434525808979</v>
      </c>
      <c r="N5" s="31">
        <v>5</v>
      </c>
      <c r="O5" s="31" t="str">
        <f>IF(B5=Surrender!B5,"R",HSD!O5)</f>
        <v>H</v>
      </c>
      <c r="P5" s="31" t="str">
        <f>IF(C5=Surrender!C5,"R",HSD!P5)</f>
        <v>H</v>
      </c>
      <c r="Q5" s="31" t="str">
        <f>IF(D5=Surrender!D5,"R",HSD!Q5)</f>
        <v>H</v>
      </c>
      <c r="R5" s="31" t="str">
        <f>IF(E5=Surrender!E5,"R",HSD!R5)</f>
        <v>H</v>
      </c>
      <c r="S5" s="31" t="str">
        <f>IF(F5=Surrender!F5,"R",HSD!S5)</f>
        <v>H</v>
      </c>
      <c r="T5" s="31" t="str">
        <f>IF(G5=Surrender!G5,"R",HSD!T5)</f>
        <v>H</v>
      </c>
      <c r="U5" s="31" t="str">
        <f>IF(H5=Surrender!H5,"R",HSD!U5)</f>
        <v>H</v>
      </c>
      <c r="V5" s="31" t="str">
        <f>IF(I5=Surrender!I5,"R",HSD!V5)</f>
        <v>H</v>
      </c>
      <c r="W5" s="31" t="str">
        <f>IF(J5=Surrender!J5,"R",HSD!W5)</f>
        <v>H</v>
      </c>
      <c r="X5" s="31" t="str">
        <f>IF(K5=Surrender!K5,"R",HSD!X5)</f>
        <v>H</v>
      </c>
    </row>
    <row r="6" spans="1:24" x14ac:dyDescent="0.2">
      <c r="A6">
        <v>6</v>
      </c>
      <c r="B6">
        <f>IF(AND(Rules!$B$8=Rules!$E$8,Rules!$B$7=Rules!$E$7),MAX(Hit!B6,Stand!B6,Double!B6,Surrender!B6),MAX(Hit!B6,Stand!B6,Double!B6))</f>
        <v>-0.41968690347101079</v>
      </c>
      <c r="C6">
        <f>IF(Rules!$B$7=Rules!$E$7,MAX(Hit!C6,Stand!C6,Double!C6,Surrender!C6),MAX(Hit!C6,Stand!C6,Double!C6))</f>
        <v>-0.14075911746001987</v>
      </c>
      <c r="D6">
        <f>IF(Rules!$B$7=Rules!$E$7,MAX(Hit!D6,Stand!D6,Double!D6,Surrender!D6),MAX(Hit!D6,Stand!D6,Double!D6))</f>
        <v>-0.10729107800860835</v>
      </c>
      <c r="E6">
        <f>IF(Rules!$B$7=Rules!$E$7,MAX(Hit!E6,Stand!E6,Double!E6,Surrender!E6),MAX(Hit!E6,Stand!E6,Double!E6))</f>
        <v>-7.2917141926387305E-2</v>
      </c>
      <c r="F6">
        <f>IF(Rules!$B$7=Rules!$E$7,MAX(Hit!F6,Stand!F6,Double!F6,Surrender!F6),MAX(Hit!F6,Stand!F6,Double!F6))</f>
        <v>-3.4915973330102178E-2</v>
      </c>
      <c r="G6">
        <f>IF(Rules!$B$7=Rules!$E$7,MAX(Hit!G6,Stand!G6,Double!G6,Surrender!G6),MAX(Hit!G6,Stand!G6,Double!G6))</f>
        <v>-1.3005835529874294E-2</v>
      </c>
      <c r="H6">
        <f>IF(Rules!$B$7=Rules!$E$7,MAX(Hit!H6,Stand!H6,Double!H6,Surrender!H6),MAX(Hit!H6,Stand!H6,Double!H6))</f>
        <v>-0.15193270723669944</v>
      </c>
      <c r="I6">
        <f>IF(Rules!$B$7=Rules!$E$7,MAX(Hit!I6,Stand!I6,Double!I6,Surrender!I6),MAX(Hit!I6,Stand!I6,Double!I6))</f>
        <v>-0.21724188132078476</v>
      </c>
      <c r="J6">
        <f>IF(Rules!$B$7=Rules!$E$7,MAX(Hit!J6,Stand!J6,Double!J6,Surrender!J6),MAX(Hit!J6,Stand!J6,Double!J6))</f>
        <v>-0.29264070019772598</v>
      </c>
      <c r="K6">
        <f>IF(Rules!$B$7=Rules!$E$7,MAX(Hit!K6,Stand!K6,Double!K6,Surrender!K6),MAX(Hit!K6,Stand!K6,Double!K6))</f>
        <v>-0.38050766229289529</v>
      </c>
      <c r="N6" s="31">
        <v>6</v>
      </c>
      <c r="O6" s="31" t="str">
        <f>IF(B6=Surrender!B6,"R",HSD!O6)</f>
        <v>H</v>
      </c>
      <c r="P6" s="31" t="str">
        <f>IF(C6=Surrender!C6,"R",HSD!P6)</f>
        <v>H</v>
      </c>
      <c r="Q6" s="31" t="str">
        <f>IF(D6=Surrender!D6,"R",HSD!Q6)</f>
        <v>H</v>
      </c>
      <c r="R6" s="31" t="str">
        <f>IF(E6=Surrender!E6,"R",HSD!R6)</f>
        <v>H</v>
      </c>
      <c r="S6" s="31" t="str">
        <f>IF(F6=Surrender!F6,"R",HSD!S6)</f>
        <v>H</v>
      </c>
      <c r="T6" s="31" t="str">
        <f>IF(G6=Surrender!G6,"R",HSD!T6)</f>
        <v>H</v>
      </c>
      <c r="U6" s="31" t="str">
        <f>IF(H6=Surrender!H6,"R",HSD!U6)</f>
        <v>H</v>
      </c>
      <c r="V6" s="31" t="str">
        <f>IF(I6=Surrender!I6,"R",HSD!V6)</f>
        <v>H</v>
      </c>
      <c r="W6" s="31" t="str">
        <f>IF(J6=Surrender!J6,"R",HSD!W6)</f>
        <v>H</v>
      </c>
      <c r="X6" s="31" t="str">
        <f>IF(K6=Surrender!K6,"R",HSD!X6)</f>
        <v>H</v>
      </c>
    </row>
    <row r="7" spans="1:24" x14ac:dyDescent="0.2">
      <c r="A7">
        <v>7</v>
      </c>
      <c r="B7">
        <f>IF(AND(Rules!$B$8=Rules!$E$8,Rules!$B$7=Rules!$E$7),MAX(Hit!B7,Stand!B7,Double!B7,Surrender!B7),MAX(Hit!B7,Stand!B7,Double!B7))</f>
        <v>-0.39971038372569095</v>
      </c>
      <c r="C7">
        <f>IF(Rules!$B$7=Rules!$E$7,MAX(Hit!C7,Stand!C7,Double!C7,Surrender!C7),MAX(Hit!C7,Stand!C7,Double!C7))</f>
        <v>-0.10918342786661633</v>
      </c>
      <c r="D7">
        <f>IF(Rules!$B$7=Rules!$E$7,MAX(Hit!D7,Stand!D7,Double!D7,Surrender!D7),MAX(Hit!D7,Stand!D7,Double!D7))</f>
        <v>-7.6582981904463582E-2</v>
      </c>
      <c r="E7">
        <f>IF(Rules!$B$7=Rules!$E$7,MAX(Hit!E7,Stand!E7,Double!E7,Surrender!E7),MAX(Hit!E7,Stand!E7,Double!E7))</f>
        <v>-4.3021794004341876E-2</v>
      </c>
      <c r="F7">
        <f>IF(Rules!$B$7=Rules!$E$7,MAX(Hit!F7,Stand!F7,Double!F7,Surrender!F7),MAX(Hit!F7,Stand!F7,Double!F7))</f>
        <v>-7.2713609029408845E-3</v>
      </c>
      <c r="G7">
        <f>IF(Rules!$B$7=Rules!$E$7,MAX(Hit!G7,Stand!G7,Double!G7,Surrender!G7),MAX(Hit!G7,Stand!G7,Double!G7))</f>
        <v>2.9185342353860864E-2</v>
      </c>
      <c r="H7">
        <f>IF(Rules!$B$7=Rules!$E$7,MAX(Hit!H7,Stand!H7,Double!H7,Surrender!H7),MAX(Hit!H7,Stand!H7,Double!H7))</f>
        <v>-6.8807799580427764E-2</v>
      </c>
      <c r="I7">
        <f>IF(Rules!$B$7=Rules!$E$7,MAX(Hit!I7,Stand!I7,Double!I7,Surrender!I7),MAX(Hit!I7,Stand!I7,Double!I7))</f>
        <v>-0.21060476872434966</v>
      </c>
      <c r="J7">
        <f>IF(Rules!$B$7=Rules!$E$7,MAX(Hit!J7,Stand!J7,Double!J7,Surrender!J7),MAX(Hit!J7,Stand!J7,Double!J7))</f>
        <v>-0.28536544048687662</v>
      </c>
      <c r="K7">
        <f>IF(Rules!$B$7=Rules!$E$7,MAX(Hit!K7,Stand!K7,Double!K7,Surrender!K7),MAX(Hit!K7,Stand!K7,Double!K7))</f>
        <v>-0.36507789921394679</v>
      </c>
      <c r="N7" s="31">
        <v>7</v>
      </c>
      <c r="O7" s="31" t="str">
        <f>IF(B7=Surrender!B7,"R",HSD!O7)</f>
        <v>H</v>
      </c>
      <c r="P7" s="31" t="str">
        <f>IF(C7=Surrender!C7,"R",HSD!P7)</f>
        <v>H</v>
      </c>
      <c r="Q7" s="31" t="str">
        <f>IF(D7=Surrender!D7,"R",HSD!Q7)</f>
        <v>H</v>
      </c>
      <c r="R7" s="31" t="str">
        <f>IF(E7=Surrender!E7,"R",HSD!R7)</f>
        <v>H</v>
      </c>
      <c r="S7" s="31" t="str">
        <f>IF(F7=Surrender!F7,"R",HSD!S7)</f>
        <v>H</v>
      </c>
      <c r="T7" s="31" t="str">
        <f>IF(G7=Surrender!G7,"R",HSD!T7)</f>
        <v>H</v>
      </c>
      <c r="U7" s="31" t="str">
        <f>IF(H7=Surrender!H7,"R",HSD!U7)</f>
        <v>H</v>
      </c>
      <c r="V7" s="31" t="str">
        <f>IF(I7=Surrender!I7,"R",HSD!V7)</f>
        <v>H</v>
      </c>
      <c r="W7" s="31" t="str">
        <f>IF(J7=Surrender!J7,"R",HSD!W7)</f>
        <v>H</v>
      </c>
      <c r="X7" s="31" t="str">
        <f>IF(K7=Surrender!K7,"R",HSD!X7)</f>
        <v>H</v>
      </c>
    </row>
    <row r="8" spans="1:24" x14ac:dyDescent="0.2">
      <c r="A8">
        <v>8</v>
      </c>
      <c r="B8">
        <f>IF(AND(Rules!$B$8=Rules!$E$8,Rules!$B$7=Rules!$E$7),MAX(Hit!B8,Stand!B8,Double!B8,Surrender!B8),MAX(Hit!B8,Stand!B8,Double!B8))</f>
        <v>-0.33034033459070061</v>
      </c>
      <c r="C8">
        <f>IF(Rules!$B$7=Rules!$E$7,MAX(Hit!C8,Stand!C8,Double!C8,Surrender!C8),MAX(Hit!C8,Stand!C8,Double!C8))</f>
        <v>-2.1798188008805671E-2</v>
      </c>
      <c r="D8">
        <f>IF(Rules!$B$7=Rules!$E$7,MAX(Hit!D8,Stand!D8,Double!D8,Surrender!D8),MAX(Hit!D8,Stand!D8,Double!D8))</f>
        <v>8.0052625306546912E-3</v>
      </c>
      <c r="E8">
        <f>IF(Rules!$B$7=Rules!$E$7,MAX(Hit!E8,Stand!E8,Double!E8,Surrender!E8),MAX(Hit!E8,Stand!E8,Double!E8))</f>
        <v>3.8784473277208804E-2</v>
      </c>
      <c r="F8">
        <f>IF(Rules!$B$7=Rules!$E$7,MAX(Hit!F8,Stand!F8,Double!F8,Surrender!F8),MAX(Hit!F8,Stand!F8,Double!F8))</f>
        <v>7.0804635983033826E-2</v>
      </c>
      <c r="G8">
        <f>IF(Rules!$B$7=Rules!$E$7,MAX(Hit!G8,Stand!G8,Double!G8,Surrender!G8),MAX(Hit!G8,Stand!G8,Double!G8))</f>
        <v>0.11496015009622321</v>
      </c>
      <c r="H8">
        <f>IF(Rules!$B$7=Rules!$E$7,MAX(Hit!H8,Stand!H8,Double!H8,Surrender!H8),MAX(Hit!H8,Stand!H8,Double!H8))</f>
        <v>8.2207439363742862E-2</v>
      </c>
      <c r="I8">
        <f>IF(Rules!$B$7=Rules!$E$7,MAX(Hit!I8,Stand!I8,Double!I8,Surrender!I8),MAX(Hit!I8,Stand!I8,Double!I8))</f>
        <v>-5.989827565865629E-2</v>
      </c>
      <c r="J8">
        <f>IF(Rules!$B$7=Rules!$E$7,MAX(Hit!J8,Stand!J8,Double!J8,Surrender!J8),MAX(Hit!J8,Stand!J8,Double!J8))</f>
        <v>-0.2101863319982176</v>
      </c>
      <c r="K8">
        <f>IF(Rules!$B$7=Rules!$E$7,MAX(Hit!K8,Stand!K8,Double!K8,Surrender!K8),MAX(Hit!K8,Stand!K8,Double!K8))</f>
        <v>-0.30177738614031369</v>
      </c>
      <c r="N8" s="31">
        <v>8</v>
      </c>
      <c r="O8" s="31" t="str">
        <f>IF(B8=Surrender!B8,"R",HSD!O8)</f>
        <v>H</v>
      </c>
      <c r="P8" s="31" t="str">
        <f>IF(C8=Surrender!C8,"R",HSD!P8)</f>
        <v>H</v>
      </c>
      <c r="Q8" s="31" t="str">
        <f>IF(D8=Surrender!D8,"R",HSD!Q8)</f>
        <v>H</v>
      </c>
      <c r="R8" s="31" t="str">
        <f>IF(E8=Surrender!E8,"R",HSD!R8)</f>
        <v>H</v>
      </c>
      <c r="S8" s="31" t="str">
        <f>IF(F8=Surrender!F8,"R",HSD!S8)</f>
        <v>H</v>
      </c>
      <c r="T8" s="31" t="str">
        <f>IF(G8=Surrender!G8,"R",HSD!T8)</f>
        <v>H</v>
      </c>
      <c r="U8" s="31" t="str">
        <f>IF(H8=Surrender!H8,"R",HSD!U8)</f>
        <v>H</v>
      </c>
      <c r="V8" s="31" t="str">
        <f>IF(I8=Surrender!I8,"R",HSD!V8)</f>
        <v>H</v>
      </c>
      <c r="W8" s="31" t="str">
        <f>IF(J8=Surrender!J8,"R",HSD!W8)</f>
        <v>H</v>
      </c>
      <c r="X8" s="31" t="str">
        <f>IF(K8=Surrender!K8,"R",HSD!X8)</f>
        <v>H</v>
      </c>
    </row>
    <row r="9" spans="1:24" x14ac:dyDescent="0.2">
      <c r="A9">
        <v>9</v>
      </c>
      <c r="B9">
        <f>IF(AND(Rules!$B$8=Rules!$E$8,Rules!$B$7=Rules!$E$7),MAX(Hit!B9,Stand!B9,Double!B9,Surrender!B9),MAX(Hit!B9,Stand!B9,Double!B9))</f>
        <v>-0.25192476177072076</v>
      </c>
      <c r="C9">
        <f>IF(Rules!$B$7=Rules!$E$7,MAX(Hit!C9,Stand!C9,Double!C9,Surrender!C9),MAX(Hit!C9,Stand!C9,Double!C9))</f>
        <v>7.444603757634051E-2</v>
      </c>
      <c r="D9">
        <f>IF(Rules!$B$7=Rules!$E$7,MAX(Hit!D9,Stand!D9,Double!D9,Surrender!D9),MAX(Hit!D9,Stand!D9,Double!D9))</f>
        <v>0.12081635332999656</v>
      </c>
      <c r="E9">
        <f>IF(Rules!$B$7=Rules!$E$7,MAX(Hit!E9,Stand!E9,Double!E9,Surrender!E9),MAX(Hit!E9,Stand!E9,Double!E9))</f>
        <v>0.1819489340524216</v>
      </c>
      <c r="F9">
        <f>IF(Rules!$B$7=Rules!$E$7,MAX(Hit!F9,Stand!F9,Double!F9,Surrender!F9),MAX(Hit!F9,Stand!F9,Double!F9))</f>
        <v>0.24305722487303633</v>
      </c>
      <c r="G9">
        <f>IF(Rules!$B$7=Rules!$E$7,MAX(Hit!G9,Stand!G9,Double!G9,Surrender!G9),MAX(Hit!G9,Stand!G9,Double!G9))</f>
        <v>0.31705474570166692</v>
      </c>
      <c r="H9">
        <f>IF(Rules!$B$7=Rules!$E$7,MAX(Hit!H9,Stand!H9,Double!H9,Surrender!H9),MAX(Hit!H9,Stand!H9,Double!H9))</f>
        <v>0.17186785993695267</v>
      </c>
      <c r="I9">
        <f>IF(Rules!$B$7=Rules!$E$7,MAX(Hit!I9,Stand!I9,Double!I9,Surrender!I9),MAX(Hit!I9,Stand!I9,Double!I9))</f>
        <v>9.8376217435392585E-2</v>
      </c>
      <c r="J9">
        <f>IF(Rules!$B$7=Rules!$E$7,MAX(Hit!J9,Stand!J9,Double!J9,Surrender!J9),MAX(Hit!J9,Stand!J9,Double!J9))</f>
        <v>-5.217805346265169E-2</v>
      </c>
      <c r="K9">
        <f>IF(Rules!$B$7=Rules!$E$7,MAX(Hit!K9,Stand!K9,Double!K9,Surrender!K9),MAX(Hit!K9,Stand!K9,Double!K9))</f>
        <v>-0.21343169035706566</v>
      </c>
      <c r="N9" s="31">
        <v>9</v>
      </c>
      <c r="O9" s="31" t="str">
        <f>IF(B9=Surrender!B9,"R",HSD!O9)</f>
        <v>H</v>
      </c>
      <c r="P9" s="31" t="str">
        <f>IF(C9=Surrender!C9,"R",HSD!P9)</f>
        <v>H</v>
      </c>
      <c r="Q9" s="31" t="str">
        <f>IF(D9=Surrender!D9,"R",HSD!Q9)</f>
        <v>D</v>
      </c>
      <c r="R9" s="31" t="str">
        <f>IF(E9=Surrender!E9,"R",HSD!R9)</f>
        <v>D</v>
      </c>
      <c r="S9" s="31" t="str">
        <f>IF(F9=Surrender!F9,"R",HSD!S9)</f>
        <v>D</v>
      </c>
      <c r="T9" s="31" t="str">
        <f>IF(G9=Surrender!G9,"R",HSD!T9)</f>
        <v>D</v>
      </c>
      <c r="U9" s="31" t="str">
        <f>IF(H9=Surrender!H9,"R",HSD!U9)</f>
        <v>H</v>
      </c>
      <c r="V9" s="31" t="str">
        <f>IF(I9=Surrender!I9,"R",HSD!V9)</f>
        <v>H</v>
      </c>
      <c r="W9" s="31" t="str">
        <f>IF(J9=Surrender!J9,"R",HSD!W9)</f>
        <v>H</v>
      </c>
      <c r="X9" s="31" t="str">
        <f>IF(K9=Surrender!K9,"R",HSD!X9)</f>
        <v>H</v>
      </c>
    </row>
    <row r="10" spans="1:24" x14ac:dyDescent="0.2">
      <c r="A10">
        <v>10</v>
      </c>
      <c r="B10">
        <f>IF(AND(Rules!$B$8=Rules!$E$8,Rules!$B$7=Rules!$E$7),MAX(Hit!B10,Stand!B10,Double!B10,Surrender!B10),MAX(Hit!B10,Stand!B10,Double!B10))</f>
        <v>-0.14666789263035868</v>
      </c>
      <c r="C10">
        <f>IF(Rules!$B$7=Rules!$E$7,MAX(Hit!C10,Stand!C10,Double!C10,Surrender!C10),MAX(Hit!C10,Stand!C10,Double!C10))</f>
        <v>0.3589394124422991</v>
      </c>
      <c r="D10">
        <f>IF(Rules!$B$7=Rules!$E$7,MAX(Hit!D10,Stand!D10,Double!D10,Surrender!D10),MAX(Hit!D10,Stand!D10,Double!D10))</f>
        <v>0.40932067017593915</v>
      </c>
      <c r="E10">
        <f>IF(Rules!$B$7=Rules!$E$7,MAX(Hit!E10,Stand!E10,Double!E10,Surrender!E10),MAX(Hit!E10,Stand!E10,Double!E10))</f>
        <v>0.460940243794354</v>
      </c>
      <c r="F10">
        <f>IF(Rules!$B$7=Rules!$E$7,MAX(Hit!F10,Stand!F10,Double!F10,Surrender!F10),MAX(Hit!F10,Stand!F10,Double!F10))</f>
        <v>0.51251710900326775</v>
      </c>
      <c r="G10">
        <f>IF(Rules!$B$7=Rules!$E$7,MAX(Hit!G10,Stand!G10,Double!G10,Surrender!G10),MAX(Hit!G10,Stand!G10,Double!G10))</f>
        <v>0.57559016859776857</v>
      </c>
      <c r="H10">
        <f>IF(Rules!$B$7=Rules!$E$7,MAX(Hit!H10,Stand!H10,Double!H10,Surrender!H10),MAX(Hit!H10,Stand!H10,Double!H10))</f>
        <v>0.39241245528243773</v>
      </c>
      <c r="I10">
        <f>IF(Rules!$B$7=Rules!$E$7,MAX(Hit!I10,Stand!I10,Double!I10,Surrender!I10),MAX(Hit!I10,Stand!I10,Double!I10))</f>
        <v>0.28663571688628381</v>
      </c>
      <c r="J10">
        <f>IF(Rules!$B$7=Rules!$E$7,MAX(Hit!J10,Stand!J10,Double!J10,Surrender!J10),MAX(Hit!J10,Stand!J10,Double!J10))</f>
        <v>0.1443283683807712</v>
      </c>
      <c r="K10">
        <f>IF(Rules!$B$7=Rules!$E$7,MAX(Hit!K10,Stand!K10,Double!K10,Surrender!K10),MAX(Hit!K10,Stand!K10,Double!K10))</f>
        <v>-4.4990260383613007E-2</v>
      </c>
      <c r="N10" s="31">
        <v>10</v>
      </c>
      <c r="O10" s="31" t="str">
        <f>IF(B10=Surrender!B10,"R",HSD!O10)</f>
        <v>H</v>
      </c>
      <c r="P10" s="31" t="str">
        <f>IF(C10=Surrender!C10,"R",HSD!P10)</f>
        <v>D</v>
      </c>
      <c r="Q10" s="31" t="str">
        <f>IF(D10=Surrender!D10,"R",HSD!Q10)</f>
        <v>D</v>
      </c>
      <c r="R10" s="31" t="str">
        <f>IF(E10=Surrender!E10,"R",HSD!R10)</f>
        <v>D</v>
      </c>
      <c r="S10" s="31" t="str">
        <f>IF(F10=Surrender!F10,"R",HSD!S10)</f>
        <v>D</v>
      </c>
      <c r="T10" s="31" t="str">
        <f>IF(G10=Surrender!G10,"R",HSD!T10)</f>
        <v>D</v>
      </c>
      <c r="U10" s="31" t="str">
        <f>IF(H10=Surrender!H10,"R",HSD!U10)</f>
        <v>D</v>
      </c>
      <c r="V10" s="31" t="str">
        <f>IF(I10=Surrender!I10,"R",HSD!V10)</f>
        <v>D</v>
      </c>
      <c r="W10" s="31" t="str">
        <f>IF(J10=Surrender!J10,"R",HSD!W10)</f>
        <v>D</v>
      </c>
      <c r="X10" s="31" t="str">
        <f>IF(K10=Surrender!K10,"R",HSD!X10)</f>
        <v>H</v>
      </c>
    </row>
    <row r="11" spans="1:24" x14ac:dyDescent="0.2">
      <c r="A11">
        <v>11</v>
      </c>
      <c r="B11">
        <f>IF(AND(Rules!$B$8=Rules!$E$8,Rules!$B$7=Rules!$E$7),MAX(Hit!B11,Stand!B11,Double!B11,Surrender!B11),MAX(Hit!B11,Stand!B11,Double!B11))</f>
        <v>-4.1986836980868178E-2</v>
      </c>
      <c r="C11">
        <f>IF(Rules!$B$7=Rules!$E$7,MAX(Hit!C11,Stand!C11,Double!C11,Surrender!C11),MAX(Hit!C11,Stand!C11,Double!C11))</f>
        <v>0.47064092333946889</v>
      </c>
      <c r="D11">
        <f>IF(Rules!$B$7=Rules!$E$7,MAX(Hit!D11,Stand!D11,Double!D11,Surrender!D11),MAX(Hit!D11,Stand!D11,Double!D11))</f>
        <v>0.51779525312221675</v>
      </c>
      <c r="E11">
        <f>IF(Rules!$B$7=Rules!$E$7,MAX(Hit!E11,Stand!E11,Double!E11,Surrender!E11),MAX(Hit!E11,Stand!E11,Double!E11))</f>
        <v>0.56604055041797607</v>
      </c>
      <c r="F11">
        <f>IF(Rules!$B$7=Rules!$E$7,MAX(Hit!F11,Stand!F11,Double!F11,Surrender!F11),MAX(Hit!F11,Stand!F11,Double!F11))</f>
        <v>0.61469901790902803</v>
      </c>
      <c r="G11">
        <f>IF(Rules!$B$7=Rules!$E$7,MAX(Hit!G11,Stand!G11,Double!G11,Surrender!G11),MAX(Hit!G11,Stand!G11,Double!G11))</f>
        <v>0.66738009490756944</v>
      </c>
      <c r="H11">
        <f>IF(Rules!$B$7=Rules!$E$7,MAX(Hit!H11,Stand!H11,Double!H11,Surrender!H11),MAX(Hit!H11,Stand!H11,Double!H11))</f>
        <v>0.46288894886429077</v>
      </c>
      <c r="I11">
        <f>IF(Rules!$B$7=Rules!$E$7,MAX(Hit!I11,Stand!I11,Double!I11,Surrender!I11),MAX(Hit!I11,Stand!I11,Double!I11))</f>
        <v>0.35069259087031512</v>
      </c>
      <c r="J11">
        <f>IF(Rules!$B$7=Rules!$E$7,MAX(Hit!J11,Stand!J11,Double!J11,Surrender!J11),MAX(Hit!J11,Stand!J11,Double!J11))</f>
        <v>0.22778342315245487</v>
      </c>
      <c r="K11">
        <f>IF(Rules!$B$7=Rules!$E$7,MAX(Hit!K11,Stand!K11,Double!K11,Surrender!K11),MAX(Hit!K11,Stand!K11,Double!K11))</f>
        <v>5.9690795265877464E-2</v>
      </c>
      <c r="N11" s="31">
        <v>11</v>
      </c>
      <c r="O11" s="31" t="str">
        <f>IF(B11=Surrender!B11,"R",HSD!O11)</f>
        <v>H</v>
      </c>
      <c r="P11" s="31" t="str">
        <f>IF(C11=Surrender!C11,"R",HSD!P11)</f>
        <v>D</v>
      </c>
      <c r="Q11" s="31" t="str">
        <f>IF(D11=Surrender!D11,"R",HSD!Q11)</f>
        <v>D</v>
      </c>
      <c r="R11" s="31" t="str">
        <f>IF(E11=Surrender!E11,"R",HSD!R11)</f>
        <v>D</v>
      </c>
      <c r="S11" s="31" t="str">
        <f>IF(F11=Surrender!F11,"R",HSD!S11)</f>
        <v>D</v>
      </c>
      <c r="T11" s="31" t="str">
        <f>IF(G11=Surrender!G11,"R",HSD!T11)</f>
        <v>D</v>
      </c>
      <c r="U11" s="31" t="str">
        <f>IF(H11=Surrender!H11,"R",HSD!U11)</f>
        <v>D</v>
      </c>
      <c r="V11" s="31" t="str">
        <f>IF(I11=Surrender!I11,"R",HSD!V11)</f>
        <v>D</v>
      </c>
      <c r="W11" s="31" t="str">
        <f>IF(J11=Surrender!J11,"R",HSD!W11)</f>
        <v>D</v>
      </c>
      <c r="X11" s="31" t="str">
        <f>IF(K11=Surrender!K11,"R",HSD!X11)</f>
        <v>H</v>
      </c>
    </row>
    <row r="12" spans="1:24" x14ac:dyDescent="0.2">
      <c r="A12">
        <v>12</v>
      </c>
      <c r="B12">
        <f>IF(AND(Rules!$B$8=Rules!$E$8,Rules!$B$7=Rules!$E$7),MAX(Hit!B12,Stand!B12,Double!B12,Surrender!B12),MAX(Hit!B12,Stand!B12,Double!B12))</f>
        <v>-0.46566058377683939</v>
      </c>
      <c r="C12">
        <f>IF(Rules!$B$7=Rules!$E$7,MAX(Hit!C12,Stand!C12,Double!C12,Surrender!C12),MAX(Hit!C12,Stand!C12,Double!C12))</f>
        <v>-0.25338998596663809</v>
      </c>
      <c r="D12">
        <f>IF(Rules!$B$7=Rules!$E$7,MAX(Hit!D12,Stand!D12,Double!D12,Surrender!D12),MAX(Hit!D12,Stand!D12,Double!D12))</f>
        <v>-0.2336908997980866</v>
      </c>
      <c r="E12">
        <f>IF(Rules!$B$7=Rules!$E$7,MAX(Hit!E12,Stand!E12,Double!E12,Surrender!E12),MAX(Hit!E12,Stand!E12,Double!E12))</f>
        <v>-0.21106310899491437</v>
      </c>
      <c r="F12">
        <f>IF(Rules!$B$7=Rules!$E$7,MAX(Hit!F12,Stand!F12,Double!F12,Surrender!F12),MAX(Hit!F12,Stand!F12,Double!F12))</f>
        <v>-0.16719266083547524</v>
      </c>
      <c r="G12">
        <f>IF(Rules!$B$7=Rules!$E$7,MAX(Hit!G12,Stand!G12,Double!G12,Surrender!G12),MAX(Hit!G12,Stand!G12,Double!G12))</f>
        <v>-0.1536990158300045</v>
      </c>
      <c r="H12">
        <f>IF(Rules!$B$7=Rules!$E$7,MAX(Hit!H12,Stand!H12,Double!H12,Surrender!H12),MAX(Hit!H12,Stand!H12,Double!H12))</f>
        <v>-0.21284771451731424</v>
      </c>
      <c r="I12">
        <f>IF(Rules!$B$7=Rules!$E$7,MAX(Hit!I12,Stand!I12,Double!I12,Surrender!I12),MAX(Hit!I12,Stand!I12,Double!I12))</f>
        <v>-0.27157480502428616</v>
      </c>
      <c r="J12">
        <f>IF(Rules!$B$7=Rules!$E$7,MAX(Hit!J12,Stand!J12,Double!J12,Surrender!J12),MAX(Hit!J12,Stand!J12,Double!J12))</f>
        <v>-0.3400132806089356</v>
      </c>
      <c r="K12">
        <f>IF(Rules!$B$7=Rules!$E$7,MAX(Hit!K12,Stand!K12,Double!K12,Surrender!K12),MAX(Hit!K12,Stand!K12,Double!K12))</f>
        <v>-0.42069618899826788</v>
      </c>
      <c r="N12" s="31">
        <v>12</v>
      </c>
      <c r="O12" s="31" t="str">
        <f>IF(B12=Surrender!B12,"R",HSD!O12)</f>
        <v>H</v>
      </c>
      <c r="P12" s="31" t="str">
        <f>IF(C12=Surrender!C12,"R",HSD!P12)</f>
        <v>H</v>
      </c>
      <c r="Q12" s="31" t="str">
        <f>IF(D12=Surrender!D12,"R",HSD!Q12)</f>
        <v>H</v>
      </c>
      <c r="R12" s="31" t="str">
        <f>IF(E12=Surrender!E12,"R",HSD!R12)</f>
        <v>S</v>
      </c>
      <c r="S12" s="31" t="str">
        <f>IF(F12=Surrender!F12,"R",HSD!S12)</f>
        <v>S</v>
      </c>
      <c r="T12" s="31" t="str">
        <f>IF(G12=Surrender!G12,"R",HSD!T12)</f>
        <v>S</v>
      </c>
      <c r="U12" s="31" t="str">
        <f>IF(H12=Surrender!H12,"R",HSD!U12)</f>
        <v>H</v>
      </c>
      <c r="V12" s="31" t="str">
        <f>IF(I12=Surrender!I12,"R",HSD!V12)</f>
        <v>H</v>
      </c>
      <c r="W12" s="31" t="str">
        <f>IF(J12=Surrender!J12,"R",HSD!W12)</f>
        <v>H</v>
      </c>
      <c r="X12" s="31" t="str">
        <f>IF(K12=Surrender!K12,"R",HSD!X12)</f>
        <v>H</v>
      </c>
    </row>
    <row r="13" spans="1:24" x14ac:dyDescent="0.2">
      <c r="A13">
        <v>13</v>
      </c>
      <c r="B13">
        <f>IF(AND(Rules!$B$8=Rules!$E$8,Rules!$B$7=Rules!$E$7),MAX(Hit!B13,Stand!B13,Double!B13,Surrender!B13),MAX(Hit!B13,Stand!B13,Double!B13))</f>
        <v>-0.50382768493563657</v>
      </c>
      <c r="C13">
        <f>IF(Rules!$B$7=Rules!$E$7,MAX(Hit!C13,Stand!C13,Double!C13,Surrender!C13),MAX(Hit!C13,Stand!C13,Double!C13))</f>
        <v>-0.29278372720927726</v>
      </c>
      <c r="D13">
        <f>IF(Rules!$B$7=Rules!$E$7,MAX(Hit!D13,Stand!D13,Double!D13,Surrender!D13),MAX(Hit!D13,Stand!D13,Double!D13))</f>
        <v>-0.2522502292357135</v>
      </c>
      <c r="E13">
        <f>IF(Rules!$B$7=Rules!$E$7,MAX(Hit!E13,Stand!E13,Double!E13,Surrender!E13),MAX(Hit!E13,Stand!E13,Double!E13))</f>
        <v>-0.21106310899491437</v>
      </c>
      <c r="F13">
        <f>IF(Rules!$B$7=Rules!$E$7,MAX(Hit!F13,Stand!F13,Double!F13,Surrender!F13),MAX(Hit!F13,Stand!F13,Double!F13))</f>
        <v>-0.16719266083547524</v>
      </c>
      <c r="G13">
        <f>IF(Rules!$B$7=Rules!$E$7,MAX(Hit!G13,Stand!G13,Double!G13,Surrender!G13),MAX(Hit!G13,Stand!G13,Double!G13))</f>
        <v>-0.1536990158300045</v>
      </c>
      <c r="H13">
        <f>IF(Rules!$B$7=Rules!$E$7,MAX(Hit!H13,Stand!H13,Double!H13,Surrender!H13),MAX(Hit!H13,Stand!H13,Double!H13))</f>
        <v>-0.26907287776607752</v>
      </c>
      <c r="I13">
        <f>IF(Rules!$B$7=Rules!$E$7,MAX(Hit!I13,Stand!I13,Double!I13,Surrender!I13),MAX(Hit!I13,Stand!I13,Double!I13))</f>
        <v>-0.32360517609397998</v>
      </c>
      <c r="J13">
        <f>IF(Rules!$B$7=Rules!$E$7,MAX(Hit!J13,Stand!J13,Double!J13,Surrender!J13),MAX(Hit!J13,Stand!J13,Double!J13))</f>
        <v>-0.38715518913686875</v>
      </c>
      <c r="K13">
        <f>IF(Rules!$B$7=Rules!$E$7,MAX(Hit!K13,Stand!K13,Double!K13,Surrender!K13),MAX(Hit!K13,Stand!K13,Double!K13))</f>
        <v>-0.46207503264124877</v>
      </c>
      <c r="N13" s="31">
        <v>13</v>
      </c>
      <c r="O13" s="31" t="str">
        <f>IF(B13=Surrender!B13,"R",HSD!O13)</f>
        <v>H</v>
      </c>
      <c r="P13" s="31" t="str">
        <f>IF(C13=Surrender!C13,"R",HSD!P13)</f>
        <v>S</v>
      </c>
      <c r="Q13" s="31" t="str">
        <f>IF(D13=Surrender!D13,"R",HSD!Q13)</f>
        <v>S</v>
      </c>
      <c r="R13" s="31" t="str">
        <f>IF(E13=Surrender!E13,"R",HSD!R13)</f>
        <v>S</v>
      </c>
      <c r="S13" s="31" t="str">
        <f>IF(F13=Surrender!F13,"R",HSD!S13)</f>
        <v>S</v>
      </c>
      <c r="T13" s="31" t="str">
        <f>IF(G13=Surrender!G13,"R",HSD!T13)</f>
        <v>S</v>
      </c>
      <c r="U13" s="31" t="str">
        <f>IF(H13=Surrender!H13,"R",HSD!U13)</f>
        <v>H</v>
      </c>
      <c r="V13" s="31" t="str">
        <f>IF(I13=Surrender!I13,"R",HSD!V13)</f>
        <v>H</v>
      </c>
      <c r="W13" s="31" t="str">
        <f>IF(J13=Surrender!J13,"R",HSD!W13)</f>
        <v>H</v>
      </c>
      <c r="X13" s="31" t="str">
        <f>IF(K13=Surrender!K13,"R",HSD!X13)</f>
        <v>H</v>
      </c>
    </row>
    <row r="14" spans="1:24" x14ac:dyDescent="0.2">
      <c r="A14">
        <v>14</v>
      </c>
      <c r="B14">
        <f>IF(AND(Rules!$B$8=Rules!$E$8,Rules!$B$7=Rules!$E$7),MAX(Hit!B14,Stand!B14,Double!B14,Surrender!B14),MAX(Hit!B14,Stand!B14,Double!B14))</f>
        <v>-0.53926856458309114</v>
      </c>
      <c r="C14">
        <f>IF(Rules!$B$7=Rules!$E$7,MAX(Hit!C14,Stand!C14,Double!C14,Surrender!C14),MAX(Hit!C14,Stand!C14,Double!C14))</f>
        <v>-0.29278372720927726</v>
      </c>
      <c r="D14">
        <f>IF(Rules!$B$7=Rules!$E$7,MAX(Hit!D14,Stand!D14,Double!D14,Surrender!D14),MAX(Hit!D14,Stand!D14,Double!D14))</f>
        <v>-0.2522502292357135</v>
      </c>
      <c r="E14">
        <f>IF(Rules!$B$7=Rules!$E$7,MAX(Hit!E14,Stand!E14,Double!E14,Surrender!E14),MAX(Hit!E14,Stand!E14,Double!E14))</f>
        <v>-0.21106310899491437</v>
      </c>
      <c r="F14">
        <f>IF(Rules!$B$7=Rules!$E$7,MAX(Hit!F14,Stand!F14,Double!F14,Surrender!F14),MAX(Hit!F14,Stand!F14,Double!F14))</f>
        <v>-0.16719266083547524</v>
      </c>
      <c r="G14">
        <f>IF(Rules!$B$7=Rules!$E$7,MAX(Hit!G14,Stand!G14,Double!G14,Surrender!G14),MAX(Hit!G14,Stand!G14,Double!G14))</f>
        <v>-0.1536990158300045</v>
      </c>
      <c r="H14">
        <f>IF(Rules!$B$7=Rules!$E$7,MAX(Hit!H14,Stand!H14,Double!H14,Surrender!H14),MAX(Hit!H14,Stand!H14,Double!H14))</f>
        <v>-0.3212819579256434</v>
      </c>
      <c r="I14">
        <f>IF(Rules!$B$7=Rules!$E$7,MAX(Hit!I14,Stand!I14,Double!I14,Surrender!I14),MAX(Hit!I14,Stand!I14,Double!I14))</f>
        <v>-0.37191909208726714</v>
      </c>
      <c r="J14">
        <f>IF(Rules!$B$7=Rules!$E$7,MAX(Hit!J14,Stand!J14,Double!J14,Surrender!J14),MAX(Hit!J14,Stand!J14,Double!J14))</f>
        <v>-0.43092981848423528</v>
      </c>
      <c r="K14">
        <f>IF(Rules!$B$7=Rules!$E$7,MAX(Hit!K14,Stand!K14,Double!K14,Surrender!K14),MAX(Hit!K14,Stand!K14,Double!K14))</f>
        <v>-0.50049824459544523</v>
      </c>
      <c r="N14" s="31">
        <v>14</v>
      </c>
      <c r="O14" s="31" t="str">
        <f>IF(B14=Surrender!B14,"R",HSD!O14)</f>
        <v>H</v>
      </c>
      <c r="P14" s="31" t="str">
        <f>IF(C14=Surrender!C14,"R",HSD!P14)</f>
        <v>S</v>
      </c>
      <c r="Q14" s="31" t="str">
        <f>IF(D14=Surrender!D14,"R",HSD!Q14)</f>
        <v>S</v>
      </c>
      <c r="R14" s="31" t="str">
        <f>IF(E14=Surrender!E14,"R",HSD!R14)</f>
        <v>S</v>
      </c>
      <c r="S14" s="31" t="str">
        <f>IF(F14=Surrender!F14,"R",HSD!S14)</f>
        <v>S</v>
      </c>
      <c r="T14" s="31" t="str">
        <f>IF(G14=Surrender!G14,"R",HSD!T14)</f>
        <v>S</v>
      </c>
      <c r="U14" s="31" t="str">
        <f>IF(H14=Surrender!H14,"R",HSD!U14)</f>
        <v>H</v>
      </c>
      <c r="V14" s="31" t="str">
        <f>IF(I14=Surrender!I14,"R",HSD!V14)</f>
        <v>H</v>
      </c>
      <c r="W14" s="31" t="str">
        <f>IF(J14=Surrender!J14,"R",HSD!W14)</f>
        <v>H</v>
      </c>
      <c r="X14" s="31" t="str">
        <f>IF(K14=Surrender!K14,"R",HSD!X14)</f>
        <v>H</v>
      </c>
    </row>
    <row r="15" spans="1:24" x14ac:dyDescent="0.2">
      <c r="A15">
        <v>15</v>
      </c>
      <c r="B15">
        <f>IF(AND(Rules!$B$8=Rules!$E$8,Rules!$B$7=Rules!$E$7),MAX(Hit!B15,Stand!B15,Double!B15,Surrender!B15),MAX(Hit!B15,Stand!B15,Double!B15))</f>
        <v>-0.572177952827156</v>
      </c>
      <c r="C15">
        <f>IF(Rules!$B$7=Rules!$E$7,MAX(Hit!C15,Stand!C15,Double!C15,Surrender!C15),MAX(Hit!C15,Stand!C15,Double!C15))</f>
        <v>-0.29278372720927726</v>
      </c>
      <c r="D15">
        <f>IF(Rules!$B$7=Rules!$E$7,MAX(Hit!D15,Stand!D15,Double!D15,Surrender!D15),MAX(Hit!D15,Stand!D15,Double!D15))</f>
        <v>-0.2522502292357135</v>
      </c>
      <c r="E15">
        <f>IF(Rules!$B$7=Rules!$E$7,MAX(Hit!E15,Stand!E15,Double!E15,Surrender!E15),MAX(Hit!E15,Stand!E15,Double!E15))</f>
        <v>-0.21106310899491437</v>
      </c>
      <c r="F15">
        <f>IF(Rules!$B$7=Rules!$E$7,MAX(Hit!F15,Stand!F15,Double!F15,Surrender!F15),MAX(Hit!F15,Stand!F15,Double!F15))</f>
        <v>-0.16719266083547524</v>
      </c>
      <c r="G15">
        <f>IF(Rules!$B$7=Rules!$E$7,MAX(Hit!G15,Stand!G15,Double!G15,Surrender!G15),MAX(Hit!G15,Stand!G15,Double!G15))</f>
        <v>-0.1536990158300045</v>
      </c>
      <c r="H15">
        <f>IF(Rules!$B$7=Rules!$E$7,MAX(Hit!H15,Stand!H15,Double!H15,Surrender!H15),MAX(Hit!H15,Stand!H15,Double!H15))</f>
        <v>-0.36976181807381175</v>
      </c>
      <c r="I15">
        <f>IF(Rules!$B$7=Rules!$E$7,MAX(Hit!I15,Stand!I15,Double!I15,Surrender!I15),MAX(Hit!I15,Stand!I15,Double!I15))</f>
        <v>-0.41678201408103371</v>
      </c>
      <c r="J15">
        <f>IF(Rules!$B$7=Rules!$E$7,MAX(Hit!J15,Stand!J15,Double!J15,Surrender!J15),MAX(Hit!J15,Stand!J15,Double!J15))</f>
        <v>-0.47157768859250415</v>
      </c>
      <c r="K15">
        <f>IF(Rules!$B$7=Rules!$E$7,MAX(Hit!K15,Stand!K15,Double!K15,Surrender!K15),MAX(Hit!K15,Stand!K15,Double!K15))</f>
        <v>-0.53617694141005634</v>
      </c>
      <c r="N15" s="31">
        <v>15</v>
      </c>
      <c r="O15" s="31" t="str">
        <f>IF(B15=Surrender!B15,"R",HSD!O15)</f>
        <v>H</v>
      </c>
      <c r="P15" s="31" t="str">
        <f>IF(C15=Surrender!C15,"R",HSD!P15)</f>
        <v>S</v>
      </c>
      <c r="Q15" s="31" t="str">
        <f>IF(D15=Surrender!D15,"R",HSD!Q15)</f>
        <v>S</v>
      </c>
      <c r="R15" s="31" t="str">
        <f>IF(E15=Surrender!E15,"R",HSD!R15)</f>
        <v>S</v>
      </c>
      <c r="S15" s="31" t="str">
        <f>IF(F15=Surrender!F15,"R",HSD!S15)</f>
        <v>S</v>
      </c>
      <c r="T15" s="31" t="str">
        <f>IF(G15=Surrender!G15,"R",HSD!T15)</f>
        <v>S</v>
      </c>
      <c r="U15" s="31" t="str">
        <f>IF(H15=Surrender!H15,"R",HSD!U15)</f>
        <v>H</v>
      </c>
      <c r="V15" s="31" t="str">
        <f>IF(I15=Surrender!I15,"R",HSD!V15)</f>
        <v>H</v>
      </c>
      <c r="W15" s="31" t="str">
        <f>IF(J15=Surrender!J15,"R",HSD!W15)</f>
        <v>H</v>
      </c>
      <c r="X15" s="31" t="str">
        <f>IF(K15=Surrender!K15,"R",HSD!X15)</f>
        <v>H</v>
      </c>
    </row>
    <row r="16" spans="1:24" x14ac:dyDescent="0.2">
      <c r="A16">
        <v>16</v>
      </c>
      <c r="B16">
        <f>IF(AND(Rules!$B$8=Rules!$E$8,Rules!$B$7=Rules!$E$7),MAX(Hit!B16,Stand!B16,Double!B16,Surrender!B16),MAX(Hit!B16,Stand!B16,Double!B16))</f>
        <v>-0.57578184676460165</v>
      </c>
      <c r="C16">
        <f>IF(Rules!$B$7=Rules!$E$7,MAX(Hit!C16,Stand!C16,Double!C16,Surrender!C16),MAX(Hit!C16,Stand!C16,Double!C16))</f>
        <v>-0.29278372720927726</v>
      </c>
      <c r="D16">
        <f>IF(Rules!$B$7=Rules!$E$7,MAX(Hit!D16,Stand!D16,Double!D16,Surrender!D16),MAX(Hit!D16,Stand!D16,Double!D16))</f>
        <v>-0.2522502292357135</v>
      </c>
      <c r="E16">
        <f>IF(Rules!$B$7=Rules!$E$7,MAX(Hit!E16,Stand!E16,Double!E16,Surrender!E16),MAX(Hit!E16,Stand!E16,Double!E16))</f>
        <v>-0.21106310899491437</v>
      </c>
      <c r="F16">
        <f>IF(Rules!$B$7=Rules!$E$7,MAX(Hit!F16,Stand!F16,Double!F16,Surrender!F16),MAX(Hit!F16,Stand!F16,Double!F16))</f>
        <v>-0.16719266083547524</v>
      </c>
      <c r="G16">
        <f>IF(Rules!$B$7=Rules!$E$7,MAX(Hit!G16,Stand!G16,Double!G16,Surrender!G16),MAX(Hit!G16,Stand!G16,Double!G16))</f>
        <v>-0.1536990158300045</v>
      </c>
      <c r="H16">
        <f>IF(Rules!$B$7=Rules!$E$7,MAX(Hit!H16,Stand!H16,Double!H16,Surrender!H16),MAX(Hit!H16,Stand!H16,Double!H16))</f>
        <v>-0.41477883106853947</v>
      </c>
      <c r="I16">
        <f>IF(Rules!$B$7=Rules!$E$7,MAX(Hit!I16,Stand!I16,Double!I16,Surrender!I16),MAX(Hit!I16,Stand!I16,Double!I16))</f>
        <v>-0.45844044164667419</v>
      </c>
      <c r="J16">
        <f>IF(Rules!$B$7=Rules!$E$7,MAX(Hit!J16,Stand!J16,Double!J16,Surrender!J16),MAX(Hit!J16,Stand!J16,Double!J16))</f>
        <v>-0.50932213940732529</v>
      </c>
      <c r="K16">
        <f>IF(Rules!$B$7=Rules!$E$7,MAX(Hit!K16,Stand!K16,Double!K16,Surrender!K16),MAX(Hit!K16,Stand!K16,Double!K16))</f>
        <v>-0.56930715988076652</v>
      </c>
      <c r="N16" s="31">
        <v>16</v>
      </c>
      <c r="O16" s="31" t="str">
        <f>IF(B16=Surrender!B16,"R",HSD!O16)</f>
        <v>S</v>
      </c>
      <c r="P16" s="31" t="str">
        <f>IF(C16=Surrender!C16,"R",HSD!P16)</f>
        <v>S</v>
      </c>
      <c r="Q16" s="31" t="str">
        <f>IF(D16=Surrender!D16,"R",HSD!Q16)</f>
        <v>S</v>
      </c>
      <c r="R16" s="31" t="str">
        <f>IF(E16=Surrender!E16,"R",HSD!R16)</f>
        <v>S</v>
      </c>
      <c r="S16" s="31" t="str">
        <f>IF(F16=Surrender!F16,"R",HSD!S16)</f>
        <v>S</v>
      </c>
      <c r="T16" s="31" t="str">
        <f>IF(G16=Surrender!G16,"R",HSD!T16)</f>
        <v>S</v>
      </c>
      <c r="U16" s="31" t="str">
        <f>IF(H16=Surrender!H16,"R",HSD!U16)</f>
        <v>H</v>
      </c>
      <c r="V16" s="31" t="str">
        <f>IF(I16=Surrender!I16,"R",HSD!V16)</f>
        <v>H</v>
      </c>
      <c r="W16" s="31" t="str">
        <f>IF(J16=Surrender!J16,"R",HSD!W16)</f>
        <v>H</v>
      </c>
      <c r="X16" s="31" t="str">
        <f>IF(K16=Surrender!K16,"R",HSD!X16)</f>
        <v>H</v>
      </c>
    </row>
    <row r="17" spans="1:24" x14ac:dyDescent="0.2">
      <c r="A17">
        <v>17</v>
      </c>
      <c r="B17">
        <f>IF(AND(Rules!$B$8=Rules!$E$8,Rules!$B$7=Rules!$E$7),MAX(Hit!B17,Stand!B17,Double!B17,Surrender!B17),MAX(Hit!B17,Stand!B17,Double!B17))</f>
        <v>-0.46435750824198752</v>
      </c>
      <c r="C17">
        <f>IF(Rules!$B$7=Rules!$E$7,MAX(Hit!C17,Stand!C17,Double!C17,Surrender!C17),MAX(Hit!C17,Stand!C17,Double!C17))</f>
        <v>-0.15297458768154204</v>
      </c>
      <c r="D17">
        <f>IF(Rules!$B$7=Rules!$E$7,MAX(Hit!D17,Stand!D17,Double!D17,Surrender!D17),MAX(Hit!D17,Stand!D17,Double!D17))</f>
        <v>-0.11721624142457365</v>
      </c>
      <c r="E17">
        <f>IF(Rules!$B$7=Rules!$E$7,MAX(Hit!E17,Stand!E17,Double!E17,Surrender!E17),MAX(Hit!E17,Stand!E17,Double!E17))</f>
        <v>-8.0573373145316152E-2</v>
      </c>
      <c r="F17">
        <f>IF(Rules!$B$7=Rules!$E$7,MAX(Hit!F17,Stand!F17,Double!F17,Surrender!F17),MAX(Hit!F17,Stand!F17,Double!F17))</f>
        <v>-4.4941375564924446E-2</v>
      </c>
      <c r="G17">
        <f>IF(Rules!$B$7=Rules!$E$7,MAX(Hit!G17,Stand!G17,Double!G17,Surrender!G17),MAX(Hit!G17,Stand!G17,Double!G17))</f>
        <v>1.1739160673341853E-2</v>
      </c>
      <c r="H17">
        <f>IF(Rules!$B$7=Rules!$E$7,MAX(Hit!H17,Stand!H17,Double!H17,Surrender!H17),MAX(Hit!H17,Stand!H17,Double!H17))</f>
        <v>-0.10680898948269468</v>
      </c>
      <c r="I17">
        <f>IF(Rules!$B$7=Rules!$E$7,MAX(Hit!I17,Stand!I17,Double!I17,Surrender!I17),MAX(Hit!I17,Stand!I17,Double!I17))</f>
        <v>-0.38195097104844711</v>
      </c>
      <c r="J17">
        <f>IF(Rules!$B$7=Rules!$E$7,MAX(Hit!J17,Stand!J17,Double!J17,Surrender!J17),MAX(Hit!J17,Stand!J17,Double!J17))</f>
        <v>-0.42315423964521737</v>
      </c>
      <c r="K17">
        <f>IF(Rules!$B$7=Rules!$E$7,MAX(Hit!K17,Stand!K17,Double!K17,Surrender!K17),MAX(Hit!K17,Stand!K17,Double!K17))</f>
        <v>-0.46435750824198763</v>
      </c>
      <c r="N17" s="31">
        <v>17</v>
      </c>
      <c r="O17" s="31" t="str">
        <f>IF(B17=Surrender!B17,"R",HSD!O17)</f>
        <v>S</v>
      </c>
      <c r="P17" s="31" t="str">
        <f>IF(C17=Surrender!C17,"R",HSD!P17)</f>
        <v>S</v>
      </c>
      <c r="Q17" s="31" t="str">
        <f>IF(D17=Surrender!D17,"R",HSD!Q17)</f>
        <v>S</v>
      </c>
      <c r="R17" s="31" t="str">
        <f>IF(E17=Surrender!E17,"R",HSD!R17)</f>
        <v>S</v>
      </c>
      <c r="S17" s="31" t="str">
        <f>IF(F17=Surrender!F17,"R",HSD!S17)</f>
        <v>S</v>
      </c>
      <c r="T17" s="31" t="str">
        <f>IF(G17=Surrender!G17,"R",HSD!T17)</f>
        <v>S</v>
      </c>
      <c r="U17" s="31" t="str">
        <f>IF(H17=Surrender!H17,"R",HSD!U17)</f>
        <v>S</v>
      </c>
      <c r="V17" s="31" t="str">
        <f>IF(I17=Surrender!I17,"R",HSD!V17)</f>
        <v>S</v>
      </c>
      <c r="W17" s="31" t="str">
        <f>IF(J17=Surrender!J17,"R",HSD!W17)</f>
        <v>S</v>
      </c>
      <c r="X17" s="31" t="str">
        <f>IF(K17=Surrender!K17,"R",HSD!X17)</f>
        <v>S</v>
      </c>
    </row>
    <row r="18" spans="1:24" x14ac:dyDescent="0.2">
      <c r="A18">
        <v>18</v>
      </c>
      <c r="B18">
        <f>IF(AND(Rules!$B$8=Rules!$E$8,Rules!$B$7=Rules!$E$7),MAX(Hit!B18,Stand!B18,Double!B18,Surrender!B18),MAX(Hit!B18,Stand!B18,Double!B18))</f>
        <v>-0.24150883119675959</v>
      </c>
      <c r="C18">
        <f>IF(Rules!$B$7=Rules!$E$7,MAX(Hit!C18,Stand!C18,Double!C18,Surrender!C18),MAX(Hit!C18,Stand!C18,Double!C18))</f>
        <v>0.12174190222088771</v>
      </c>
      <c r="D18">
        <f>IF(Rules!$B$7=Rules!$E$7,MAX(Hit!D18,Stand!D18,Double!D18,Surrender!D18),MAX(Hit!D18,Stand!D18,Double!D18))</f>
        <v>0.14830007284131119</v>
      </c>
      <c r="E18">
        <f>IF(Rules!$B$7=Rules!$E$7,MAX(Hit!E18,Stand!E18,Double!E18,Surrender!E18),MAX(Hit!E18,Stand!E18,Double!E18))</f>
        <v>0.17585443719748528</v>
      </c>
      <c r="F18">
        <f>IF(Rules!$B$7=Rules!$E$7,MAX(Hit!F18,Stand!F18,Double!F18,Surrender!F18),MAX(Hit!F18,Stand!F18,Double!F18))</f>
        <v>0.19956119497617719</v>
      </c>
      <c r="G18">
        <f>IF(Rules!$B$7=Rules!$E$7,MAX(Hit!G18,Stand!G18,Double!G18,Surrender!G18),MAX(Hit!G18,Stand!G18,Double!G18))</f>
        <v>0.28344391604689856</v>
      </c>
      <c r="H18">
        <f>IF(Rules!$B$7=Rules!$E$7,MAX(Hit!H18,Stand!H18,Double!H18,Surrender!H18),MAX(Hit!H18,Stand!H18,Double!H18))</f>
        <v>0.3995541673365518</v>
      </c>
      <c r="I18">
        <f>IF(Rules!$B$7=Rules!$E$7,MAX(Hit!I18,Stand!I18,Double!I18,Surrender!I18),MAX(Hit!I18,Stand!I18,Double!I18))</f>
        <v>0.10595134861912359</v>
      </c>
      <c r="J18">
        <f>IF(Rules!$B$7=Rules!$E$7,MAX(Hit!J18,Stand!J18,Double!J18,Surrender!J18),MAX(Hit!J18,Stand!J18,Double!J18))</f>
        <v>-0.18316335667343331</v>
      </c>
      <c r="K18">
        <f>IF(Rules!$B$7=Rules!$E$7,MAX(Hit!K18,Stand!K18,Double!K18,Surrender!K18),MAX(Hit!K18,Stand!K18,Double!K18))</f>
        <v>-0.24150883119675959</v>
      </c>
      <c r="N18" s="31">
        <v>18</v>
      </c>
      <c r="O18" s="31" t="str">
        <f>IF(B18=Surrender!B18,"R",HSD!O18)</f>
        <v>S</v>
      </c>
      <c r="P18" s="31" t="str">
        <f>IF(C18=Surrender!C18,"R",HSD!P18)</f>
        <v>S</v>
      </c>
      <c r="Q18" s="31" t="str">
        <f>IF(D18=Surrender!D18,"R",HSD!Q18)</f>
        <v>S</v>
      </c>
      <c r="R18" s="31" t="str">
        <f>IF(E18=Surrender!E18,"R",HSD!R18)</f>
        <v>S</v>
      </c>
      <c r="S18" s="31" t="str">
        <f>IF(F18=Surrender!F18,"R",HSD!S18)</f>
        <v>S</v>
      </c>
      <c r="T18" s="31" t="str">
        <f>IF(G18=Surrender!G18,"R",HSD!T18)</f>
        <v>S</v>
      </c>
      <c r="U18" s="31" t="str">
        <f>IF(H18=Surrender!H18,"R",HSD!U18)</f>
        <v>S</v>
      </c>
      <c r="V18" s="31" t="str">
        <f>IF(I18=Surrender!I18,"R",HSD!V18)</f>
        <v>S</v>
      </c>
      <c r="W18" s="31" t="str">
        <f>IF(J18=Surrender!J18,"R",HSD!W18)</f>
        <v>S</v>
      </c>
      <c r="X18" s="31" t="str">
        <f>IF(K18=Surrender!K18,"R",HSD!X18)</f>
        <v>S</v>
      </c>
    </row>
    <row r="19" spans="1:24" x14ac:dyDescent="0.2">
      <c r="A19">
        <v>19</v>
      </c>
      <c r="B19">
        <f>IF(AND(Rules!$B$8=Rules!$E$8,Rules!$B$7=Rules!$E$7),MAX(Hit!B19,Stand!B19,Double!B19,Surrender!B19),MAX(Hit!B19,Stand!B19,Double!B19))</f>
        <v>-1.8660154151531549E-2</v>
      </c>
      <c r="C19">
        <f>IF(Rules!$B$7=Rules!$E$7,MAX(Hit!C19,Stand!C19,Double!C19,Surrender!C19),MAX(Hit!C19,Stand!C19,Double!C19))</f>
        <v>0.38630468602058987</v>
      </c>
      <c r="D19">
        <f>IF(Rules!$B$7=Rules!$E$7,MAX(Hit!D19,Stand!D19,Double!D19,Surrender!D19),MAX(Hit!D19,Stand!D19,Double!D19))</f>
        <v>0.40436293659776001</v>
      </c>
      <c r="E19">
        <f>IF(Rules!$B$7=Rules!$E$7,MAX(Hit!E19,Stand!E19,Double!E19,Surrender!E19),MAX(Hit!E19,Stand!E19,Double!E19))</f>
        <v>0.42317892482749647</v>
      </c>
      <c r="F19">
        <f>IF(Rules!$B$7=Rules!$E$7,MAX(Hit!F19,Stand!F19,Double!F19,Surrender!F19),MAX(Hit!F19,Stand!F19,Double!F19))</f>
        <v>0.43951210416088371</v>
      </c>
      <c r="G19">
        <f>IF(Rules!$B$7=Rules!$E$7,MAX(Hit!G19,Stand!G19,Double!G19,Surrender!G19),MAX(Hit!G19,Stand!G19,Double!G19))</f>
        <v>0.49597707378731909</v>
      </c>
      <c r="H19">
        <f>IF(Rules!$B$7=Rules!$E$7,MAX(Hit!H19,Stand!H19,Double!H19,Surrender!H19),MAX(Hit!H19,Stand!H19,Double!H19))</f>
        <v>0.6159764957534315</v>
      </c>
      <c r="I19">
        <f>IF(Rules!$B$7=Rules!$E$7,MAX(Hit!I19,Stand!I19,Double!I19,Surrender!I19),MAX(Hit!I19,Stand!I19,Double!I19))</f>
        <v>0.5938536682866945</v>
      </c>
      <c r="J19">
        <f>IF(Rules!$B$7=Rules!$E$7,MAX(Hit!J19,Stand!J19,Double!J19,Surrender!J19),MAX(Hit!J19,Stand!J19,Double!J19))</f>
        <v>0.28759675706758142</v>
      </c>
      <c r="K19">
        <f>IF(Rules!$B$7=Rules!$E$7,MAX(Hit!K19,Stand!K19,Double!K19,Surrender!K19),MAX(Hit!K19,Stand!K19,Double!K19))</f>
        <v>-1.8660154151531536E-2</v>
      </c>
      <c r="N19" s="31">
        <v>19</v>
      </c>
      <c r="O19" s="31" t="str">
        <f>IF(B19=Surrender!B19,"R",HSD!O19)</f>
        <v>S</v>
      </c>
      <c r="P19" s="31" t="str">
        <f>IF(C19=Surrender!C19,"R",HSD!P19)</f>
        <v>S</v>
      </c>
      <c r="Q19" s="31" t="str">
        <f>IF(D19=Surrender!D19,"R",HSD!Q19)</f>
        <v>S</v>
      </c>
      <c r="R19" s="31" t="str">
        <f>IF(E19=Surrender!E19,"R",HSD!R19)</f>
        <v>S</v>
      </c>
      <c r="S19" s="31" t="str">
        <f>IF(F19=Surrender!F19,"R",HSD!S19)</f>
        <v>S</v>
      </c>
      <c r="T19" s="31" t="str">
        <f>IF(G19=Surrender!G19,"R",HSD!T19)</f>
        <v>S</v>
      </c>
      <c r="U19" s="31" t="str">
        <f>IF(H19=Surrender!H19,"R",HSD!U19)</f>
        <v>S</v>
      </c>
      <c r="V19" s="31" t="str">
        <f>IF(I19=Surrender!I19,"R",HSD!V19)</f>
        <v>S</v>
      </c>
      <c r="W19" s="31" t="str">
        <f>IF(J19=Surrender!J19,"R",HSD!W19)</f>
        <v>S</v>
      </c>
      <c r="X19" s="31" t="str">
        <f>IF(K19=Surrender!K19,"R",HSD!X19)</f>
        <v>S</v>
      </c>
    </row>
    <row r="20" spans="1:24" x14ac:dyDescent="0.2">
      <c r="A20">
        <v>20</v>
      </c>
      <c r="B20">
        <f>IF(AND(Rules!$B$8=Rules!$E$8,Rules!$B$7=Rules!$E$7),MAX(Hit!B20,Stand!B20,Double!B20,Surrender!B20),MAX(Hit!B20,Stand!B20,Double!B20))</f>
        <v>0.20418852289369649</v>
      </c>
      <c r="C20">
        <f>IF(Rules!$B$7=Rules!$E$7,MAX(Hit!C20,Stand!C20,Double!C20,Surrender!C20),MAX(Hit!C20,Stand!C20,Double!C20))</f>
        <v>0.63998657521683877</v>
      </c>
      <c r="D20">
        <f>IF(Rules!$B$7=Rules!$E$7,MAX(Hit!D20,Stand!D20,Double!D20,Surrender!D20),MAX(Hit!D20,Stand!D20,Double!D20))</f>
        <v>0.65027209425148136</v>
      </c>
      <c r="E20">
        <f>IF(Rules!$B$7=Rules!$E$7,MAX(Hit!E20,Stand!E20,Double!E20,Surrender!E20),MAX(Hit!E20,Stand!E20,Double!E20))</f>
        <v>0.66104996194807186</v>
      </c>
      <c r="F20">
        <f>IF(Rules!$B$7=Rules!$E$7,MAX(Hit!F20,Stand!F20,Double!F20,Surrender!F20),MAX(Hit!F20,Stand!F20,Double!F20))</f>
        <v>0.67035969063279999</v>
      </c>
      <c r="G20">
        <f>IF(Rules!$B$7=Rules!$E$7,MAX(Hit!G20,Stand!G20,Double!G20,Surrender!G20),MAX(Hit!G20,Stand!G20,Double!G20))</f>
        <v>0.70395857017134467</v>
      </c>
      <c r="H20">
        <f>IF(Rules!$B$7=Rules!$E$7,MAX(Hit!H20,Stand!H20,Double!H20,Surrender!H20),MAX(Hit!H20,Stand!H20,Double!H20))</f>
        <v>0.77322722653717491</v>
      </c>
      <c r="I20">
        <f>IF(Rules!$B$7=Rules!$E$7,MAX(Hit!I20,Stand!I20,Double!I20,Surrender!I20),MAX(Hit!I20,Stand!I20,Double!I20))</f>
        <v>0.79181515955189841</v>
      </c>
      <c r="J20">
        <f>IF(Rules!$B$7=Rules!$E$7,MAX(Hit!J20,Stand!J20,Double!J20,Surrender!J20),MAX(Hit!J20,Stand!J20,Double!J20))</f>
        <v>0.75835687080859626</v>
      </c>
      <c r="K20">
        <f>IF(Rules!$B$7=Rules!$E$7,MAX(Hit!K20,Stand!K20,Double!K20,Surrender!K20),MAX(Hit!K20,Stand!K20,Double!K20))</f>
        <v>0.43495775366292722</v>
      </c>
      <c r="N20" s="31">
        <v>20</v>
      </c>
      <c r="O20" s="31" t="str">
        <f>IF(B20=Surrender!B20,"R",HSD!O20)</f>
        <v>S</v>
      </c>
      <c r="P20" s="31" t="str">
        <f>IF(C20=Surrender!C20,"R",HSD!P20)</f>
        <v>S</v>
      </c>
      <c r="Q20" s="31" t="str">
        <f>IF(D20=Surrender!D20,"R",HSD!Q20)</f>
        <v>S</v>
      </c>
      <c r="R20" s="31" t="str">
        <f>IF(E20=Surrender!E20,"R",HSD!R20)</f>
        <v>S</v>
      </c>
      <c r="S20" s="31" t="str">
        <f>IF(F20=Surrender!F20,"R",HSD!S20)</f>
        <v>S</v>
      </c>
      <c r="T20" s="31" t="str">
        <f>IF(G20=Surrender!G20,"R",HSD!T20)</f>
        <v>S</v>
      </c>
      <c r="U20" s="31" t="str">
        <f>IF(H20=Surrender!H20,"R",HSD!U20)</f>
        <v>S</v>
      </c>
      <c r="V20" s="31" t="str">
        <f>IF(I20=Surrender!I20,"R",HSD!V20)</f>
        <v>S</v>
      </c>
      <c r="W20" s="31" t="str">
        <f>IF(J20=Surrender!J20,"R",HSD!W20)</f>
        <v>S</v>
      </c>
      <c r="X20" s="31" t="str">
        <f>IF(K20=Surrender!K20,"R",HSD!X20)</f>
        <v>S</v>
      </c>
    </row>
    <row r="21" spans="1:24" x14ac:dyDescent="0.2">
      <c r="A21">
        <v>21</v>
      </c>
      <c r="B21">
        <f>IF(AND(Rules!$B$8=Rules!$E$8,Rules!$B$7=Rules!$E$7),MAX(Hit!B21,Stand!B21,Double!B21,Surrender!B21),MAX(Hit!B21,Stand!B21,Double!B21))</f>
        <v>0.65780643070815525</v>
      </c>
      <c r="C21">
        <f>IF(Rules!$B$7=Rules!$E$7,MAX(Hit!C21,Stand!C21,Double!C21,Surrender!C21),MAX(Hit!C21,Stand!C21,Double!C21))</f>
        <v>0.88200651549403997</v>
      </c>
      <c r="D21">
        <f>IF(Rules!$B$7=Rules!$E$7,MAX(Hit!D21,Stand!D21,Double!D21,Surrender!D21),MAX(Hit!D21,Stand!D21,Double!D21))</f>
        <v>0.88530035730174927</v>
      </c>
      <c r="E21">
        <f>IF(Rules!$B$7=Rules!$E$7,MAX(Hit!E21,Stand!E21,Double!E21,Surrender!E21),MAX(Hit!E21,Stand!E21,Double!E21))</f>
        <v>0.88876729296591961</v>
      </c>
      <c r="F21">
        <f>IF(Rules!$B$7=Rules!$E$7,MAX(Hit!F21,Stand!F21,Double!F21,Surrender!F21),MAX(Hit!F21,Stand!F21,Double!F21))</f>
        <v>0.89175382659528035</v>
      </c>
      <c r="G21">
        <f>IF(Rules!$B$7=Rules!$E$7,MAX(Hit!G21,Stand!G21,Double!G21,Surrender!G21),MAX(Hit!G21,Stand!G21,Double!G21))</f>
        <v>0.90283674384257995</v>
      </c>
      <c r="H21">
        <f>IF(Rules!$B$7=Rules!$E$7,MAX(Hit!H21,Stand!H21,Double!H21,Surrender!H21),MAX(Hit!H21,Stand!H21,Double!H21))</f>
        <v>0.92592629596452325</v>
      </c>
      <c r="I21">
        <f>IF(Rules!$B$7=Rules!$E$7,MAX(Hit!I21,Stand!I21,Double!I21,Surrender!I21),MAX(Hit!I21,Stand!I21,Double!I21))</f>
        <v>0.93060505318396614</v>
      </c>
      <c r="J21">
        <f>IF(Rules!$B$7=Rules!$E$7,MAX(Hit!J21,Stand!J21,Double!J21,Surrender!J21),MAX(Hit!J21,Stand!J21,Double!J21))</f>
        <v>0.93917615614724415</v>
      </c>
      <c r="K21">
        <f>IF(Rules!$B$7=Rules!$E$7,MAX(Hit!K21,Stand!K21,Double!K21,Surrender!K21),MAX(Hit!K21,Stand!K21,Double!K21))</f>
        <v>0.88857566147738598</v>
      </c>
      <c r="N21" s="31">
        <v>21</v>
      </c>
      <c r="O21" s="31" t="str">
        <f>IF(B21=Surrender!B21,"R",HSD!O21)</f>
        <v>S</v>
      </c>
      <c r="P21" s="31" t="str">
        <f>IF(C21=Surrender!C21,"R",HSD!P21)</f>
        <v>S</v>
      </c>
      <c r="Q21" s="31" t="str">
        <f>IF(D21=Surrender!D21,"R",HSD!Q21)</f>
        <v>S</v>
      </c>
      <c r="R21" s="31" t="str">
        <f>IF(E21=Surrender!E21,"R",HSD!R21)</f>
        <v>S</v>
      </c>
      <c r="S21" s="31" t="str">
        <f>IF(F21=Surrender!F21,"R",HSD!S21)</f>
        <v>S</v>
      </c>
      <c r="T21" s="31" t="str">
        <f>IF(G21=Surrender!G21,"R",HSD!T21)</f>
        <v>S</v>
      </c>
      <c r="U21" s="31" t="str">
        <f>IF(H21=Surrender!H21,"R",HSD!U21)</f>
        <v>S</v>
      </c>
      <c r="V21" s="31" t="str">
        <f>IF(I21=Surrender!I21,"R",HSD!V21)</f>
        <v>S</v>
      </c>
      <c r="W21" s="31" t="str">
        <f>IF(J21=Surrender!J21,"R",HSD!W21)</f>
        <v>S</v>
      </c>
      <c r="X21" s="31" t="str">
        <f>IF(K21=Surrender!K21,"R",HSD!X21)</f>
        <v>S</v>
      </c>
    </row>
    <row r="22" spans="1:24" x14ac:dyDescent="0.2">
      <c r="A22">
        <v>22</v>
      </c>
      <c r="B22">
        <f>IF(AND(Rules!$B$8=Rules!$E$8,Rules!$B$7=Rules!$E$7),MAX(Hit!B22,Stand!B22,Double!B22,Surrender!B22),MAX(Hit!B22,Stand!B22,Double!B22))</f>
        <v>-1</v>
      </c>
      <c r="C22">
        <f>IF(Rules!$B$7=Rules!$E$7,MAX(Hit!C22,Stand!C22,Double!C22,Surrender!C22),MAX(Hit!C22,Stand!C22,Double!C22))</f>
        <v>-1</v>
      </c>
      <c r="D22">
        <f>IF(Rules!$B$7=Rules!$E$7,MAX(Hit!D22,Stand!D22,Double!D22,Surrender!D22),MAX(Hit!D22,Stand!D22,Double!D22))</f>
        <v>-1</v>
      </c>
      <c r="E22">
        <f>IF(Rules!$B$7=Rules!$E$7,MAX(Hit!E22,Stand!E22,Double!E22,Surrender!E22),MAX(Hit!E22,Stand!E22,Double!E22))</f>
        <v>-1</v>
      </c>
      <c r="F22">
        <f>IF(Rules!$B$7=Rules!$E$7,MAX(Hit!F22,Stand!F22,Double!F22,Surrender!F22),MAX(Hit!F22,Stand!F22,Double!F22))</f>
        <v>-1</v>
      </c>
      <c r="G22">
        <f>IF(Rules!$B$7=Rules!$E$7,MAX(Hit!G22,Stand!G22,Double!G22,Surrender!G22),MAX(Hit!G22,Stand!G22,Double!G22))</f>
        <v>-1</v>
      </c>
      <c r="H22">
        <f>IF(Rules!$B$7=Rules!$E$7,MAX(Hit!H22,Stand!H22,Double!H22,Surrender!H22),MAX(Hit!H22,Stand!H22,Double!H22))</f>
        <v>-1</v>
      </c>
      <c r="I22">
        <f>IF(Rules!$B$7=Rules!$E$7,MAX(Hit!I22,Stand!I22,Double!I22,Surrender!I22),MAX(Hit!I22,Stand!I22,Double!I22))</f>
        <v>-1</v>
      </c>
      <c r="J22">
        <f>IF(Rules!$B$7=Rules!$E$7,MAX(Hit!J22,Stand!J22,Double!J22,Surrender!J22),MAX(Hit!J22,Stand!J22,Double!J22))</f>
        <v>-1</v>
      </c>
      <c r="K22">
        <f>IF(Rules!$B$7=Rules!$E$7,MAX(Hit!K22,Stand!K22,Double!K22,Surrender!K22),MAX(Hit!K22,Stand!K22,Double!K22))</f>
        <v>-1</v>
      </c>
      <c r="N22" s="31">
        <v>22</v>
      </c>
      <c r="O22" s="31" t="str">
        <f>IF(B22=Surrender!B22,"R",HSD!O22)</f>
        <v>S</v>
      </c>
      <c r="P22" s="31" t="str">
        <f>IF(C22=Surrender!C22,"R",HSD!P22)</f>
        <v>S</v>
      </c>
      <c r="Q22" s="31" t="str">
        <f>IF(D22=Surrender!D22,"R",HSD!Q22)</f>
        <v>S</v>
      </c>
      <c r="R22" s="31" t="str">
        <f>IF(E22=Surrender!E22,"R",HSD!R22)</f>
        <v>S</v>
      </c>
      <c r="S22" s="31" t="str">
        <f>IF(F22=Surrender!F22,"R",HSD!S22)</f>
        <v>S</v>
      </c>
      <c r="T22" s="31" t="str">
        <f>IF(G22=Surrender!G22,"R",HSD!T22)</f>
        <v>S</v>
      </c>
      <c r="U22" s="31" t="str">
        <f>IF(H22=Surrender!H22,"R",HSD!U22)</f>
        <v>S</v>
      </c>
      <c r="V22" s="31" t="str">
        <f>IF(I22=Surrender!I22,"R",HSD!V22)</f>
        <v>S</v>
      </c>
      <c r="W22" s="31" t="str">
        <f>IF(J22=Surrender!J22,"R",HSD!W22)</f>
        <v>S</v>
      </c>
      <c r="X22" s="31" t="str">
        <f>IF(K22=Surrender!K22,"R",HSD!X22)</f>
        <v>S</v>
      </c>
    </row>
    <row r="23" spans="1:24" x14ac:dyDescent="0.2">
      <c r="A23">
        <v>23</v>
      </c>
      <c r="B23">
        <f>IF(AND(Rules!$B$8=Rules!$E$8,Rules!$B$7=Rules!$E$7),MAX(Hit!B23,Stand!B23,Double!B23,Surrender!B23),MAX(Hit!B23,Stand!B23,Double!B23))</f>
        <v>-1</v>
      </c>
      <c r="C23">
        <f>IF(Rules!$B$7=Rules!$E$7,MAX(Hit!C23,Stand!C23,Double!C23,Surrender!C23),MAX(Hit!C23,Stand!C23,Double!C23))</f>
        <v>-1</v>
      </c>
      <c r="D23">
        <f>IF(Rules!$B$7=Rules!$E$7,MAX(Hit!D23,Stand!D23,Double!D23,Surrender!D23),MAX(Hit!D23,Stand!D23,Double!D23))</f>
        <v>-1</v>
      </c>
      <c r="E23">
        <f>IF(Rules!$B$7=Rules!$E$7,MAX(Hit!E23,Stand!E23,Double!E23,Surrender!E23),MAX(Hit!E23,Stand!E23,Double!E23))</f>
        <v>-1</v>
      </c>
      <c r="F23">
        <f>IF(Rules!$B$7=Rules!$E$7,MAX(Hit!F23,Stand!F23,Double!F23,Surrender!F23),MAX(Hit!F23,Stand!F23,Double!F23))</f>
        <v>-1</v>
      </c>
      <c r="G23">
        <f>IF(Rules!$B$7=Rules!$E$7,MAX(Hit!G23,Stand!G23,Double!G23,Surrender!G23),MAX(Hit!G23,Stand!G23,Double!G23))</f>
        <v>-1</v>
      </c>
      <c r="H23">
        <f>IF(Rules!$B$7=Rules!$E$7,MAX(Hit!H23,Stand!H23,Double!H23,Surrender!H23),MAX(Hit!H23,Stand!H23,Double!H23))</f>
        <v>-1</v>
      </c>
      <c r="I23">
        <f>IF(Rules!$B$7=Rules!$E$7,MAX(Hit!I23,Stand!I23,Double!I23,Surrender!I23),MAX(Hit!I23,Stand!I23,Double!I23))</f>
        <v>-1</v>
      </c>
      <c r="J23">
        <f>IF(Rules!$B$7=Rules!$E$7,MAX(Hit!J23,Stand!J23,Double!J23,Surrender!J23),MAX(Hit!J23,Stand!J23,Double!J23))</f>
        <v>-1</v>
      </c>
      <c r="K23">
        <f>IF(Rules!$B$7=Rules!$E$7,MAX(Hit!K23,Stand!K23,Double!K23,Surrender!K23),MAX(Hit!K23,Stand!K23,Double!K23))</f>
        <v>-1</v>
      </c>
      <c r="N23" s="31">
        <v>23</v>
      </c>
      <c r="O23" s="31" t="str">
        <f>IF(B23=Surrender!B23,"R",HSD!O23)</f>
        <v>S</v>
      </c>
      <c r="P23" s="31" t="str">
        <f>IF(C23=Surrender!C23,"R",HSD!P23)</f>
        <v>S</v>
      </c>
      <c r="Q23" s="31" t="str">
        <f>IF(D23=Surrender!D23,"R",HSD!Q23)</f>
        <v>S</v>
      </c>
      <c r="R23" s="31" t="str">
        <f>IF(E23=Surrender!E23,"R",HSD!R23)</f>
        <v>S</v>
      </c>
      <c r="S23" s="31" t="str">
        <f>IF(F23=Surrender!F23,"R",HSD!S23)</f>
        <v>S</v>
      </c>
      <c r="T23" s="31" t="str">
        <f>IF(G23=Surrender!G23,"R",HSD!T23)</f>
        <v>S</v>
      </c>
      <c r="U23" s="31" t="str">
        <f>IF(H23=Surrender!H23,"R",HSD!U23)</f>
        <v>S</v>
      </c>
      <c r="V23" s="31" t="str">
        <f>IF(I23=Surrender!I23,"R",HSD!V23)</f>
        <v>S</v>
      </c>
      <c r="W23" s="31" t="str">
        <f>IF(J23=Surrender!J23,"R",HSD!W23)</f>
        <v>S</v>
      </c>
      <c r="X23" s="31" t="str">
        <f>IF(K23=Surrender!K23,"R",HSD!X23)</f>
        <v>S</v>
      </c>
    </row>
    <row r="24" spans="1:24" x14ac:dyDescent="0.2">
      <c r="A24">
        <v>24</v>
      </c>
      <c r="B24">
        <f>IF(AND(Rules!$B$8=Rules!$E$8,Rules!$B$7=Rules!$E$7),MAX(Hit!B24,Stand!B24,Double!B24,Surrender!B24),MAX(Hit!B24,Stand!B24,Double!B24))</f>
        <v>-1</v>
      </c>
      <c r="C24">
        <f>IF(Rules!$B$7=Rules!$E$7,MAX(Hit!C24,Stand!C24,Double!C24,Surrender!C24),MAX(Hit!C24,Stand!C24,Double!C24))</f>
        <v>-1</v>
      </c>
      <c r="D24">
        <f>IF(Rules!$B$7=Rules!$E$7,MAX(Hit!D24,Stand!D24,Double!D24,Surrender!D24),MAX(Hit!D24,Stand!D24,Double!D24))</f>
        <v>-1</v>
      </c>
      <c r="E24">
        <f>IF(Rules!$B$7=Rules!$E$7,MAX(Hit!E24,Stand!E24,Double!E24,Surrender!E24),MAX(Hit!E24,Stand!E24,Double!E24))</f>
        <v>-1</v>
      </c>
      <c r="F24">
        <f>IF(Rules!$B$7=Rules!$E$7,MAX(Hit!F24,Stand!F24,Double!F24,Surrender!F24),MAX(Hit!F24,Stand!F24,Double!F24))</f>
        <v>-1</v>
      </c>
      <c r="G24">
        <f>IF(Rules!$B$7=Rules!$E$7,MAX(Hit!G24,Stand!G24,Double!G24,Surrender!G24),MAX(Hit!G24,Stand!G24,Double!G24))</f>
        <v>-1</v>
      </c>
      <c r="H24">
        <f>IF(Rules!$B$7=Rules!$E$7,MAX(Hit!H24,Stand!H24,Double!H24,Surrender!H24),MAX(Hit!H24,Stand!H24,Double!H24))</f>
        <v>-1</v>
      </c>
      <c r="I24">
        <f>IF(Rules!$B$7=Rules!$E$7,MAX(Hit!I24,Stand!I24,Double!I24,Surrender!I24),MAX(Hit!I24,Stand!I24,Double!I24))</f>
        <v>-1</v>
      </c>
      <c r="J24">
        <f>IF(Rules!$B$7=Rules!$E$7,MAX(Hit!J24,Stand!J24,Double!J24,Surrender!J24),MAX(Hit!J24,Stand!J24,Double!J24))</f>
        <v>-1</v>
      </c>
      <c r="K24">
        <f>IF(Rules!$B$7=Rules!$E$7,MAX(Hit!K24,Stand!K24,Double!K24,Surrender!K24),MAX(Hit!K24,Stand!K24,Double!K24))</f>
        <v>-1</v>
      </c>
      <c r="N24" s="31">
        <v>24</v>
      </c>
      <c r="O24" s="31" t="str">
        <f>IF(B24=Surrender!B24,"R",HSD!O24)</f>
        <v>S</v>
      </c>
      <c r="P24" s="31" t="str">
        <f>IF(C24=Surrender!C24,"R",HSD!P24)</f>
        <v>S</v>
      </c>
      <c r="Q24" s="31" t="str">
        <f>IF(D24=Surrender!D24,"R",HSD!Q24)</f>
        <v>S</v>
      </c>
      <c r="R24" s="31" t="str">
        <f>IF(E24=Surrender!E24,"R",HSD!R24)</f>
        <v>S</v>
      </c>
      <c r="S24" s="31" t="str">
        <f>IF(F24=Surrender!F24,"R",HSD!S24)</f>
        <v>S</v>
      </c>
      <c r="T24" s="31" t="str">
        <f>IF(G24=Surrender!G24,"R",HSD!T24)</f>
        <v>S</v>
      </c>
      <c r="U24" s="31" t="str">
        <f>IF(H24=Surrender!H24,"R",HSD!U24)</f>
        <v>S</v>
      </c>
      <c r="V24" s="31" t="str">
        <f>IF(I24=Surrender!I24,"R",HSD!V24)</f>
        <v>S</v>
      </c>
      <c r="W24" s="31" t="str">
        <f>IF(J24=Surrender!J24,"R",HSD!W24)</f>
        <v>S</v>
      </c>
      <c r="X24" s="31" t="str">
        <f>IF(K24=Surrender!K24,"R",HSD!X24)</f>
        <v>S</v>
      </c>
    </row>
    <row r="25" spans="1:24" x14ac:dyDescent="0.2">
      <c r="A25">
        <v>25</v>
      </c>
      <c r="B25">
        <f>IF(AND(Rules!$B$8=Rules!$E$8,Rules!$B$7=Rules!$E$7),MAX(Hit!B25,Stand!B25,Double!B25,Surrender!B25),MAX(Hit!B25,Stand!B25,Double!B25))</f>
        <v>-1</v>
      </c>
      <c r="C25">
        <f>IF(Rules!$B$7=Rules!$E$7,MAX(Hit!C25,Stand!C25,Double!C25,Surrender!C25),MAX(Hit!C25,Stand!C25,Double!C25))</f>
        <v>-1</v>
      </c>
      <c r="D25">
        <f>IF(Rules!$B$7=Rules!$E$7,MAX(Hit!D25,Stand!D25,Double!D25,Surrender!D25),MAX(Hit!D25,Stand!D25,Double!D25))</f>
        <v>-1</v>
      </c>
      <c r="E25">
        <f>IF(Rules!$B$7=Rules!$E$7,MAX(Hit!E25,Stand!E25,Double!E25,Surrender!E25),MAX(Hit!E25,Stand!E25,Double!E25))</f>
        <v>-1</v>
      </c>
      <c r="F25">
        <f>IF(Rules!$B$7=Rules!$E$7,MAX(Hit!F25,Stand!F25,Double!F25,Surrender!F25),MAX(Hit!F25,Stand!F25,Double!F25))</f>
        <v>-1</v>
      </c>
      <c r="G25">
        <f>IF(Rules!$B$7=Rules!$E$7,MAX(Hit!G25,Stand!G25,Double!G25,Surrender!G25),MAX(Hit!G25,Stand!G25,Double!G25))</f>
        <v>-1</v>
      </c>
      <c r="H25">
        <f>IF(Rules!$B$7=Rules!$E$7,MAX(Hit!H25,Stand!H25,Double!H25,Surrender!H25),MAX(Hit!H25,Stand!H25,Double!H25))</f>
        <v>-1</v>
      </c>
      <c r="I25">
        <f>IF(Rules!$B$7=Rules!$E$7,MAX(Hit!I25,Stand!I25,Double!I25,Surrender!I25),MAX(Hit!I25,Stand!I25,Double!I25))</f>
        <v>-1</v>
      </c>
      <c r="J25">
        <f>IF(Rules!$B$7=Rules!$E$7,MAX(Hit!J25,Stand!J25,Double!J25,Surrender!J25),MAX(Hit!J25,Stand!J25,Double!J25))</f>
        <v>-1</v>
      </c>
      <c r="K25">
        <f>IF(Rules!$B$7=Rules!$E$7,MAX(Hit!K25,Stand!K25,Double!K25,Surrender!K25),MAX(Hit!K25,Stand!K25,Double!K25))</f>
        <v>-1</v>
      </c>
      <c r="N25" s="31">
        <v>25</v>
      </c>
      <c r="O25" s="31" t="str">
        <f>IF(B25=Surrender!B25,"R",HSD!O25)</f>
        <v>S</v>
      </c>
      <c r="P25" s="31" t="str">
        <f>IF(C25=Surrender!C25,"R",HSD!P25)</f>
        <v>S</v>
      </c>
      <c r="Q25" s="31" t="str">
        <f>IF(D25=Surrender!D25,"R",HSD!Q25)</f>
        <v>S</v>
      </c>
      <c r="R25" s="31" t="str">
        <f>IF(E25=Surrender!E25,"R",HSD!R25)</f>
        <v>S</v>
      </c>
      <c r="S25" s="31" t="str">
        <f>IF(F25=Surrender!F25,"R",HSD!S25)</f>
        <v>S</v>
      </c>
      <c r="T25" s="31" t="str">
        <f>IF(G25=Surrender!G25,"R",HSD!T25)</f>
        <v>S</v>
      </c>
      <c r="U25" s="31" t="str">
        <f>IF(H25=Surrender!H25,"R",HSD!U25)</f>
        <v>S</v>
      </c>
      <c r="V25" s="31" t="str">
        <f>IF(I25=Surrender!I25,"R",HSD!V25)</f>
        <v>S</v>
      </c>
      <c r="W25" s="31" t="str">
        <f>IF(J25=Surrender!J25,"R",HSD!W25)</f>
        <v>S</v>
      </c>
      <c r="X25" s="31" t="str">
        <f>IF(K25=Surrender!K25,"R",HSD!X25)</f>
        <v>S</v>
      </c>
    </row>
    <row r="26" spans="1:24" x14ac:dyDescent="0.2">
      <c r="A26">
        <v>26</v>
      </c>
      <c r="B26">
        <f>IF(AND(Rules!$B$8=Rules!$E$8,Rules!$B$7=Rules!$E$7),MAX(Hit!B26,Stand!B26,Double!B26,Surrender!B26),MAX(Hit!B26,Stand!B26,Double!B26))</f>
        <v>-1</v>
      </c>
      <c r="C26">
        <f>IF(Rules!$B$7=Rules!$E$7,MAX(Hit!C26,Stand!C26,Double!C26,Surrender!C26),MAX(Hit!C26,Stand!C26,Double!C26))</f>
        <v>-1</v>
      </c>
      <c r="D26">
        <f>IF(Rules!$B$7=Rules!$E$7,MAX(Hit!D26,Stand!D26,Double!D26,Surrender!D26),MAX(Hit!D26,Stand!D26,Double!D26))</f>
        <v>-1</v>
      </c>
      <c r="E26">
        <f>IF(Rules!$B$7=Rules!$E$7,MAX(Hit!E26,Stand!E26,Double!E26,Surrender!E26),MAX(Hit!E26,Stand!E26,Double!E26))</f>
        <v>-1</v>
      </c>
      <c r="F26">
        <f>IF(Rules!$B$7=Rules!$E$7,MAX(Hit!F26,Stand!F26,Double!F26,Surrender!F26),MAX(Hit!F26,Stand!F26,Double!F26))</f>
        <v>-1</v>
      </c>
      <c r="G26">
        <f>IF(Rules!$B$7=Rules!$E$7,MAX(Hit!G26,Stand!G26,Double!G26,Surrender!G26),MAX(Hit!G26,Stand!G26,Double!G26))</f>
        <v>-1</v>
      </c>
      <c r="H26">
        <f>IF(Rules!$B$7=Rules!$E$7,MAX(Hit!H26,Stand!H26,Double!H26,Surrender!H26),MAX(Hit!H26,Stand!H26,Double!H26))</f>
        <v>-1</v>
      </c>
      <c r="I26">
        <f>IF(Rules!$B$7=Rules!$E$7,MAX(Hit!I26,Stand!I26,Double!I26,Surrender!I26),MAX(Hit!I26,Stand!I26,Double!I26))</f>
        <v>-1</v>
      </c>
      <c r="J26">
        <f>IF(Rules!$B$7=Rules!$E$7,MAX(Hit!J26,Stand!J26,Double!J26,Surrender!J26),MAX(Hit!J26,Stand!J26,Double!J26))</f>
        <v>-1</v>
      </c>
      <c r="K26">
        <f>IF(Rules!$B$7=Rules!$E$7,MAX(Hit!K26,Stand!K26,Double!K26,Surrender!K26),MAX(Hit!K26,Stand!K26,Double!K26))</f>
        <v>-1</v>
      </c>
      <c r="N26" s="31">
        <v>26</v>
      </c>
      <c r="O26" s="31" t="str">
        <f>IF(B26=Surrender!B26,"R",HSD!O26)</f>
        <v>S</v>
      </c>
      <c r="P26" s="31" t="str">
        <f>IF(C26=Surrender!C26,"R",HSD!P26)</f>
        <v>S</v>
      </c>
      <c r="Q26" s="31" t="str">
        <f>IF(D26=Surrender!D26,"R",HSD!Q26)</f>
        <v>S</v>
      </c>
      <c r="R26" s="31" t="str">
        <f>IF(E26=Surrender!E26,"R",HSD!R26)</f>
        <v>S</v>
      </c>
      <c r="S26" s="31" t="str">
        <f>IF(F26=Surrender!F26,"R",HSD!S26)</f>
        <v>S</v>
      </c>
      <c r="T26" s="31" t="str">
        <f>IF(G26=Surrender!G26,"R",HSD!T26)</f>
        <v>S</v>
      </c>
      <c r="U26" s="31" t="str">
        <f>IF(H26=Surrender!H26,"R",HSD!U26)</f>
        <v>S</v>
      </c>
      <c r="V26" s="31" t="str">
        <f>IF(I26=Surrender!I26,"R",HSD!V26)</f>
        <v>S</v>
      </c>
      <c r="W26" s="31" t="str">
        <f>IF(J26=Surrender!J26,"R",HSD!W26)</f>
        <v>S</v>
      </c>
      <c r="X26" s="31" t="str">
        <f>IF(K26=Surrender!K26,"R",HSD!X26)</f>
        <v>S</v>
      </c>
    </row>
    <row r="27" spans="1:24" x14ac:dyDescent="0.2">
      <c r="A27">
        <v>27</v>
      </c>
      <c r="B27">
        <f>IF(AND(Rules!$B$8=Rules!$E$8,Rules!$B$7=Rules!$E$7),MAX(Hit!B27,Stand!B27,Double!B27,Surrender!B27),MAX(Hit!B27,Stand!B27,Double!B27))</f>
        <v>-1</v>
      </c>
      <c r="C27">
        <f>IF(Rules!$B$7=Rules!$E$7,MAX(Hit!C27,Stand!C27,Double!C27,Surrender!C27),MAX(Hit!C27,Stand!C27,Double!C27))</f>
        <v>-1</v>
      </c>
      <c r="D27">
        <f>IF(Rules!$B$7=Rules!$E$7,MAX(Hit!D27,Stand!D27,Double!D27,Surrender!D27),MAX(Hit!D27,Stand!D27,Double!D27))</f>
        <v>-1</v>
      </c>
      <c r="E27">
        <f>IF(Rules!$B$7=Rules!$E$7,MAX(Hit!E27,Stand!E27,Double!E27,Surrender!E27),MAX(Hit!E27,Stand!E27,Double!E27))</f>
        <v>-1</v>
      </c>
      <c r="F27">
        <f>IF(Rules!$B$7=Rules!$E$7,MAX(Hit!F27,Stand!F27,Double!F27,Surrender!F27),MAX(Hit!F27,Stand!F27,Double!F27))</f>
        <v>-1</v>
      </c>
      <c r="G27">
        <f>IF(Rules!$B$7=Rules!$E$7,MAX(Hit!G27,Stand!G27,Double!G27,Surrender!G27),MAX(Hit!G27,Stand!G27,Double!G27))</f>
        <v>-1</v>
      </c>
      <c r="H27">
        <f>IF(Rules!$B$7=Rules!$E$7,MAX(Hit!H27,Stand!H27,Double!H27,Surrender!H27),MAX(Hit!H27,Stand!H27,Double!H27))</f>
        <v>-1</v>
      </c>
      <c r="I27">
        <f>IF(Rules!$B$7=Rules!$E$7,MAX(Hit!I27,Stand!I27,Double!I27,Surrender!I27),MAX(Hit!I27,Stand!I27,Double!I27))</f>
        <v>-1</v>
      </c>
      <c r="J27">
        <f>IF(Rules!$B$7=Rules!$E$7,MAX(Hit!J27,Stand!J27,Double!J27,Surrender!J27),MAX(Hit!J27,Stand!J27,Double!J27))</f>
        <v>-1</v>
      </c>
      <c r="K27">
        <f>IF(Rules!$B$7=Rules!$E$7,MAX(Hit!K27,Stand!K27,Double!K27,Surrender!K27),MAX(Hit!K27,Stand!K27,Double!K27))</f>
        <v>-1</v>
      </c>
      <c r="N27" s="31">
        <v>27</v>
      </c>
      <c r="O27" s="31" t="str">
        <f>IF(B27=Surrender!B27,"R",HSD!O27)</f>
        <v>S</v>
      </c>
      <c r="P27" s="31" t="str">
        <f>IF(C27=Surrender!C27,"R",HSD!P27)</f>
        <v>S</v>
      </c>
      <c r="Q27" s="31" t="str">
        <f>IF(D27=Surrender!D27,"R",HSD!Q27)</f>
        <v>S</v>
      </c>
      <c r="R27" s="31" t="str">
        <f>IF(E27=Surrender!E27,"R",HSD!R27)</f>
        <v>S</v>
      </c>
      <c r="S27" s="31" t="str">
        <f>IF(F27=Surrender!F27,"R",HSD!S27)</f>
        <v>S</v>
      </c>
      <c r="T27" s="31" t="str">
        <f>IF(G27=Surrender!G27,"R",HSD!T27)</f>
        <v>S</v>
      </c>
      <c r="U27" s="31" t="str">
        <f>IF(H27=Surrender!H27,"R",HSD!U27)</f>
        <v>S</v>
      </c>
      <c r="V27" s="31" t="str">
        <f>IF(I27=Surrender!I27,"R",HSD!V27)</f>
        <v>S</v>
      </c>
      <c r="W27" s="31" t="str">
        <f>IF(J27=Surrender!J27,"R",HSD!W27)</f>
        <v>S</v>
      </c>
      <c r="X27" s="31" t="str">
        <f>IF(K27=Surrender!K27,"R",HSD!X27)</f>
        <v>S</v>
      </c>
    </row>
    <row r="28" spans="1:24" x14ac:dyDescent="0.2">
      <c r="A28">
        <v>28</v>
      </c>
      <c r="B28">
        <f>IF(AND(Rules!$B$8=Rules!$E$8,Rules!$B$7=Rules!$E$7),MAX(Hit!B28,Stand!B28,Double!B28,Surrender!B28),MAX(Hit!B28,Stand!B28,Double!B28))</f>
        <v>-1</v>
      </c>
      <c r="C28">
        <f>IF(Rules!$B$7=Rules!$E$7,MAX(Hit!C28,Stand!C28,Double!C28,Surrender!C28),MAX(Hit!C28,Stand!C28,Double!C28))</f>
        <v>-1</v>
      </c>
      <c r="D28">
        <f>IF(Rules!$B$7=Rules!$E$7,MAX(Hit!D28,Stand!D28,Double!D28,Surrender!D28),MAX(Hit!D28,Stand!D28,Double!D28))</f>
        <v>-1</v>
      </c>
      <c r="E28">
        <f>IF(Rules!$B$7=Rules!$E$7,MAX(Hit!E28,Stand!E28,Double!E28,Surrender!E28),MAX(Hit!E28,Stand!E28,Double!E28))</f>
        <v>-1</v>
      </c>
      <c r="F28">
        <f>IF(Rules!$B$7=Rules!$E$7,MAX(Hit!F28,Stand!F28,Double!F28,Surrender!F28),MAX(Hit!F28,Stand!F28,Double!F28))</f>
        <v>-1</v>
      </c>
      <c r="G28">
        <f>IF(Rules!$B$7=Rules!$E$7,MAX(Hit!G28,Stand!G28,Double!G28,Surrender!G28),MAX(Hit!G28,Stand!G28,Double!G28))</f>
        <v>-1</v>
      </c>
      <c r="H28">
        <f>IF(Rules!$B$7=Rules!$E$7,MAX(Hit!H28,Stand!H28,Double!H28,Surrender!H28),MAX(Hit!H28,Stand!H28,Double!H28))</f>
        <v>-1</v>
      </c>
      <c r="I28">
        <f>IF(Rules!$B$7=Rules!$E$7,MAX(Hit!I28,Stand!I28,Double!I28,Surrender!I28),MAX(Hit!I28,Stand!I28,Double!I28))</f>
        <v>-1</v>
      </c>
      <c r="J28">
        <f>IF(Rules!$B$7=Rules!$E$7,MAX(Hit!J28,Stand!J28,Double!J28,Surrender!J28),MAX(Hit!J28,Stand!J28,Double!J28))</f>
        <v>-1</v>
      </c>
      <c r="K28">
        <f>IF(Rules!$B$7=Rules!$E$7,MAX(Hit!K28,Stand!K28,Double!K28,Surrender!K28),MAX(Hit!K28,Stand!K28,Double!K28))</f>
        <v>-1</v>
      </c>
      <c r="N28" s="31">
        <v>28</v>
      </c>
      <c r="O28" s="31" t="str">
        <f>IF(B28=Surrender!B28,"R",HSD!O28)</f>
        <v>S</v>
      </c>
      <c r="P28" s="31" t="str">
        <f>IF(C28=Surrender!C28,"R",HSD!P28)</f>
        <v>S</v>
      </c>
      <c r="Q28" s="31" t="str">
        <f>IF(D28=Surrender!D28,"R",HSD!Q28)</f>
        <v>S</v>
      </c>
      <c r="R28" s="31" t="str">
        <f>IF(E28=Surrender!E28,"R",HSD!R28)</f>
        <v>S</v>
      </c>
      <c r="S28" s="31" t="str">
        <f>IF(F28=Surrender!F28,"R",HSD!S28)</f>
        <v>S</v>
      </c>
      <c r="T28" s="31" t="str">
        <f>IF(G28=Surrender!G28,"R",HSD!T28)</f>
        <v>S</v>
      </c>
      <c r="U28" s="31" t="str">
        <f>IF(H28=Surrender!H28,"R",HSD!U28)</f>
        <v>S</v>
      </c>
      <c r="V28" s="31" t="str">
        <f>IF(I28=Surrender!I28,"R",HSD!V28)</f>
        <v>S</v>
      </c>
      <c r="W28" s="31" t="str">
        <f>IF(J28=Surrender!J28,"R",HSD!W28)</f>
        <v>S</v>
      </c>
      <c r="X28" s="31" t="str">
        <f>IF(K28=Surrender!K28,"R",HSD!X28)</f>
        <v>S</v>
      </c>
    </row>
    <row r="29" spans="1:24" x14ac:dyDescent="0.2">
      <c r="A29">
        <v>29</v>
      </c>
      <c r="B29">
        <f>IF(AND(Rules!$B$8=Rules!$E$8,Rules!$B$7=Rules!$E$7),MAX(Hit!B29,Stand!B29,Double!B29,Surrender!B29),MAX(Hit!B29,Stand!B29,Double!B29))</f>
        <v>-1</v>
      </c>
      <c r="C29">
        <f>IF(Rules!$B$7=Rules!$E$7,MAX(Hit!C29,Stand!C29,Double!C29,Surrender!C29),MAX(Hit!C29,Stand!C29,Double!C29))</f>
        <v>-1</v>
      </c>
      <c r="D29">
        <f>IF(Rules!$B$7=Rules!$E$7,MAX(Hit!D29,Stand!D29,Double!D29,Surrender!D29),MAX(Hit!D29,Stand!D29,Double!D29))</f>
        <v>-1</v>
      </c>
      <c r="E29">
        <f>IF(Rules!$B$7=Rules!$E$7,MAX(Hit!E29,Stand!E29,Double!E29,Surrender!E29),MAX(Hit!E29,Stand!E29,Double!E29))</f>
        <v>-1</v>
      </c>
      <c r="F29">
        <f>IF(Rules!$B$7=Rules!$E$7,MAX(Hit!F29,Stand!F29,Double!F29,Surrender!F29),MAX(Hit!F29,Stand!F29,Double!F29))</f>
        <v>-1</v>
      </c>
      <c r="G29">
        <f>IF(Rules!$B$7=Rules!$E$7,MAX(Hit!G29,Stand!G29,Double!G29,Surrender!G29),MAX(Hit!G29,Stand!G29,Double!G29))</f>
        <v>-1</v>
      </c>
      <c r="H29">
        <f>IF(Rules!$B$7=Rules!$E$7,MAX(Hit!H29,Stand!H29,Double!H29,Surrender!H29),MAX(Hit!H29,Stand!H29,Double!H29))</f>
        <v>-1</v>
      </c>
      <c r="I29">
        <f>IF(Rules!$B$7=Rules!$E$7,MAX(Hit!I29,Stand!I29,Double!I29,Surrender!I29),MAX(Hit!I29,Stand!I29,Double!I29))</f>
        <v>-1</v>
      </c>
      <c r="J29">
        <f>IF(Rules!$B$7=Rules!$E$7,MAX(Hit!J29,Stand!J29,Double!J29,Surrender!J29),MAX(Hit!J29,Stand!J29,Double!J29))</f>
        <v>-1</v>
      </c>
      <c r="K29">
        <f>IF(Rules!$B$7=Rules!$E$7,MAX(Hit!K29,Stand!K29,Double!K29,Surrender!K29),MAX(Hit!K29,Stand!K29,Double!K29))</f>
        <v>-1</v>
      </c>
      <c r="N29" s="31">
        <v>29</v>
      </c>
      <c r="O29" s="31" t="str">
        <f>IF(B29=Surrender!B29,"R",HSD!O29)</f>
        <v>S</v>
      </c>
      <c r="P29" s="31" t="str">
        <f>IF(C29=Surrender!C29,"R",HSD!P29)</f>
        <v>S</v>
      </c>
      <c r="Q29" s="31" t="str">
        <f>IF(D29=Surrender!D29,"R",HSD!Q29)</f>
        <v>S</v>
      </c>
      <c r="R29" s="31" t="str">
        <f>IF(E29=Surrender!E29,"R",HSD!R29)</f>
        <v>S</v>
      </c>
      <c r="S29" s="31" t="str">
        <f>IF(F29=Surrender!F29,"R",HSD!S29)</f>
        <v>S</v>
      </c>
      <c r="T29" s="31" t="str">
        <f>IF(G29=Surrender!G29,"R",HSD!T29)</f>
        <v>S</v>
      </c>
      <c r="U29" s="31" t="str">
        <f>IF(H29=Surrender!H29,"R",HSD!U29)</f>
        <v>S</v>
      </c>
      <c r="V29" s="31" t="str">
        <f>IF(I29=Surrender!I29,"R",HSD!V29)</f>
        <v>S</v>
      </c>
      <c r="W29" s="31" t="str">
        <f>IF(J29=Surrender!J29,"R",HSD!W29)</f>
        <v>S</v>
      </c>
      <c r="X29" s="31" t="str">
        <f>IF(K29=Surrender!K29,"R",HSD!X29)</f>
        <v>S</v>
      </c>
    </row>
    <row r="30" spans="1:24" x14ac:dyDescent="0.2">
      <c r="A30">
        <v>30</v>
      </c>
      <c r="B30">
        <f>IF(AND(Rules!$B$8=Rules!$E$8,Rules!$B$7=Rules!$E$7),MAX(Hit!B30,Stand!B30,Double!B30,Surrender!B30),MAX(Hit!B30,Stand!B30,Double!B30))</f>
        <v>-1</v>
      </c>
      <c r="C30">
        <f>IF(Rules!$B$7=Rules!$E$7,MAX(Hit!C30,Stand!C30,Double!C30,Surrender!C30),MAX(Hit!C30,Stand!C30,Double!C30))</f>
        <v>-1</v>
      </c>
      <c r="D30">
        <f>IF(Rules!$B$7=Rules!$E$7,MAX(Hit!D30,Stand!D30,Double!D30,Surrender!D30),MAX(Hit!D30,Stand!D30,Double!D30))</f>
        <v>-1</v>
      </c>
      <c r="E30">
        <f>IF(Rules!$B$7=Rules!$E$7,MAX(Hit!E30,Stand!E30,Double!E30,Surrender!E30),MAX(Hit!E30,Stand!E30,Double!E30))</f>
        <v>-1</v>
      </c>
      <c r="F30">
        <f>IF(Rules!$B$7=Rules!$E$7,MAX(Hit!F30,Stand!F30,Double!F30,Surrender!F30),MAX(Hit!F30,Stand!F30,Double!F30))</f>
        <v>-1</v>
      </c>
      <c r="G30">
        <f>IF(Rules!$B$7=Rules!$E$7,MAX(Hit!G30,Stand!G30,Double!G30,Surrender!G30),MAX(Hit!G30,Stand!G30,Double!G30))</f>
        <v>-1</v>
      </c>
      <c r="H30">
        <f>IF(Rules!$B$7=Rules!$E$7,MAX(Hit!H30,Stand!H30,Double!H30,Surrender!H30),MAX(Hit!H30,Stand!H30,Double!H30))</f>
        <v>-1</v>
      </c>
      <c r="I30">
        <f>IF(Rules!$B$7=Rules!$E$7,MAX(Hit!I30,Stand!I30,Double!I30,Surrender!I30),MAX(Hit!I30,Stand!I30,Double!I30))</f>
        <v>-1</v>
      </c>
      <c r="J30">
        <f>IF(Rules!$B$7=Rules!$E$7,MAX(Hit!J30,Stand!J30,Double!J30,Surrender!J30),MAX(Hit!J30,Stand!J30,Double!J30))</f>
        <v>-1</v>
      </c>
      <c r="K30">
        <f>IF(Rules!$B$7=Rules!$E$7,MAX(Hit!K30,Stand!K30,Double!K30,Surrender!K30),MAX(Hit!K30,Stand!K30,Double!K30))</f>
        <v>-1</v>
      </c>
      <c r="N30" s="31">
        <v>30</v>
      </c>
      <c r="O30" s="31" t="str">
        <f>IF(B30=Surrender!B30,"R",HSD!O30)</f>
        <v>S</v>
      </c>
      <c r="P30" s="31" t="str">
        <f>IF(C30=Surrender!C30,"R",HSD!P30)</f>
        <v>S</v>
      </c>
      <c r="Q30" s="31" t="str">
        <f>IF(D30=Surrender!D30,"R",HSD!Q30)</f>
        <v>S</v>
      </c>
      <c r="R30" s="31" t="str">
        <f>IF(E30=Surrender!E30,"R",HSD!R30)</f>
        <v>S</v>
      </c>
      <c r="S30" s="31" t="str">
        <f>IF(F30=Surrender!F30,"R",HSD!S30)</f>
        <v>S</v>
      </c>
      <c r="T30" s="31" t="str">
        <f>IF(G30=Surrender!G30,"R",HSD!T30)</f>
        <v>S</v>
      </c>
      <c r="U30" s="31" t="str">
        <f>IF(H30=Surrender!H30,"R",HSD!U30)</f>
        <v>S</v>
      </c>
      <c r="V30" s="31" t="str">
        <f>IF(I30=Surrender!I30,"R",HSD!V30)</f>
        <v>S</v>
      </c>
      <c r="W30" s="31" t="str">
        <f>IF(J30=Surrender!J30,"R",HSD!W30)</f>
        <v>S</v>
      </c>
      <c r="X30" s="31" t="str">
        <f>IF(K30=Surrender!K30,"R",HSD!X30)</f>
        <v>S</v>
      </c>
    </row>
    <row r="31" spans="1:24" x14ac:dyDescent="0.2">
      <c r="A31">
        <v>31</v>
      </c>
      <c r="B31">
        <f>IF(AND(Rules!$B$8=Rules!$E$8,Rules!$B$7=Rules!$E$7),MAX(Hit!B31,Stand!B31,Double!B31,Surrender!B31),MAX(Hit!B31,Stand!B31,Double!B31))</f>
        <v>-1</v>
      </c>
      <c r="C31">
        <f>IF(Rules!$B$7=Rules!$E$7,MAX(Hit!C31,Stand!C31,Double!C31,Surrender!C31),MAX(Hit!C31,Stand!C31,Double!C31))</f>
        <v>-1</v>
      </c>
      <c r="D31">
        <f>IF(Rules!$B$7=Rules!$E$7,MAX(Hit!D31,Stand!D31,Double!D31,Surrender!D31),MAX(Hit!D31,Stand!D31,Double!D31))</f>
        <v>-1</v>
      </c>
      <c r="E31">
        <f>IF(Rules!$B$7=Rules!$E$7,MAX(Hit!E31,Stand!E31,Double!E31,Surrender!E31),MAX(Hit!E31,Stand!E31,Double!E31))</f>
        <v>-1</v>
      </c>
      <c r="F31">
        <f>IF(Rules!$B$7=Rules!$E$7,MAX(Hit!F31,Stand!F31,Double!F31,Surrender!F31),MAX(Hit!F31,Stand!F31,Double!F31))</f>
        <v>-1</v>
      </c>
      <c r="G31">
        <f>IF(Rules!$B$7=Rules!$E$7,MAX(Hit!G31,Stand!G31,Double!G31,Surrender!G31),MAX(Hit!G31,Stand!G31,Double!G31))</f>
        <v>-1</v>
      </c>
      <c r="H31">
        <f>IF(Rules!$B$7=Rules!$E$7,MAX(Hit!H31,Stand!H31,Double!H31,Surrender!H31),MAX(Hit!H31,Stand!H31,Double!H31))</f>
        <v>-1</v>
      </c>
      <c r="I31">
        <f>IF(Rules!$B$7=Rules!$E$7,MAX(Hit!I31,Stand!I31,Double!I31,Surrender!I31),MAX(Hit!I31,Stand!I31,Double!I31))</f>
        <v>-1</v>
      </c>
      <c r="J31">
        <f>IF(Rules!$B$7=Rules!$E$7,MAX(Hit!J31,Stand!J31,Double!J31,Surrender!J31),MAX(Hit!J31,Stand!J31,Double!J31))</f>
        <v>-1</v>
      </c>
      <c r="K31">
        <f>IF(Rules!$B$7=Rules!$E$7,MAX(Hit!K31,Stand!K31,Double!K31,Surrender!K31),MAX(Hit!K31,Stand!K31,Double!K31))</f>
        <v>-1</v>
      </c>
      <c r="N31" s="31">
        <v>31</v>
      </c>
      <c r="O31" s="31" t="str">
        <f>IF(B31=Surrender!B31,"R",HSD!O31)</f>
        <v>S</v>
      </c>
      <c r="P31" s="31" t="str">
        <f>IF(C31=Surrender!C31,"R",HSD!P31)</f>
        <v>S</v>
      </c>
      <c r="Q31" s="31" t="str">
        <f>IF(D31=Surrender!D31,"R",HSD!Q31)</f>
        <v>S</v>
      </c>
      <c r="R31" s="31" t="str">
        <f>IF(E31=Surrender!E31,"R",HSD!R31)</f>
        <v>S</v>
      </c>
      <c r="S31" s="31" t="str">
        <f>IF(F31=Surrender!F31,"R",HSD!S31)</f>
        <v>S</v>
      </c>
      <c r="T31" s="31" t="str">
        <f>IF(G31=Surrender!G31,"R",HSD!T31)</f>
        <v>S</v>
      </c>
      <c r="U31" s="31" t="str">
        <f>IF(H31=Surrender!H31,"R",HSD!U31)</f>
        <v>S</v>
      </c>
      <c r="V31" s="31" t="str">
        <f>IF(I31=Surrender!I31,"R",HSD!V31)</f>
        <v>S</v>
      </c>
      <c r="W31" s="31" t="str">
        <f>IF(J31=Surrender!J31,"R",HSD!W31)</f>
        <v>S</v>
      </c>
      <c r="X31" s="31" t="str">
        <f>IF(K31=Surrender!K31,"R",HSD!X31)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IF(AND(Rules!$B$8=Rules!$E$8,Rules!$B$7=Rules!$E$7),MAX(Hit!B34,Stand!B34,Double!B34,Surrender!B34),MAX(Hit!B34,Stand!B34,Double!B34))</f>
        <v>7.4082476325384949E-2</v>
      </c>
      <c r="C34">
        <f>IF(Rules!$B$7=Rules!$E$7,MAX(Hit!C34,Stand!C34,Double!C34,Surrender!C34),MAX(Hit!C34,Stand!C34,Double!C34))</f>
        <v>0.3696374242362967</v>
      </c>
      <c r="D34">
        <f>IF(Rules!$B$7=Rules!$E$7,MAX(Hit!D34,Stand!D34,Double!D34,Surrender!D34),MAX(Hit!D34,Stand!D34,Double!D34))</f>
        <v>0.38767410174512951</v>
      </c>
      <c r="E34">
        <f>IF(Rules!$B$7=Rules!$E$7,MAX(Hit!E34,Stand!E34,Double!E34,Surrender!E34),MAX(Hit!E34,Stand!E34,Double!E34))</f>
        <v>0.40637639293641487</v>
      </c>
      <c r="F34">
        <f>IF(Rules!$B$7=Rules!$E$7,MAX(Hit!F34,Stand!F34,Double!F34,Surrender!F34),MAX(Hit!F34,Stand!F34,Double!F34))</f>
        <v>0.42575273133176267</v>
      </c>
      <c r="G34">
        <f>IF(Rules!$B$7=Rules!$E$7,MAX(Hit!G34,Stand!G34,Double!G34,Surrender!G34),MAX(Hit!G34,Stand!G34,Double!G34))</f>
        <v>0.45589668319225651</v>
      </c>
      <c r="H34">
        <f>IF(Rules!$B$7=Rules!$E$7,MAX(Hit!H34,Stand!H34,Double!H34,Surrender!H34),MAX(Hit!H34,Stand!H34,Double!H34))</f>
        <v>0.45736852128859351</v>
      </c>
      <c r="I34">
        <f>IF(Rules!$B$7=Rules!$E$7,MAX(Hit!I34,Stand!I34,Double!I34,Surrender!I34),MAX(Hit!I34,Stand!I34,Double!I34))</f>
        <v>0.40074805174057659</v>
      </c>
      <c r="J34">
        <f>IF(Rules!$B$7=Rules!$E$7,MAX(Hit!J34,Stand!J34,Double!J34,Surrender!J34),MAX(Hit!J34,Stand!J34,Double!J34))</f>
        <v>0.32142328174266549</v>
      </c>
      <c r="K34">
        <f>IF(Rules!$B$7=Rules!$E$7,MAX(Hit!K34,Stand!K34,Double!K34,Surrender!K34),MAX(Hit!K34,Stand!K34,Double!K34))</f>
        <v>0.19656557835630536</v>
      </c>
      <c r="N34" s="31">
        <v>11</v>
      </c>
      <c r="O34" s="31" t="str">
        <f>IF(B34=Surrender!B34,"R",HSD!O34)</f>
        <v>H</v>
      </c>
      <c r="P34" s="31" t="str">
        <f>IF(C34=Surrender!C34,"R",HSD!P34)</f>
        <v>H</v>
      </c>
      <c r="Q34" s="31" t="str">
        <f>IF(D34=Surrender!D34,"R",HSD!Q34)</f>
        <v>H</v>
      </c>
      <c r="R34" s="31" t="str">
        <f>IF(E34=Surrender!E34,"R",HSD!R34)</f>
        <v>H</v>
      </c>
      <c r="S34" s="31" t="str">
        <f>IF(F34=Surrender!F34,"R",HSD!S34)</f>
        <v>H</v>
      </c>
      <c r="T34" s="31" t="str">
        <f>IF(G34=Surrender!G34,"R",HSD!T34)</f>
        <v>H</v>
      </c>
      <c r="U34" s="31" t="str">
        <f>IF(H34=Surrender!H34,"R",HSD!U34)</f>
        <v>H</v>
      </c>
      <c r="V34" s="31" t="str">
        <f>IF(I34=Surrender!I34,"R",HSD!V34)</f>
        <v>H</v>
      </c>
      <c r="W34" s="31" t="str">
        <f>IF(J34=Surrender!J34,"R",HSD!W34)</f>
        <v>H</v>
      </c>
      <c r="X34" s="31" t="str">
        <f>IF(K34=Surrender!K34,"R",HSD!X34)</f>
        <v>H</v>
      </c>
    </row>
    <row r="35" spans="1:24" x14ac:dyDescent="0.2">
      <c r="A35">
        <v>12</v>
      </c>
      <c r="B35">
        <f>IF(AND(Rules!$B$8=Rules!$E$8,Rules!$B$7=Rules!$E$7),MAX(Hit!B35,Stand!B35,Double!B35,Surrender!B35),MAX(Hit!B35,Stand!B35,Double!B35))</f>
        <v>-0.20521353107155851</v>
      </c>
      <c r="C35">
        <f>IF(Rules!$B$7=Rules!$E$7,MAX(Hit!C35,Stand!C35,Double!C35,Surrender!C35),MAX(Hit!C35,Stand!C35,Double!C35))</f>
        <v>8.1836216051656044E-2</v>
      </c>
      <c r="D35">
        <f>IF(Rules!$B$7=Rules!$E$7,MAX(Hit!D35,Stand!D35,Double!D35,Surrender!D35),MAX(Hit!D35,Stand!D35,Double!D35))</f>
        <v>0.10350704654207775</v>
      </c>
      <c r="E35">
        <f>IF(Rules!$B$7=Rules!$E$7,MAX(Hit!E35,Stand!E35,Double!E35,Surrender!E35),MAX(Hit!E35,Stand!E35,Double!E35))</f>
        <v>0.12659562809256977</v>
      </c>
      <c r="F35">
        <f>IF(Rules!$B$7=Rules!$E$7,MAX(Hit!F35,Stand!F35,Double!F35,Surrender!F35),MAX(Hit!F35,Stand!F35,Double!F35))</f>
        <v>0.15648238458465519</v>
      </c>
      <c r="G35">
        <f>IF(Rules!$B$7=Rules!$E$7,MAX(Hit!G35,Stand!G35,Double!G35,Surrender!G35),MAX(Hit!G35,Stand!G35,Double!G35))</f>
        <v>0.18595361333225549</v>
      </c>
      <c r="H35">
        <f>IF(Rules!$B$7=Rules!$E$7,MAX(Hit!H35,Stand!H35,Double!H35,Surrender!H35),MAX(Hit!H35,Stand!H35,Double!H35))</f>
        <v>0.16547293077063496</v>
      </c>
      <c r="I35">
        <f>IF(Rules!$B$7=Rules!$E$7,MAX(Hit!I35,Stand!I35,Double!I35,Surrender!I35),MAX(Hit!I35,Stand!I35,Double!I35))</f>
        <v>9.5115020927032307E-2</v>
      </c>
      <c r="J35">
        <f>IF(Rules!$B$7=Rules!$E$7,MAX(Hit!J35,Stand!J35,Double!J35,Surrender!J35),MAX(Hit!J35,Stand!J35,Double!J35))</f>
        <v>6.5790841226897296E-5</v>
      </c>
      <c r="K35">
        <f>IF(Rules!$B$7=Rules!$E$7,MAX(Hit!K35,Stand!K35,Double!K35,Surrender!K35),MAX(Hit!K35,Stand!K35,Double!K35))</f>
        <v>-0.12808280155666141</v>
      </c>
      <c r="N35" s="31">
        <v>12</v>
      </c>
      <c r="O35" s="31" t="str">
        <f>IF(B35=Surrender!B35,"R",HSD!O35)</f>
        <v>H</v>
      </c>
      <c r="P35" s="31" t="str">
        <f>IF(C35=Surrender!C35,"R",HSD!P35)</f>
        <v>H</v>
      </c>
      <c r="Q35" s="31" t="str">
        <f>IF(D35=Surrender!D35,"R",HSD!Q35)</f>
        <v>H</v>
      </c>
      <c r="R35" s="31" t="str">
        <f>IF(E35=Surrender!E35,"R",HSD!R35)</f>
        <v>H</v>
      </c>
      <c r="S35" s="31" t="str">
        <f>IF(F35=Surrender!F35,"R",HSD!S35)</f>
        <v>H</v>
      </c>
      <c r="T35" s="31" t="str">
        <f>IF(G35=Surrender!G35,"R",HSD!T35)</f>
        <v>H</v>
      </c>
      <c r="U35" s="31" t="str">
        <f>IF(H35=Surrender!H35,"R",HSD!U35)</f>
        <v>H</v>
      </c>
      <c r="V35" s="31" t="str">
        <f>IF(I35=Surrender!I35,"R",HSD!V35)</f>
        <v>H</v>
      </c>
      <c r="W35" s="31" t="str">
        <f>IF(J35=Surrender!J35,"R",HSD!W35)</f>
        <v>H</v>
      </c>
      <c r="X35" s="31" t="str">
        <f>IF(K35=Surrender!K35,"R",HSD!X35)</f>
        <v>H</v>
      </c>
    </row>
    <row r="36" spans="1:24" x14ac:dyDescent="0.2">
      <c r="A36">
        <v>13</v>
      </c>
      <c r="B36">
        <f>IF(AND(Rules!$B$8=Rules!$E$8,Rules!$B$7=Rules!$E$7),MAX(Hit!B36,Stand!B36,Double!B36,Surrender!B36),MAX(Hit!B36,Stand!B36,Double!B36))</f>
        <v>-0.23472177802444921</v>
      </c>
      <c r="C36">
        <f>IF(Rules!$B$7=Rules!$E$7,MAX(Hit!C36,Stand!C36,Double!C36,Surrender!C36),MAX(Hit!C36,Stand!C36,Double!C36))</f>
        <v>4.6636132695309543E-2</v>
      </c>
      <c r="D36">
        <f>IF(Rules!$B$7=Rules!$E$7,MAX(Hit!D36,Stand!D36,Double!D36,Surrender!D36),MAX(Hit!D36,Stand!D36,Double!D36))</f>
        <v>7.4118813392744051E-2</v>
      </c>
      <c r="E36">
        <f>IF(Rules!$B$7=Rules!$E$7,MAX(Hit!E36,Stand!E36,Double!E36,Surrender!E36),MAX(Hit!E36,Stand!E36,Double!E36))</f>
        <v>0.10247714687203523</v>
      </c>
      <c r="F36">
        <f>IF(Rules!$B$7=Rules!$E$7,MAX(Hit!F36,Stand!F36,Double!F36,Surrender!F36),MAX(Hit!F36,Stand!F36,Double!F36))</f>
        <v>0.13336273848321728</v>
      </c>
      <c r="G36">
        <f>IF(Rules!$B$7=Rules!$E$7,MAX(Hit!G36,Stand!G36,Double!G36,Surrender!G36),MAX(Hit!G36,Stand!G36,Double!G36))</f>
        <v>0.16169271124923693</v>
      </c>
      <c r="H36">
        <f>IF(Rules!$B$7=Rules!$E$7,MAX(Hit!H36,Stand!H36,Double!H36,Surrender!H36),MAX(Hit!H36,Stand!H36,Double!H36))</f>
        <v>0.12238569517899196</v>
      </c>
      <c r="I36">
        <f>IF(Rules!$B$7=Rules!$E$7,MAX(Hit!I36,Stand!I36,Double!I36,Surrender!I36),MAX(Hit!I36,Stand!I36,Double!I36))</f>
        <v>5.4057070196311334E-2</v>
      </c>
      <c r="J36">
        <f>IF(Rules!$B$7=Rules!$E$7,MAX(Hit!J36,Stand!J36,Double!J36,Surrender!J36),MAX(Hit!J36,Stand!J36,Double!J36))</f>
        <v>-3.7694688127479885E-2</v>
      </c>
      <c r="K36">
        <f>IF(Rules!$B$7=Rules!$E$7,MAX(Hit!K36,Stand!K36,Double!K36,Surrender!K36),MAX(Hit!K36,Stand!K36,Double!K36))</f>
        <v>-0.16080628455762785</v>
      </c>
      <c r="N36" s="31">
        <v>13</v>
      </c>
      <c r="O36" s="31" t="str">
        <f>IF(B36=Surrender!B36,"R",HSD!O36)</f>
        <v>H</v>
      </c>
      <c r="P36" s="31" t="str">
        <f>IF(C36=Surrender!C36,"R",HSD!P36)</f>
        <v>H</v>
      </c>
      <c r="Q36" s="31" t="str">
        <f>IF(D36=Surrender!D36,"R",HSD!Q36)</f>
        <v>H</v>
      </c>
      <c r="R36" s="31" t="str">
        <f>IF(E36=Surrender!E36,"R",HSD!R36)</f>
        <v>H</v>
      </c>
      <c r="S36" s="31" t="str">
        <f>IF(F36=Surrender!F36,"R",HSD!S36)</f>
        <v>H</v>
      </c>
      <c r="T36" s="31" t="str">
        <f>IF(G36=Surrender!G36,"R",HSD!T36)</f>
        <v>H</v>
      </c>
      <c r="U36" s="31" t="str">
        <f>IF(H36=Surrender!H36,"R",HSD!U36)</f>
        <v>H</v>
      </c>
      <c r="V36" s="31" t="str">
        <f>IF(I36=Surrender!I36,"R",HSD!V36)</f>
        <v>H</v>
      </c>
      <c r="W36" s="31" t="str">
        <f>IF(J36=Surrender!J36,"R",HSD!W36)</f>
        <v>H</v>
      </c>
      <c r="X36" s="31" t="str">
        <f>IF(K36=Surrender!K36,"R",HSD!X36)</f>
        <v>H</v>
      </c>
    </row>
    <row r="37" spans="1:24" x14ac:dyDescent="0.2">
      <c r="A37">
        <v>14</v>
      </c>
      <c r="B37">
        <f>IF(AND(Rules!$B$8=Rules!$E$8,Rules!$B$7=Rules!$E$7),MAX(Hit!B37,Stand!B37,Double!B37,Surrender!B37),MAX(Hit!B37,Stand!B37,Double!B37))</f>
        <v>-0.26406959413166387</v>
      </c>
      <c r="C37">
        <f>IF(Rules!$B$7=Rules!$E$7,MAX(Hit!C37,Stand!C37,Double!C37,Surrender!C37),MAX(Hit!C37,Stand!C37,Double!C37))</f>
        <v>2.2391856987839083E-2</v>
      </c>
      <c r="D37">
        <f>IF(Rules!$B$7=Rules!$E$7,MAX(Hit!D37,Stand!D37,Double!D37,Surrender!D37),MAX(Hit!D37,Stand!D37,Double!D37))</f>
        <v>5.0806738919282814E-2</v>
      </c>
      <c r="E37">
        <f>IF(Rules!$B$7=Rules!$E$7,MAX(Hit!E37,Stand!E37,Double!E37,Surrender!E37),MAX(Hit!E37,Stand!E37,Double!E37))</f>
        <v>8.0081414310110233E-2</v>
      </c>
      <c r="F37">
        <f>IF(Rules!$B$7=Rules!$E$7,MAX(Hit!F37,Stand!F37,Double!F37,Surrender!F37),MAX(Hit!F37,Stand!F37,Double!F37))</f>
        <v>0.11189449567473925</v>
      </c>
      <c r="G37">
        <f>IF(Rules!$B$7=Rules!$E$7,MAX(Hit!G37,Stand!G37,Double!G37,Surrender!G37),MAX(Hit!G37,Stand!G37,Double!G37))</f>
        <v>0.1391647307435768</v>
      </c>
      <c r="H37">
        <f>IF(Rules!$B$7=Rules!$E$7,MAX(Hit!H37,Stand!H37,Double!H37,Surrender!H37),MAX(Hit!H37,Stand!H37,Double!H37))</f>
        <v>7.9507488494468148E-2</v>
      </c>
      <c r="I37">
        <f>IF(Rules!$B$7=Rules!$E$7,MAX(Hit!I37,Stand!I37,Double!I37,Surrender!I37),MAX(Hit!I37,Stand!I37,Double!I37))</f>
        <v>1.3277219463208478E-2</v>
      </c>
      <c r="J37">
        <f>IF(Rules!$B$7=Rules!$E$7,MAX(Hit!J37,Stand!J37,Double!J37,Surrender!J37),MAX(Hit!J37,Stand!J37,Double!J37))</f>
        <v>-7.516318944168382E-2</v>
      </c>
      <c r="K37">
        <f>IF(Rules!$B$7=Rules!$E$7,MAX(Hit!K37,Stand!K37,Double!K37,Surrender!K37),MAX(Hit!K37,Stand!K37,Double!K37))</f>
        <v>-0.1933035414076569</v>
      </c>
      <c r="N37" s="31">
        <v>14</v>
      </c>
      <c r="O37" s="31" t="str">
        <f>IF(B37=Surrender!B37,"R",HSD!O37)</f>
        <v>H</v>
      </c>
      <c r="P37" s="31" t="str">
        <f>IF(C37=Surrender!C37,"R",HSD!P37)</f>
        <v>H</v>
      </c>
      <c r="Q37" s="31" t="str">
        <f>IF(D37=Surrender!D37,"R",HSD!Q37)</f>
        <v>H</v>
      </c>
      <c r="R37" s="31" t="str">
        <f>IF(E37=Surrender!E37,"R",HSD!R37)</f>
        <v>H</v>
      </c>
      <c r="S37" s="31" t="str">
        <f>IF(F37=Surrender!F37,"R",HSD!S37)</f>
        <v>H</v>
      </c>
      <c r="T37" s="31" t="str">
        <f>IF(G37=Surrender!G37,"R",HSD!T37)</f>
        <v>H</v>
      </c>
      <c r="U37" s="31" t="str">
        <f>IF(H37=Surrender!H37,"R",HSD!U37)</f>
        <v>H</v>
      </c>
      <c r="V37" s="31" t="str">
        <f>IF(I37=Surrender!I37,"R",HSD!V37)</f>
        <v>H</v>
      </c>
      <c r="W37" s="31" t="str">
        <f>IF(J37=Surrender!J37,"R",HSD!W37)</f>
        <v>H</v>
      </c>
      <c r="X37" s="31" t="str">
        <f>IF(K37=Surrender!K37,"R",HSD!X37)</f>
        <v>H</v>
      </c>
    </row>
    <row r="38" spans="1:24" x14ac:dyDescent="0.2">
      <c r="A38">
        <v>15</v>
      </c>
      <c r="B38">
        <f>IF(AND(Rules!$B$8=Rules!$E$8,Rules!$B$7=Rules!$E$7),MAX(Hit!B38,Stand!B38,Double!B38,Surrender!B38),MAX(Hit!B38,Stand!B38,Double!B38))</f>
        <v>-0.29312934580507005</v>
      </c>
      <c r="C38">
        <f>IF(Rules!$B$7=Rules!$E$7,MAX(Hit!C38,Stand!C38,Double!C38,Surrender!C38),MAX(Hit!C38,Stand!C38,Double!C38))</f>
        <v>-1.2068474052636583E-4</v>
      </c>
      <c r="D38">
        <f>IF(Rules!$B$7=Rules!$E$7,MAX(Hit!D38,Stand!D38,Double!D38,Surrender!D38),MAX(Hit!D38,Stand!D38,Double!D38))</f>
        <v>2.9159812622497363E-2</v>
      </c>
      <c r="E38">
        <f>IF(Rules!$B$7=Rules!$E$7,MAX(Hit!E38,Stand!E38,Double!E38,Surrender!E38),MAX(Hit!E38,Stand!E38,Double!E38))</f>
        <v>5.9285376931179926E-2</v>
      </c>
      <c r="F38">
        <f>IF(Rules!$B$7=Rules!$E$7,MAX(Hit!F38,Stand!F38,Double!F38,Surrender!F38),MAX(Hit!F38,Stand!F38,Double!F38))</f>
        <v>9.1959698781152482E-2</v>
      </c>
      <c r="G38">
        <f>IF(Rules!$B$7=Rules!$E$7,MAX(Hit!G38,Stand!G38,Double!G38,Surrender!G38),MAX(Hit!G38,Stand!G38,Double!G38))</f>
        <v>0.11824589170260671</v>
      </c>
      <c r="H38">
        <f>IF(Rules!$B$7=Rules!$E$7,MAX(Hit!H38,Stand!H38,Double!H38,Surrender!H38),MAX(Hit!H38,Stand!H38,Double!H38))</f>
        <v>3.7028282279269235E-2</v>
      </c>
      <c r="I38">
        <f>IF(Rules!$B$7=Rules!$E$7,MAX(Hit!I38,Stand!I38,Double!I38,Surrender!I38),MAX(Hit!I38,Stand!I38,Double!I38))</f>
        <v>-2.7054780502901672E-2</v>
      </c>
      <c r="J38">
        <f>IF(Rules!$B$7=Rules!$E$7,MAX(Hit!J38,Stand!J38,Double!J38,Surrender!J38),MAX(Hit!J38,Stand!J38,Double!J38))</f>
        <v>-0.11218876868994289</v>
      </c>
      <c r="K38">
        <f>IF(Rules!$B$7=Rules!$E$7,MAX(Hit!K38,Stand!K38,Double!K38,Surrender!K38),MAX(Hit!K38,Stand!K38,Double!K38))</f>
        <v>-0.22543993358238781</v>
      </c>
      <c r="N38" s="31">
        <v>15</v>
      </c>
      <c r="O38" s="31" t="str">
        <f>IF(B38=Surrender!B38,"R",HSD!O38)</f>
        <v>H</v>
      </c>
      <c r="P38" s="31" t="str">
        <f>IF(C38=Surrender!C38,"R",HSD!P38)</f>
        <v>H</v>
      </c>
      <c r="Q38" s="31" t="str">
        <f>IF(D38=Surrender!D38,"R",HSD!Q38)</f>
        <v>H</v>
      </c>
      <c r="R38" s="31" t="str">
        <f>IF(E38=Surrender!E38,"R",HSD!R38)</f>
        <v>H</v>
      </c>
      <c r="S38" s="31" t="str">
        <f>IF(F38=Surrender!F38,"R",HSD!S38)</f>
        <v>H</v>
      </c>
      <c r="T38" s="31" t="str">
        <f>IF(G38=Surrender!G38,"R",HSD!T38)</f>
        <v>H</v>
      </c>
      <c r="U38" s="31" t="str">
        <f>IF(H38=Surrender!H38,"R",HSD!U38)</f>
        <v>H</v>
      </c>
      <c r="V38" s="31" t="str">
        <f>IF(I38=Surrender!I38,"R",HSD!V38)</f>
        <v>H</v>
      </c>
      <c r="W38" s="31" t="str">
        <f>IF(J38=Surrender!J38,"R",HSD!W38)</f>
        <v>H</v>
      </c>
      <c r="X38" s="31" t="str">
        <f>IF(K38=Surrender!K38,"R",HSD!X38)</f>
        <v>H</v>
      </c>
    </row>
    <row r="39" spans="1:24" x14ac:dyDescent="0.2">
      <c r="A39">
        <v>16</v>
      </c>
      <c r="B39">
        <f>IF(AND(Rules!$B$8=Rules!$E$8,Rules!$B$7=Rules!$E$7),MAX(Hit!B39,Stand!B39,Double!B39,Surrender!B39),MAX(Hit!B39,Stand!B39,Double!B39))</f>
        <v>-0.31409107314591783</v>
      </c>
      <c r="C39">
        <f>IF(Rules!$B$7=Rules!$E$7,MAX(Hit!C39,Stand!C39,Double!C39,Surrender!C39),MAX(Hit!C39,Stand!C39,Double!C39))</f>
        <v>-2.1025187774008566E-2</v>
      </c>
      <c r="D39">
        <f>IF(Rules!$B$7=Rules!$E$7,MAX(Hit!D39,Stand!D39,Double!D39,Surrender!D39),MAX(Hit!D39,Stand!D39,Double!D39))</f>
        <v>9.0590953469108244E-3</v>
      </c>
      <c r="E39">
        <f>IF(Rules!$B$7=Rules!$E$7,MAX(Hit!E39,Stand!E39,Double!E39,Surrender!E39),MAX(Hit!E39,Stand!E39,Double!E39))</f>
        <v>3.9974770793601705E-2</v>
      </c>
      <c r="F39">
        <f>IF(Rules!$B$7=Rules!$E$7,MAX(Hit!F39,Stand!F39,Double!F39,Surrender!F39),MAX(Hit!F39,Stand!F39,Double!F39))</f>
        <v>7.3448815951393354E-2</v>
      </c>
      <c r="G39">
        <f>IF(Rules!$B$7=Rules!$E$7,MAX(Hit!G39,Stand!G39,Double!G39,Surrender!G39),MAX(Hit!G39,Stand!G39,Double!G39))</f>
        <v>9.8821255450277368E-2</v>
      </c>
      <c r="H39">
        <f>IF(Rules!$B$7=Rules!$E$7,MAX(Hit!H39,Stand!H39,Double!H39,Surrender!H39),MAX(Hit!H39,Stand!H39,Double!H39))</f>
        <v>-4.8901571730158942E-3</v>
      </c>
      <c r="I39">
        <f>IF(Rules!$B$7=Rules!$E$7,MAX(Hit!I39,Stand!I39,Double!I39,Surrender!I39),MAX(Hit!I39,Stand!I39,Double!I39))</f>
        <v>-6.6794847920094103E-2</v>
      </c>
      <c r="J39">
        <f>IF(Rules!$B$7=Rules!$E$7,MAX(Hit!J39,Stand!J39,Double!J39,Surrender!J39),MAX(Hit!J39,Stand!J39,Double!J39))</f>
        <v>-0.14864353463007471</v>
      </c>
      <c r="K39">
        <f>IF(Rules!$B$7=Rules!$E$7,MAX(Hit!K39,Stand!K39,Double!K39,Surrender!K39),MAX(Hit!K39,Stand!K39,Double!K39))</f>
        <v>-0.25710121084742421</v>
      </c>
      <c r="N39" s="31">
        <v>16</v>
      </c>
      <c r="O39" s="31" t="str">
        <f>IF(B39=Surrender!B39,"R",HSD!O39)</f>
        <v>H</v>
      </c>
      <c r="P39" s="31" t="str">
        <f>IF(C39=Surrender!C39,"R",HSD!P39)</f>
        <v>H</v>
      </c>
      <c r="Q39" s="31" t="str">
        <f>IF(D39=Surrender!D39,"R",HSD!Q39)</f>
        <v>H</v>
      </c>
      <c r="R39" s="31" t="str">
        <f>IF(E39=Surrender!E39,"R",HSD!R39)</f>
        <v>H</v>
      </c>
      <c r="S39" s="31" t="str">
        <f>IF(F39=Surrender!F39,"R",HSD!S39)</f>
        <v>H</v>
      </c>
      <c r="T39" s="31" t="str">
        <f>IF(G39=Surrender!G39,"R",HSD!T39)</f>
        <v>H</v>
      </c>
      <c r="U39" s="31" t="str">
        <f>IF(H39=Surrender!H39,"R",HSD!U39)</f>
        <v>H</v>
      </c>
      <c r="V39" s="31" t="str">
        <f>IF(I39=Surrender!I39,"R",HSD!V39)</f>
        <v>H</v>
      </c>
      <c r="W39" s="31" t="str">
        <f>IF(J39=Surrender!J39,"R",HSD!W39)</f>
        <v>H</v>
      </c>
      <c r="X39" s="31" t="str">
        <f>IF(K39=Surrender!K39,"R",HSD!X39)</f>
        <v>H</v>
      </c>
    </row>
    <row r="40" spans="1:24" x14ac:dyDescent="0.2">
      <c r="A40">
        <v>17</v>
      </c>
      <c r="B40">
        <f>IF(AND(Rules!$B$8=Rules!$E$8,Rules!$B$7=Rules!$E$7),MAX(Hit!B40,Stand!B40,Double!B40,Surrender!B40),MAX(Hit!B40,Stand!B40,Double!B40))</f>
        <v>-0.30094774596936263</v>
      </c>
      <c r="C40">
        <f>IF(Rules!$B$7=Rules!$E$7,MAX(Hit!C40,Stand!C40,Double!C40,Surrender!C40),MAX(Hit!C40,Stand!C40,Double!C40))</f>
        <v>-4.9104358288916297E-4</v>
      </c>
      <c r="D40">
        <f>IF(Rules!$B$7=Rules!$E$7,MAX(Hit!D40,Stand!D40,Double!D40,Surrender!D40),MAX(Hit!D40,Stand!D40,Double!D40))</f>
        <v>2.8975282965620523E-2</v>
      </c>
      <c r="E40">
        <f>IF(Rules!$B$7=Rules!$E$7,MAX(Hit!E40,Stand!E40,Double!E40,Surrender!E40),MAX(Hit!E40,Stand!E40,Double!E40))</f>
        <v>5.9326275337164343E-2</v>
      </c>
      <c r="F40">
        <f>IF(Rules!$B$7=Rules!$E$7,MAX(Hit!F40,Stand!F40,Double!F40,Surrender!F40),MAX(Hit!F40,Stand!F40,Double!F40))</f>
        <v>9.1189077686774395E-2</v>
      </c>
      <c r="G40">
        <f>IF(Rules!$B$7=Rules!$E$7,MAX(Hit!G40,Stand!G40,Double!G40,Surrender!G40),MAX(Hit!G40,Stand!G40,Double!G40))</f>
        <v>0.12805214364549905</v>
      </c>
      <c r="H40">
        <f>IF(Rules!$B$7=Rules!$E$7,MAX(Hit!H40,Stand!H40,Double!H40,Surrender!H40),MAX(Hit!H40,Stand!H40,Double!H40))</f>
        <v>5.3823463716116654E-2</v>
      </c>
      <c r="I40">
        <f>IF(Rules!$B$7=Rules!$E$7,MAX(Hit!I40,Stand!I40,Double!I40,Surrender!I40),MAX(Hit!I40,Stand!I40,Double!I40))</f>
        <v>-7.2915398729642075E-2</v>
      </c>
      <c r="J40">
        <f>IF(Rules!$B$7=Rules!$E$7,MAX(Hit!J40,Stand!J40,Double!J40,Surrender!J40),MAX(Hit!J40,Stand!J40,Double!J40))</f>
        <v>-0.14978689218213323</v>
      </c>
      <c r="K40">
        <f>IF(Rules!$B$7=Rules!$E$7,MAX(Hit!K40,Stand!K40,Double!K40,Surrender!K40),MAX(Hit!K40,Stand!K40,Double!K40))</f>
        <v>-0.24941602102444038</v>
      </c>
      <c r="N40" s="31">
        <v>17</v>
      </c>
      <c r="O40" s="31" t="str">
        <f>IF(B40=Surrender!B40,"R",HSD!O40)</f>
        <v>H</v>
      </c>
      <c r="P40" s="31" t="str">
        <f>IF(C40=Surrender!C40,"R",HSD!P40)</f>
        <v>H</v>
      </c>
      <c r="Q40" s="31" t="str">
        <f>IF(D40=Surrender!D40,"R",HSD!Q40)</f>
        <v>H</v>
      </c>
      <c r="R40" s="31" t="str">
        <f>IF(E40=Surrender!E40,"R",HSD!R40)</f>
        <v>H</v>
      </c>
      <c r="S40" s="31" t="str">
        <f>IF(F40=Surrender!F40,"R",HSD!S40)</f>
        <v>H</v>
      </c>
      <c r="T40" s="31" t="str">
        <f>IF(G40=Surrender!G40,"R",HSD!T40)</f>
        <v>H</v>
      </c>
      <c r="U40" s="31" t="str">
        <f>IF(H40=Surrender!H40,"R",HSD!U40)</f>
        <v>H</v>
      </c>
      <c r="V40" s="31" t="str">
        <f>IF(I40=Surrender!I40,"R",HSD!V40)</f>
        <v>H</v>
      </c>
      <c r="W40" s="31" t="str">
        <f>IF(J40=Surrender!J40,"R",HSD!W40)</f>
        <v>H</v>
      </c>
      <c r="X40" s="31" t="str">
        <f>IF(K40=Surrender!K40,"R",HSD!X40)</f>
        <v>H</v>
      </c>
    </row>
    <row r="41" spans="1:24" x14ac:dyDescent="0.2">
      <c r="A41">
        <v>18</v>
      </c>
      <c r="B41">
        <f>IF(AND(Rules!$B$8=Rules!$E$8,Rules!$B$7=Rules!$E$7),MAX(Hit!B41,Stand!B41,Double!B41,Surrender!B41),MAX(Hit!B41,Stand!B41,Double!B41))</f>
        <v>-0.24150883119675959</v>
      </c>
      <c r="C41">
        <f>IF(Rules!$B$7=Rules!$E$7,MAX(Hit!C41,Stand!C41,Double!C41,Surrender!C41),MAX(Hit!C41,Stand!C41,Double!C41))</f>
        <v>0.12174190222088771</v>
      </c>
      <c r="D41">
        <f>IF(Rules!$B$7=Rules!$E$7,MAX(Hit!D41,Stand!D41,Double!D41,Surrender!D41),MAX(Hit!D41,Stand!D41,Double!D41))</f>
        <v>0.14830007284131119</v>
      </c>
      <c r="E41">
        <f>IF(Rules!$B$7=Rules!$E$7,MAX(Hit!E41,Stand!E41,Double!E41,Surrender!E41),MAX(Hit!E41,Stand!E41,Double!E41))</f>
        <v>0.17585443719748528</v>
      </c>
      <c r="F41">
        <f>IF(Rules!$B$7=Rules!$E$7,MAX(Hit!F41,Stand!F41,Double!F41,Surrender!F41),MAX(Hit!F41,Stand!F41,Double!F41))</f>
        <v>0.19956119497617719</v>
      </c>
      <c r="G41">
        <f>IF(Rules!$B$7=Rules!$E$7,MAX(Hit!G41,Stand!G41,Double!G41,Surrender!G41),MAX(Hit!G41,Stand!G41,Double!G41))</f>
        <v>0.28344391604689856</v>
      </c>
      <c r="H41">
        <f>IF(Rules!$B$7=Rules!$E$7,MAX(Hit!H41,Stand!H41,Double!H41,Surrender!H41),MAX(Hit!H41,Stand!H41,Double!H41))</f>
        <v>0.3995541673365518</v>
      </c>
      <c r="I41">
        <f>IF(Rules!$B$7=Rules!$E$7,MAX(Hit!I41,Stand!I41,Double!I41,Surrender!I41),MAX(Hit!I41,Stand!I41,Double!I41))</f>
        <v>0.10595134861912359</v>
      </c>
      <c r="J41">
        <f>IF(Rules!$B$7=Rules!$E$7,MAX(Hit!J41,Stand!J41,Double!J41,Surrender!J41),MAX(Hit!J41,Stand!J41,Double!J41))</f>
        <v>-0.10074430758041522</v>
      </c>
      <c r="K41">
        <f>IF(Rules!$B$7=Rules!$E$7,MAX(Hit!K41,Stand!K41,Double!K41,Surrender!K41),MAX(Hit!K41,Stand!K41,Double!K41))</f>
        <v>-0.20109793381277147</v>
      </c>
      <c r="N41" s="31">
        <v>18</v>
      </c>
      <c r="O41" s="31" t="str">
        <f>IF(B41=Surrender!B41,"R",HSD!O41)</f>
        <v>S</v>
      </c>
      <c r="P41" s="31" t="str">
        <f>IF(C41=Surrender!C41,"R",HSD!P41)</f>
        <v>S</v>
      </c>
      <c r="Q41" s="31" t="str">
        <f>IF(D41=Surrender!D41,"R",HSD!Q41)</f>
        <v>S</v>
      </c>
      <c r="R41" s="31" t="str">
        <f>IF(E41=Surrender!E41,"R",HSD!R41)</f>
        <v>S</v>
      </c>
      <c r="S41" s="31" t="str">
        <f>IF(F41=Surrender!F41,"R",HSD!S41)</f>
        <v>S</v>
      </c>
      <c r="T41" s="31" t="str">
        <f>IF(G41=Surrender!G41,"R",HSD!T41)</f>
        <v>S</v>
      </c>
      <c r="U41" s="31" t="str">
        <f>IF(H41=Surrender!H41,"R",HSD!U41)</f>
        <v>S</v>
      </c>
      <c r="V41" s="31" t="str">
        <f>IF(I41=Surrender!I41,"R",HSD!V41)</f>
        <v>S</v>
      </c>
      <c r="W41" s="31" t="str">
        <f>IF(J41=Surrender!J41,"R",HSD!W41)</f>
        <v>H</v>
      </c>
      <c r="X41" s="31" t="str">
        <f>IF(K41=Surrender!K41,"R",HSD!X41)</f>
        <v>H</v>
      </c>
    </row>
    <row r="42" spans="1:24" x14ac:dyDescent="0.2">
      <c r="A42">
        <v>19</v>
      </c>
      <c r="B42">
        <f>IF(AND(Rules!$B$8=Rules!$E$8,Rules!$B$7=Rules!$E$7),MAX(Hit!B42,Stand!B42,Double!B42,Surrender!B42),MAX(Hit!B42,Stand!B42,Double!B42))</f>
        <v>-1.8660154151531549E-2</v>
      </c>
      <c r="C42">
        <f>IF(Rules!$B$7=Rules!$E$7,MAX(Hit!C42,Stand!C42,Double!C42,Surrender!C42),MAX(Hit!C42,Stand!C42,Double!C42))</f>
        <v>0.38630468602058987</v>
      </c>
      <c r="D42">
        <f>IF(Rules!$B$7=Rules!$E$7,MAX(Hit!D42,Stand!D42,Double!D42,Surrender!D42),MAX(Hit!D42,Stand!D42,Double!D42))</f>
        <v>0.40436293659776001</v>
      </c>
      <c r="E42">
        <f>IF(Rules!$B$7=Rules!$E$7,MAX(Hit!E42,Stand!E42,Double!E42,Surrender!E42),MAX(Hit!E42,Stand!E42,Double!E42))</f>
        <v>0.42317892482749647</v>
      </c>
      <c r="F42">
        <f>IF(Rules!$B$7=Rules!$E$7,MAX(Hit!F42,Stand!F42,Double!F42,Surrender!F42),MAX(Hit!F42,Stand!F42,Double!F42))</f>
        <v>0.43951210416088371</v>
      </c>
      <c r="G42">
        <f>IF(Rules!$B$7=Rules!$E$7,MAX(Hit!G42,Stand!G42,Double!G42,Surrender!G42),MAX(Hit!G42,Stand!G42,Double!G42))</f>
        <v>0.49597707378731909</v>
      </c>
      <c r="H42">
        <f>IF(Rules!$B$7=Rules!$E$7,MAX(Hit!H42,Stand!H42,Double!H42,Surrender!H42),MAX(Hit!H42,Stand!H42,Double!H42))</f>
        <v>0.6159764957534315</v>
      </c>
      <c r="I42">
        <f>IF(Rules!$B$7=Rules!$E$7,MAX(Hit!I42,Stand!I42,Double!I42,Surrender!I42),MAX(Hit!I42,Stand!I42,Double!I42))</f>
        <v>0.5938536682866945</v>
      </c>
      <c r="J42">
        <f>IF(Rules!$B$7=Rules!$E$7,MAX(Hit!J42,Stand!J42,Double!J42,Surrender!J42),MAX(Hit!J42,Stand!J42,Double!J42))</f>
        <v>0.28759675706758142</v>
      </c>
      <c r="K42">
        <f>IF(Rules!$B$7=Rules!$E$7,MAX(Hit!K42,Stand!K42,Double!K42,Surrender!K42),MAX(Hit!K42,Stand!K42,Double!K42))</f>
        <v>-1.8660154151531536E-2</v>
      </c>
      <c r="N42" s="31">
        <v>19</v>
      </c>
      <c r="O42" s="31" t="str">
        <f>IF(B42=Surrender!B42,"R",HSD!O42)</f>
        <v>S</v>
      </c>
      <c r="P42" s="31" t="str">
        <f>IF(C42=Surrender!C42,"R",HSD!P42)</f>
        <v>S</v>
      </c>
      <c r="Q42" s="31" t="str">
        <f>IF(D42=Surrender!D42,"R",HSD!Q42)</f>
        <v>S</v>
      </c>
      <c r="R42" s="31" t="str">
        <f>IF(E42=Surrender!E42,"R",HSD!R42)</f>
        <v>S</v>
      </c>
      <c r="S42" s="31" t="str">
        <f>IF(F42=Surrender!F42,"R",HSD!S42)</f>
        <v>S</v>
      </c>
      <c r="T42" s="31" t="str">
        <f>IF(G42=Surrender!G42,"R",HSD!T42)</f>
        <v>S</v>
      </c>
      <c r="U42" s="31" t="str">
        <f>IF(H42=Surrender!H42,"R",HSD!U42)</f>
        <v>S</v>
      </c>
      <c r="V42" s="31" t="str">
        <f>IF(I42=Surrender!I42,"R",HSD!V42)</f>
        <v>S</v>
      </c>
      <c r="W42" s="31" t="str">
        <f>IF(J42=Surrender!J42,"R",HSD!W42)</f>
        <v>S</v>
      </c>
      <c r="X42" s="31" t="str">
        <f>IF(K42=Surrender!K42,"R",HSD!X42)</f>
        <v>S</v>
      </c>
    </row>
    <row r="43" spans="1:24" x14ac:dyDescent="0.2">
      <c r="A43">
        <v>20</v>
      </c>
      <c r="B43">
        <f>IF(AND(Rules!$B$8=Rules!$E$8,Rules!$B$7=Rules!$E$7),MAX(Hit!B43,Stand!B43,Double!B43,Surrender!B43),MAX(Hit!B43,Stand!B43,Double!B43))</f>
        <v>0.20418852289369649</v>
      </c>
      <c r="C43">
        <f>IF(Rules!$B$7=Rules!$E$7,MAX(Hit!C43,Stand!C43,Double!C43,Surrender!C43),MAX(Hit!C43,Stand!C43,Double!C43))</f>
        <v>0.63998657521683877</v>
      </c>
      <c r="D43">
        <f>IF(Rules!$B$7=Rules!$E$7,MAX(Hit!D43,Stand!D43,Double!D43,Surrender!D43),MAX(Hit!D43,Stand!D43,Double!D43))</f>
        <v>0.65027209425148136</v>
      </c>
      <c r="E43">
        <f>IF(Rules!$B$7=Rules!$E$7,MAX(Hit!E43,Stand!E43,Double!E43,Surrender!E43),MAX(Hit!E43,Stand!E43,Double!E43))</f>
        <v>0.66104996194807186</v>
      </c>
      <c r="F43">
        <f>IF(Rules!$B$7=Rules!$E$7,MAX(Hit!F43,Stand!F43,Double!F43,Surrender!F43),MAX(Hit!F43,Stand!F43,Double!F43))</f>
        <v>0.67035969063279999</v>
      </c>
      <c r="G43">
        <f>IF(Rules!$B$7=Rules!$E$7,MAX(Hit!G43,Stand!G43,Double!G43,Surrender!G43),MAX(Hit!G43,Stand!G43,Double!G43))</f>
        <v>0.70395857017134467</v>
      </c>
      <c r="H43">
        <f>IF(Rules!$B$7=Rules!$E$7,MAX(Hit!H43,Stand!H43,Double!H43,Surrender!H43),MAX(Hit!H43,Stand!H43,Double!H43))</f>
        <v>0.77322722653717491</v>
      </c>
      <c r="I43">
        <f>IF(Rules!$B$7=Rules!$E$7,MAX(Hit!I43,Stand!I43,Double!I43,Surrender!I43),MAX(Hit!I43,Stand!I43,Double!I43))</f>
        <v>0.79181515955189841</v>
      </c>
      <c r="J43">
        <f>IF(Rules!$B$7=Rules!$E$7,MAX(Hit!J43,Stand!J43,Double!J43,Surrender!J43),MAX(Hit!J43,Stand!J43,Double!J43))</f>
        <v>0.75835687080859626</v>
      </c>
      <c r="K43">
        <f>IF(Rules!$B$7=Rules!$E$7,MAX(Hit!K43,Stand!K43,Double!K43,Surrender!K43),MAX(Hit!K43,Stand!K43,Double!K43))</f>
        <v>0.43495775366292722</v>
      </c>
      <c r="N43" s="31">
        <v>20</v>
      </c>
      <c r="O43" s="31" t="str">
        <f>IF(B43=Surrender!B43,"R",HSD!O43)</f>
        <v>S</v>
      </c>
      <c r="P43" s="31" t="str">
        <f>IF(C43=Surrender!C43,"R",HSD!P43)</f>
        <v>S</v>
      </c>
      <c r="Q43" s="31" t="str">
        <f>IF(D43=Surrender!D43,"R",HSD!Q43)</f>
        <v>S</v>
      </c>
      <c r="R43" s="31" t="str">
        <f>IF(E43=Surrender!E43,"R",HSD!R43)</f>
        <v>S</v>
      </c>
      <c r="S43" s="31" t="str">
        <f>IF(F43=Surrender!F43,"R",HSD!S43)</f>
        <v>S</v>
      </c>
      <c r="T43" s="31" t="str">
        <f>IF(G43=Surrender!G43,"R",HSD!T43)</f>
        <v>S</v>
      </c>
      <c r="U43" s="31" t="str">
        <f>IF(H43=Surrender!H43,"R",HSD!U43)</f>
        <v>S</v>
      </c>
      <c r="V43" s="31" t="str">
        <f>IF(I43=Surrender!I43,"R",HSD!V43)</f>
        <v>S</v>
      </c>
      <c r="W43" s="31" t="str">
        <f>IF(J43=Surrender!J43,"R",HSD!W43)</f>
        <v>S</v>
      </c>
      <c r="X43" s="31" t="str">
        <f>IF(K43=Surrender!K43,"R",HSD!X43)</f>
        <v>S</v>
      </c>
    </row>
    <row r="44" spans="1:24" x14ac:dyDescent="0.2">
      <c r="A44">
        <v>21</v>
      </c>
      <c r="B44">
        <f>IF(AND(Rules!$B$8=Rules!$E$8,Rules!$B$7=Rules!$E$7),MAX(Hit!B44,Stand!B44,Double!B44,Surrender!B44),MAX(Hit!B44,Stand!B44,Double!B44))</f>
        <v>0.65780643070815525</v>
      </c>
      <c r="C44">
        <f>IF(Rules!$B$7=Rules!$E$7,MAX(Hit!C44,Stand!C44,Double!C44,Surrender!C44),MAX(Hit!C44,Stand!C44,Double!C44))</f>
        <v>0.88200651549403997</v>
      </c>
      <c r="D44">
        <f>IF(Rules!$B$7=Rules!$E$7,MAX(Hit!D44,Stand!D44,Double!D44,Surrender!D44),MAX(Hit!D44,Stand!D44,Double!D44))</f>
        <v>0.88530035730174927</v>
      </c>
      <c r="E44">
        <f>IF(Rules!$B$7=Rules!$E$7,MAX(Hit!E44,Stand!E44,Double!E44,Surrender!E44),MAX(Hit!E44,Stand!E44,Double!E44))</f>
        <v>0.88876729296591961</v>
      </c>
      <c r="F44">
        <f>IF(Rules!$B$7=Rules!$E$7,MAX(Hit!F44,Stand!F44,Double!F44,Surrender!F44),MAX(Hit!F44,Stand!F44,Double!F44))</f>
        <v>0.89175382659528035</v>
      </c>
      <c r="G44">
        <f>IF(Rules!$B$7=Rules!$E$7,MAX(Hit!G44,Stand!G44,Double!G44,Surrender!G44),MAX(Hit!G44,Stand!G44,Double!G44))</f>
        <v>0.90283674384257995</v>
      </c>
      <c r="H44">
        <f>IF(Rules!$B$7=Rules!$E$7,MAX(Hit!H44,Stand!H44,Double!H44,Surrender!H44),MAX(Hit!H44,Stand!H44,Double!H44))</f>
        <v>0.92592629596452325</v>
      </c>
      <c r="I44">
        <f>IF(Rules!$B$7=Rules!$E$7,MAX(Hit!I44,Stand!I44,Double!I44,Surrender!I44),MAX(Hit!I44,Stand!I44,Double!I44))</f>
        <v>0.93060505318396614</v>
      </c>
      <c r="J44">
        <f>IF(Rules!$B$7=Rules!$E$7,MAX(Hit!J44,Stand!J44,Double!J44,Surrender!J44),MAX(Hit!J44,Stand!J44,Double!J44))</f>
        <v>0.93917615614724415</v>
      </c>
      <c r="K44">
        <f>IF(Rules!$B$7=Rules!$E$7,MAX(Hit!K44,Stand!K44,Double!K44,Surrender!K44),MAX(Hit!K44,Stand!K44,Double!K44))</f>
        <v>0.88857566147738598</v>
      </c>
      <c r="N44" s="31">
        <v>21</v>
      </c>
      <c r="O44" s="31" t="str">
        <f>IF(B44=Surrender!B44,"R",HSD!O44)</f>
        <v>S</v>
      </c>
      <c r="P44" s="31" t="str">
        <f>IF(C44=Surrender!C44,"R",HSD!P44)</f>
        <v>S</v>
      </c>
      <c r="Q44" s="31" t="str">
        <f>IF(D44=Surrender!D44,"R",HSD!Q44)</f>
        <v>S</v>
      </c>
      <c r="R44" s="31" t="str">
        <f>IF(E44=Surrender!E44,"R",HSD!R44)</f>
        <v>S</v>
      </c>
      <c r="S44" s="31" t="str">
        <f>IF(F44=Surrender!F44,"R",HSD!S44)</f>
        <v>S</v>
      </c>
      <c r="T44" s="31" t="str">
        <f>IF(G44=Surrender!G44,"R",HSD!T44)</f>
        <v>S</v>
      </c>
      <c r="U44" s="31" t="str">
        <f>IF(H44=Surrender!H44,"R",HSD!U44)</f>
        <v>S</v>
      </c>
      <c r="V44" s="31" t="str">
        <f>IF(I44=Surrender!I44,"R",HSD!V44)</f>
        <v>S</v>
      </c>
      <c r="W44" s="31" t="str">
        <f>IF(J44=Surrender!J44,"R",HSD!W44)</f>
        <v>S</v>
      </c>
      <c r="X44" s="31" t="str">
        <f>IF(K44=Surrender!K44,"R",HSD!X44)</f>
        <v>S</v>
      </c>
    </row>
    <row r="45" spans="1:24" x14ac:dyDescent="0.2">
      <c r="A45">
        <v>22</v>
      </c>
      <c r="B45">
        <f>IF(AND(Rules!$B$8=Rules!$E$8,Rules!$B$7=Rules!$E$7),MAX(Hit!B45,Stand!B45,Double!B45,Surrender!B45),MAX(Hit!B45,Stand!B45,Double!B45))</f>
        <v>-0.46566058377683939</v>
      </c>
      <c r="C45">
        <f>IF(Rules!$B$7=Rules!$E$7,MAX(Hit!C45,Stand!C45,Double!C45,Surrender!C45),MAX(Hit!C45,Stand!C45,Double!C45))</f>
        <v>-0.25338998596663809</v>
      </c>
      <c r="D45">
        <f>IF(Rules!$B$7=Rules!$E$7,MAX(Hit!D45,Stand!D45,Double!D45,Surrender!D45),MAX(Hit!D45,Stand!D45,Double!D45))</f>
        <v>-0.2336908997980866</v>
      </c>
      <c r="E45">
        <f>IF(Rules!$B$7=Rules!$E$7,MAX(Hit!E45,Stand!E45,Double!E45,Surrender!E45),MAX(Hit!E45,Stand!E45,Double!E45))</f>
        <v>-0.21106310899491437</v>
      </c>
      <c r="F45">
        <f>IF(Rules!$B$7=Rules!$E$7,MAX(Hit!F45,Stand!F45,Double!F45,Surrender!F45),MAX(Hit!F45,Stand!F45,Double!F45))</f>
        <v>-0.16719266083547524</v>
      </c>
      <c r="G45">
        <f>IF(Rules!$B$7=Rules!$E$7,MAX(Hit!G45,Stand!G45,Double!G45,Surrender!G45),MAX(Hit!G45,Stand!G45,Double!G45))</f>
        <v>-0.1536990158300045</v>
      </c>
      <c r="H45">
        <f>IF(Rules!$B$7=Rules!$E$7,MAX(Hit!H45,Stand!H45,Double!H45,Surrender!H45),MAX(Hit!H45,Stand!H45,Double!H45))</f>
        <v>-0.21284771451731424</v>
      </c>
      <c r="I45">
        <f>IF(Rules!$B$7=Rules!$E$7,MAX(Hit!I45,Stand!I45,Double!I45,Surrender!I45),MAX(Hit!I45,Stand!I45,Double!I45))</f>
        <v>-0.27157480502428616</v>
      </c>
      <c r="J45">
        <f>IF(Rules!$B$7=Rules!$E$7,MAX(Hit!J45,Stand!J45,Double!J45,Surrender!J45),MAX(Hit!J45,Stand!J45,Double!J45))</f>
        <v>-0.3400132806089356</v>
      </c>
      <c r="K45">
        <f>IF(Rules!$B$7=Rules!$E$7,MAX(Hit!K45,Stand!K45,Double!K45,Surrender!K45),MAX(Hit!K45,Stand!K45,Double!K45))</f>
        <v>-0.42069618899826788</v>
      </c>
      <c r="N45" s="31">
        <v>22</v>
      </c>
      <c r="O45" s="31" t="str">
        <f>IF(B45=Surrender!B45,"R",HSD!O45)</f>
        <v>H</v>
      </c>
      <c r="P45" s="31" t="str">
        <f>IF(C45=Surrender!C45,"R",HSD!P45)</f>
        <v>H</v>
      </c>
      <c r="Q45" s="31" t="str">
        <f>IF(D45=Surrender!D45,"R",HSD!Q45)</f>
        <v>H</v>
      </c>
      <c r="R45" s="31" t="str">
        <f>IF(E45=Surrender!E45,"R",HSD!R45)</f>
        <v>S</v>
      </c>
      <c r="S45" s="31" t="str">
        <f>IF(F45=Surrender!F45,"R",HSD!S45)</f>
        <v>S</v>
      </c>
      <c r="T45" s="31" t="str">
        <f>IF(G45=Surrender!G45,"R",HSD!T45)</f>
        <v>S</v>
      </c>
      <c r="U45" s="31" t="str">
        <f>IF(H45=Surrender!H45,"R",HSD!U45)</f>
        <v>H</v>
      </c>
      <c r="V45" s="31" t="str">
        <f>IF(I45=Surrender!I45,"R",HSD!V45)</f>
        <v>H</v>
      </c>
      <c r="W45" s="31" t="str">
        <f>IF(J45=Surrender!J45,"R",HSD!W45)</f>
        <v>H</v>
      </c>
      <c r="X45" s="31" t="str">
        <f>IF(K45=Surrender!K45,"R",HSD!X45)</f>
        <v>H</v>
      </c>
    </row>
    <row r="46" spans="1:24" x14ac:dyDescent="0.2">
      <c r="A46">
        <v>23</v>
      </c>
      <c r="B46">
        <f>IF(AND(Rules!$B$8=Rules!$E$8,Rules!$B$7=Rules!$E$7),MAX(Hit!B46,Stand!B46,Double!B46,Surrender!B46),MAX(Hit!B46,Stand!B46,Double!B46))</f>
        <v>-0.50382768493563657</v>
      </c>
      <c r="C46">
        <f>IF(Rules!$B$7=Rules!$E$7,MAX(Hit!C46,Stand!C46,Double!C46,Surrender!C46),MAX(Hit!C46,Stand!C46,Double!C46))</f>
        <v>-0.29278372720927726</v>
      </c>
      <c r="D46">
        <f>IF(Rules!$B$7=Rules!$E$7,MAX(Hit!D46,Stand!D46,Double!D46,Surrender!D46),MAX(Hit!D46,Stand!D46,Double!D46))</f>
        <v>-0.2522502292357135</v>
      </c>
      <c r="E46">
        <f>IF(Rules!$B$7=Rules!$E$7,MAX(Hit!E46,Stand!E46,Double!E46,Surrender!E46),MAX(Hit!E46,Stand!E46,Double!E46))</f>
        <v>-0.21106310899491437</v>
      </c>
      <c r="F46">
        <f>IF(Rules!$B$7=Rules!$E$7,MAX(Hit!F46,Stand!F46,Double!F46,Surrender!F46),MAX(Hit!F46,Stand!F46,Double!F46))</f>
        <v>-0.16719266083547524</v>
      </c>
      <c r="G46">
        <f>IF(Rules!$B$7=Rules!$E$7,MAX(Hit!G46,Stand!G46,Double!G46,Surrender!G46),MAX(Hit!G46,Stand!G46,Double!G46))</f>
        <v>-0.1536990158300045</v>
      </c>
      <c r="H46">
        <f>IF(Rules!$B$7=Rules!$E$7,MAX(Hit!H46,Stand!H46,Double!H46,Surrender!H46),MAX(Hit!H46,Stand!H46,Double!H46))</f>
        <v>-0.26907287776607752</v>
      </c>
      <c r="I46">
        <f>IF(Rules!$B$7=Rules!$E$7,MAX(Hit!I46,Stand!I46,Double!I46,Surrender!I46),MAX(Hit!I46,Stand!I46,Double!I46))</f>
        <v>-0.32360517609397998</v>
      </c>
      <c r="J46">
        <f>IF(Rules!$B$7=Rules!$E$7,MAX(Hit!J46,Stand!J46,Double!J46,Surrender!J46),MAX(Hit!J46,Stand!J46,Double!J46))</f>
        <v>-0.38715518913686875</v>
      </c>
      <c r="K46">
        <f>IF(Rules!$B$7=Rules!$E$7,MAX(Hit!K46,Stand!K46,Double!K46,Surrender!K46),MAX(Hit!K46,Stand!K46,Double!K46))</f>
        <v>-0.46207503264124877</v>
      </c>
      <c r="N46" s="31">
        <v>23</v>
      </c>
      <c r="O46" s="31" t="str">
        <f>IF(B46=Surrender!B46,"R",HSD!O46)</f>
        <v>H</v>
      </c>
      <c r="P46" s="31" t="str">
        <f>IF(C46=Surrender!C46,"R",HSD!P46)</f>
        <v>S</v>
      </c>
      <c r="Q46" s="31" t="str">
        <f>IF(D46=Surrender!D46,"R",HSD!Q46)</f>
        <v>S</v>
      </c>
      <c r="R46" s="31" t="str">
        <f>IF(E46=Surrender!E46,"R",HSD!R46)</f>
        <v>S</v>
      </c>
      <c r="S46" s="31" t="str">
        <f>IF(F46=Surrender!F46,"R",HSD!S46)</f>
        <v>S</v>
      </c>
      <c r="T46" s="31" t="str">
        <f>IF(G46=Surrender!G46,"R",HSD!T46)</f>
        <v>S</v>
      </c>
      <c r="U46" s="31" t="str">
        <f>IF(H46=Surrender!H46,"R",HSD!U46)</f>
        <v>H</v>
      </c>
      <c r="V46" s="31" t="str">
        <f>IF(I46=Surrender!I46,"R",HSD!V46)</f>
        <v>H</v>
      </c>
      <c r="W46" s="31" t="str">
        <f>IF(J46=Surrender!J46,"R",HSD!W46)</f>
        <v>H</v>
      </c>
      <c r="X46" s="31" t="str">
        <f>IF(K46=Surrender!K46,"R",HSD!X46)</f>
        <v>H</v>
      </c>
    </row>
    <row r="47" spans="1:24" x14ac:dyDescent="0.2">
      <c r="A47">
        <v>24</v>
      </c>
      <c r="B47">
        <f>IF(AND(Rules!$B$8=Rules!$E$8,Rules!$B$7=Rules!$E$7),MAX(Hit!B47,Stand!B47,Double!B47,Surrender!B47),MAX(Hit!B47,Stand!B47,Double!B47))</f>
        <v>-0.53926856458309114</v>
      </c>
      <c r="C47">
        <f>IF(Rules!$B$7=Rules!$E$7,MAX(Hit!C47,Stand!C47,Double!C47,Surrender!C47),MAX(Hit!C47,Stand!C47,Double!C47))</f>
        <v>-0.29278372720927726</v>
      </c>
      <c r="D47">
        <f>IF(Rules!$B$7=Rules!$E$7,MAX(Hit!D47,Stand!D47,Double!D47,Surrender!D47),MAX(Hit!D47,Stand!D47,Double!D47))</f>
        <v>-0.2522502292357135</v>
      </c>
      <c r="E47">
        <f>IF(Rules!$B$7=Rules!$E$7,MAX(Hit!E47,Stand!E47,Double!E47,Surrender!E47),MAX(Hit!E47,Stand!E47,Double!E47))</f>
        <v>-0.21106310899491437</v>
      </c>
      <c r="F47">
        <f>IF(Rules!$B$7=Rules!$E$7,MAX(Hit!F47,Stand!F47,Double!F47,Surrender!F47),MAX(Hit!F47,Stand!F47,Double!F47))</f>
        <v>-0.16719266083547524</v>
      </c>
      <c r="G47">
        <f>IF(Rules!$B$7=Rules!$E$7,MAX(Hit!G47,Stand!G47,Double!G47,Surrender!G47),MAX(Hit!G47,Stand!G47,Double!G47))</f>
        <v>-0.1536990158300045</v>
      </c>
      <c r="H47">
        <f>IF(Rules!$B$7=Rules!$E$7,MAX(Hit!H47,Stand!H47,Double!H47,Surrender!H47),MAX(Hit!H47,Stand!H47,Double!H47))</f>
        <v>-0.3212819579256434</v>
      </c>
      <c r="I47">
        <f>IF(Rules!$B$7=Rules!$E$7,MAX(Hit!I47,Stand!I47,Double!I47,Surrender!I47),MAX(Hit!I47,Stand!I47,Double!I47))</f>
        <v>-0.37191909208726714</v>
      </c>
      <c r="J47">
        <f>IF(Rules!$B$7=Rules!$E$7,MAX(Hit!J47,Stand!J47,Double!J47,Surrender!J47),MAX(Hit!J47,Stand!J47,Double!J47))</f>
        <v>-0.43092981848423528</v>
      </c>
      <c r="K47">
        <f>IF(Rules!$B$7=Rules!$E$7,MAX(Hit!K47,Stand!K47,Double!K47,Surrender!K47),MAX(Hit!K47,Stand!K47,Double!K47))</f>
        <v>-0.50049824459544523</v>
      </c>
      <c r="N47" s="31">
        <v>24</v>
      </c>
      <c r="O47" s="31" t="str">
        <f>IF(B47=Surrender!B47,"R",HSD!O47)</f>
        <v>H</v>
      </c>
      <c r="P47" s="31" t="str">
        <f>IF(C47=Surrender!C47,"R",HSD!P47)</f>
        <v>S</v>
      </c>
      <c r="Q47" s="31" t="str">
        <f>IF(D47=Surrender!D47,"R",HSD!Q47)</f>
        <v>S</v>
      </c>
      <c r="R47" s="31" t="str">
        <f>IF(E47=Surrender!E47,"R",HSD!R47)</f>
        <v>S</v>
      </c>
      <c r="S47" s="31" t="str">
        <f>IF(F47=Surrender!F47,"R",HSD!S47)</f>
        <v>S</v>
      </c>
      <c r="T47" s="31" t="str">
        <f>IF(G47=Surrender!G47,"R",HSD!T47)</f>
        <v>S</v>
      </c>
      <c r="U47" s="31" t="str">
        <f>IF(H47=Surrender!H47,"R",HSD!U47)</f>
        <v>H</v>
      </c>
      <c r="V47" s="31" t="str">
        <f>IF(I47=Surrender!I47,"R",HSD!V47)</f>
        <v>H</v>
      </c>
      <c r="W47" s="31" t="str">
        <f>IF(J47=Surrender!J47,"R",HSD!W47)</f>
        <v>H</v>
      </c>
      <c r="X47" s="31" t="str">
        <f>IF(K47=Surrender!K47,"R",HSD!X47)</f>
        <v>H</v>
      </c>
    </row>
    <row r="48" spans="1:24" x14ac:dyDescent="0.2">
      <c r="A48">
        <v>25</v>
      </c>
      <c r="B48">
        <f>IF(AND(Rules!$B$8=Rules!$E$8,Rules!$B$7=Rules!$E$7),MAX(Hit!B48,Stand!B48,Double!B48,Surrender!B48),MAX(Hit!B48,Stand!B48,Double!B48))</f>
        <v>-0.572177952827156</v>
      </c>
      <c r="C48">
        <f>IF(Rules!$B$7=Rules!$E$7,MAX(Hit!C48,Stand!C48,Double!C48,Surrender!C48),MAX(Hit!C48,Stand!C48,Double!C48))</f>
        <v>-0.29278372720927726</v>
      </c>
      <c r="D48">
        <f>IF(Rules!$B$7=Rules!$E$7,MAX(Hit!D48,Stand!D48,Double!D48,Surrender!D48),MAX(Hit!D48,Stand!D48,Double!D48))</f>
        <v>-0.2522502292357135</v>
      </c>
      <c r="E48">
        <f>IF(Rules!$B$7=Rules!$E$7,MAX(Hit!E48,Stand!E48,Double!E48,Surrender!E48),MAX(Hit!E48,Stand!E48,Double!E48))</f>
        <v>-0.21106310899491437</v>
      </c>
      <c r="F48">
        <f>IF(Rules!$B$7=Rules!$E$7,MAX(Hit!F48,Stand!F48,Double!F48,Surrender!F48),MAX(Hit!F48,Stand!F48,Double!F48))</f>
        <v>-0.16719266083547524</v>
      </c>
      <c r="G48">
        <f>IF(Rules!$B$7=Rules!$E$7,MAX(Hit!G48,Stand!G48,Double!G48,Surrender!G48),MAX(Hit!G48,Stand!G48,Double!G48))</f>
        <v>-0.1536990158300045</v>
      </c>
      <c r="H48">
        <f>IF(Rules!$B$7=Rules!$E$7,MAX(Hit!H48,Stand!H48,Double!H48,Surrender!H48),MAX(Hit!H48,Stand!H48,Double!H48))</f>
        <v>-0.36976181807381175</v>
      </c>
      <c r="I48">
        <f>IF(Rules!$B$7=Rules!$E$7,MAX(Hit!I48,Stand!I48,Double!I48,Surrender!I48),MAX(Hit!I48,Stand!I48,Double!I48))</f>
        <v>-0.41678201408103371</v>
      </c>
      <c r="J48">
        <f>IF(Rules!$B$7=Rules!$E$7,MAX(Hit!J48,Stand!J48,Double!J48,Surrender!J48),MAX(Hit!J48,Stand!J48,Double!J48))</f>
        <v>-0.47157768859250415</v>
      </c>
      <c r="K48">
        <f>IF(Rules!$B$7=Rules!$E$7,MAX(Hit!K48,Stand!K48,Double!K48,Surrender!K48),MAX(Hit!K48,Stand!K48,Double!K48))</f>
        <v>-0.53617694141005634</v>
      </c>
      <c r="N48" s="31">
        <v>25</v>
      </c>
      <c r="O48" s="31" t="str">
        <f>IF(B48=Surrender!B48,"R",HSD!O48)</f>
        <v>H</v>
      </c>
      <c r="P48" s="31" t="str">
        <f>IF(C48=Surrender!C48,"R",HSD!P48)</f>
        <v>S</v>
      </c>
      <c r="Q48" s="31" t="str">
        <f>IF(D48=Surrender!D48,"R",HSD!Q48)</f>
        <v>S</v>
      </c>
      <c r="R48" s="31" t="str">
        <f>IF(E48=Surrender!E48,"R",HSD!R48)</f>
        <v>S</v>
      </c>
      <c r="S48" s="31" t="str">
        <f>IF(F48=Surrender!F48,"R",HSD!S48)</f>
        <v>S</v>
      </c>
      <c r="T48" s="31" t="str">
        <f>IF(G48=Surrender!G48,"R",HSD!T48)</f>
        <v>S</v>
      </c>
      <c r="U48" s="31" t="str">
        <f>IF(H48=Surrender!H48,"R",HSD!U48)</f>
        <v>H</v>
      </c>
      <c r="V48" s="31" t="str">
        <f>IF(I48=Surrender!I48,"R",HSD!V48)</f>
        <v>H</v>
      </c>
      <c r="W48" s="31" t="str">
        <f>IF(J48=Surrender!J48,"R",HSD!W48)</f>
        <v>H</v>
      </c>
      <c r="X48" s="31" t="str">
        <f>IF(K48=Surrender!K48,"R",HSD!X48)</f>
        <v>H</v>
      </c>
    </row>
    <row r="49" spans="1:24" x14ac:dyDescent="0.2">
      <c r="A49">
        <v>26</v>
      </c>
      <c r="B49">
        <f>IF(AND(Rules!$B$8=Rules!$E$8,Rules!$B$7=Rules!$E$7),MAX(Hit!B49,Stand!B49,Double!B49,Surrender!B49),MAX(Hit!B49,Stand!B49,Double!B49))</f>
        <v>-0.57578184676460165</v>
      </c>
      <c r="C49">
        <f>IF(Rules!$B$7=Rules!$E$7,MAX(Hit!C49,Stand!C49,Double!C49,Surrender!C49),MAX(Hit!C49,Stand!C49,Double!C49))</f>
        <v>-0.29278372720927726</v>
      </c>
      <c r="D49">
        <f>IF(Rules!$B$7=Rules!$E$7,MAX(Hit!D49,Stand!D49,Double!D49,Surrender!D49),MAX(Hit!D49,Stand!D49,Double!D49))</f>
        <v>-0.2522502292357135</v>
      </c>
      <c r="E49">
        <f>IF(Rules!$B$7=Rules!$E$7,MAX(Hit!E49,Stand!E49,Double!E49,Surrender!E49),MAX(Hit!E49,Stand!E49,Double!E49))</f>
        <v>-0.21106310899491437</v>
      </c>
      <c r="F49">
        <f>IF(Rules!$B$7=Rules!$E$7,MAX(Hit!F49,Stand!F49,Double!F49,Surrender!F49),MAX(Hit!F49,Stand!F49,Double!F49))</f>
        <v>-0.16719266083547524</v>
      </c>
      <c r="G49">
        <f>IF(Rules!$B$7=Rules!$E$7,MAX(Hit!G49,Stand!G49,Double!G49,Surrender!G49),MAX(Hit!G49,Stand!G49,Double!G49))</f>
        <v>-0.1536990158300045</v>
      </c>
      <c r="H49">
        <f>IF(Rules!$B$7=Rules!$E$7,MAX(Hit!H49,Stand!H49,Double!H49,Surrender!H49),MAX(Hit!H49,Stand!H49,Double!H49))</f>
        <v>-0.41477883106853947</v>
      </c>
      <c r="I49">
        <f>IF(Rules!$B$7=Rules!$E$7,MAX(Hit!I49,Stand!I49,Double!I49,Surrender!I49),MAX(Hit!I49,Stand!I49,Double!I49))</f>
        <v>-0.45844044164667419</v>
      </c>
      <c r="J49">
        <f>IF(Rules!$B$7=Rules!$E$7,MAX(Hit!J49,Stand!J49,Double!J49,Surrender!J49),MAX(Hit!J49,Stand!J49,Double!J49))</f>
        <v>-0.50932213940732529</v>
      </c>
      <c r="K49">
        <f>IF(Rules!$B$7=Rules!$E$7,MAX(Hit!K49,Stand!K49,Double!K49,Surrender!K49),MAX(Hit!K49,Stand!K49,Double!K49))</f>
        <v>-0.56930715988076652</v>
      </c>
      <c r="N49" s="31">
        <v>26</v>
      </c>
      <c r="O49" s="31" t="str">
        <f>IF(B49=Surrender!B49,"R",HSD!O49)</f>
        <v>S</v>
      </c>
      <c r="P49" s="31" t="str">
        <f>IF(C49=Surrender!C49,"R",HSD!P49)</f>
        <v>S</v>
      </c>
      <c r="Q49" s="31" t="str">
        <f>IF(D49=Surrender!D49,"R",HSD!Q49)</f>
        <v>S</v>
      </c>
      <c r="R49" s="31" t="str">
        <f>IF(E49=Surrender!E49,"R",HSD!R49)</f>
        <v>S</v>
      </c>
      <c r="S49" s="31" t="str">
        <f>IF(F49=Surrender!F49,"R",HSD!S49)</f>
        <v>S</v>
      </c>
      <c r="T49" s="31" t="str">
        <f>IF(G49=Surrender!G49,"R",HSD!T49)</f>
        <v>S</v>
      </c>
      <c r="U49" s="31" t="str">
        <f>IF(H49=Surrender!H49,"R",HSD!U49)</f>
        <v>H</v>
      </c>
      <c r="V49" s="31" t="str">
        <f>IF(I49=Surrender!I49,"R",HSD!V49)</f>
        <v>H</v>
      </c>
      <c r="W49" s="31" t="str">
        <f>IF(J49=Surrender!J49,"R",HSD!W49)</f>
        <v>H</v>
      </c>
      <c r="X49" s="31" t="str">
        <f>IF(K49=Surrender!K49,"R",HSD!X49)</f>
        <v>H</v>
      </c>
    </row>
    <row r="50" spans="1:24" x14ac:dyDescent="0.2">
      <c r="A50">
        <v>27</v>
      </c>
      <c r="B50">
        <f>IF(AND(Rules!$B$8=Rules!$E$8,Rules!$B$7=Rules!$E$7),MAX(Hit!B50,Stand!B50,Double!B50,Surrender!B50),MAX(Hit!B50,Stand!B50,Double!B50))</f>
        <v>-0.46435750824198752</v>
      </c>
      <c r="C50">
        <f>IF(Rules!$B$7=Rules!$E$7,MAX(Hit!C50,Stand!C50,Double!C50,Surrender!C50),MAX(Hit!C50,Stand!C50,Double!C50))</f>
        <v>-0.15297458768154204</v>
      </c>
      <c r="D50">
        <f>IF(Rules!$B$7=Rules!$E$7,MAX(Hit!D50,Stand!D50,Double!D50,Surrender!D50),MAX(Hit!D50,Stand!D50,Double!D50))</f>
        <v>-0.11721624142457365</v>
      </c>
      <c r="E50">
        <f>IF(Rules!$B$7=Rules!$E$7,MAX(Hit!E50,Stand!E50,Double!E50,Surrender!E50),MAX(Hit!E50,Stand!E50,Double!E50))</f>
        <v>-8.0573373145316152E-2</v>
      </c>
      <c r="F50">
        <f>IF(Rules!$B$7=Rules!$E$7,MAX(Hit!F50,Stand!F50,Double!F50,Surrender!F50),MAX(Hit!F50,Stand!F50,Double!F50))</f>
        <v>-4.4941375564924446E-2</v>
      </c>
      <c r="G50">
        <f>IF(Rules!$B$7=Rules!$E$7,MAX(Hit!G50,Stand!G50,Double!G50,Surrender!G50),MAX(Hit!G50,Stand!G50,Double!G50))</f>
        <v>1.1739160673341853E-2</v>
      </c>
      <c r="H50">
        <f>IF(Rules!$B$7=Rules!$E$7,MAX(Hit!H50,Stand!H50,Double!H50,Surrender!H50),MAX(Hit!H50,Stand!H50,Double!H50))</f>
        <v>-0.10680898948269468</v>
      </c>
      <c r="I50">
        <f>IF(Rules!$B$7=Rules!$E$7,MAX(Hit!I50,Stand!I50,Double!I50,Surrender!I50),MAX(Hit!I50,Stand!I50,Double!I50))</f>
        <v>-0.38195097104844711</v>
      </c>
      <c r="J50">
        <f>IF(Rules!$B$7=Rules!$E$7,MAX(Hit!J50,Stand!J50,Double!J50,Surrender!J50),MAX(Hit!J50,Stand!J50,Double!J50))</f>
        <v>-0.42315423964521737</v>
      </c>
      <c r="K50">
        <f>IF(Rules!$B$7=Rules!$E$7,MAX(Hit!K50,Stand!K50,Double!K50,Surrender!K50),MAX(Hit!K50,Stand!K50,Double!K50))</f>
        <v>-0.46435750824198763</v>
      </c>
      <c r="N50" s="31">
        <v>27</v>
      </c>
      <c r="O50" s="31" t="str">
        <f>IF(B50=Surrender!B50,"R",HSD!O50)</f>
        <v>S</v>
      </c>
      <c r="P50" s="31" t="str">
        <f>IF(C50=Surrender!C50,"R",HSD!P50)</f>
        <v>S</v>
      </c>
      <c r="Q50" s="31" t="str">
        <f>IF(D50=Surrender!D50,"R",HSD!Q50)</f>
        <v>S</v>
      </c>
      <c r="R50" s="31" t="str">
        <f>IF(E50=Surrender!E50,"R",HSD!R50)</f>
        <v>S</v>
      </c>
      <c r="S50" s="31" t="str">
        <f>IF(F50=Surrender!F50,"R",HSD!S50)</f>
        <v>S</v>
      </c>
      <c r="T50" s="31" t="str">
        <f>IF(G50=Surrender!G50,"R",HSD!T50)</f>
        <v>S</v>
      </c>
      <c r="U50" s="31" t="str">
        <f>IF(H50=Surrender!H50,"R",HSD!U50)</f>
        <v>S</v>
      </c>
      <c r="V50" s="31" t="str">
        <f>IF(I50=Surrender!I50,"R",HSD!V50)</f>
        <v>S</v>
      </c>
      <c r="W50" s="31" t="str">
        <f>IF(J50=Surrender!J50,"R",HSD!W50)</f>
        <v>S</v>
      </c>
      <c r="X50" s="31" t="str">
        <f>IF(K50=Surrender!K50,"R",HSD!X50)</f>
        <v>S</v>
      </c>
    </row>
    <row r="51" spans="1:24" x14ac:dyDescent="0.2">
      <c r="A51">
        <v>28</v>
      </c>
      <c r="B51">
        <f>IF(AND(Rules!$B$8=Rules!$E$8,Rules!$B$7=Rules!$E$7),MAX(Hit!B51,Stand!B51,Double!B51,Surrender!B51),MAX(Hit!B51,Stand!B51,Double!B51))</f>
        <v>-0.24150883119675959</v>
      </c>
      <c r="C51">
        <f>IF(Rules!$B$7=Rules!$E$7,MAX(Hit!C51,Stand!C51,Double!C51,Surrender!C51),MAX(Hit!C51,Stand!C51,Double!C51))</f>
        <v>0.12174190222088771</v>
      </c>
      <c r="D51">
        <f>IF(Rules!$B$7=Rules!$E$7,MAX(Hit!D51,Stand!D51,Double!D51,Surrender!D51),MAX(Hit!D51,Stand!D51,Double!D51))</f>
        <v>0.14830007284131119</v>
      </c>
      <c r="E51">
        <f>IF(Rules!$B$7=Rules!$E$7,MAX(Hit!E51,Stand!E51,Double!E51,Surrender!E51),MAX(Hit!E51,Stand!E51,Double!E51))</f>
        <v>0.17585443719748528</v>
      </c>
      <c r="F51">
        <f>IF(Rules!$B$7=Rules!$E$7,MAX(Hit!F51,Stand!F51,Double!F51,Surrender!F51),MAX(Hit!F51,Stand!F51,Double!F51))</f>
        <v>0.19956119497617719</v>
      </c>
      <c r="G51">
        <f>IF(Rules!$B$7=Rules!$E$7,MAX(Hit!G51,Stand!G51,Double!G51,Surrender!G51),MAX(Hit!G51,Stand!G51,Double!G51))</f>
        <v>0.28344391604689856</v>
      </c>
      <c r="H51">
        <f>IF(Rules!$B$7=Rules!$E$7,MAX(Hit!H51,Stand!H51,Double!H51,Surrender!H51),MAX(Hit!H51,Stand!H51,Double!H51))</f>
        <v>0.3995541673365518</v>
      </c>
      <c r="I51">
        <f>IF(Rules!$B$7=Rules!$E$7,MAX(Hit!I51,Stand!I51,Double!I51,Surrender!I51),MAX(Hit!I51,Stand!I51,Double!I51))</f>
        <v>0.10595134861912359</v>
      </c>
      <c r="J51">
        <f>IF(Rules!$B$7=Rules!$E$7,MAX(Hit!J51,Stand!J51,Double!J51,Surrender!J51),MAX(Hit!J51,Stand!J51,Double!J51))</f>
        <v>-0.18316335667343331</v>
      </c>
      <c r="K51">
        <f>IF(Rules!$B$7=Rules!$E$7,MAX(Hit!K51,Stand!K51,Double!K51,Surrender!K51),MAX(Hit!K51,Stand!K51,Double!K51))</f>
        <v>-0.24150883119675959</v>
      </c>
      <c r="N51" s="31">
        <v>28</v>
      </c>
      <c r="O51" s="31" t="str">
        <f>IF(B51=Surrender!B51,"R",HSD!O51)</f>
        <v>S</v>
      </c>
      <c r="P51" s="31" t="str">
        <f>IF(C51=Surrender!C51,"R",HSD!P51)</f>
        <v>S</v>
      </c>
      <c r="Q51" s="31" t="str">
        <f>IF(D51=Surrender!D51,"R",HSD!Q51)</f>
        <v>S</v>
      </c>
      <c r="R51" s="31" t="str">
        <f>IF(E51=Surrender!E51,"R",HSD!R51)</f>
        <v>S</v>
      </c>
      <c r="S51" s="31" t="str">
        <f>IF(F51=Surrender!F51,"R",HSD!S51)</f>
        <v>S</v>
      </c>
      <c r="T51" s="31" t="str">
        <f>IF(G51=Surrender!G51,"R",HSD!T51)</f>
        <v>S</v>
      </c>
      <c r="U51" s="31" t="str">
        <f>IF(H51=Surrender!H51,"R",HSD!U51)</f>
        <v>S</v>
      </c>
      <c r="V51" s="31" t="str">
        <f>IF(I51=Surrender!I51,"R",HSD!V51)</f>
        <v>S</v>
      </c>
      <c r="W51" s="31" t="str">
        <f>IF(J51=Surrender!J51,"R",HSD!W51)</f>
        <v>S</v>
      </c>
      <c r="X51" s="31" t="str">
        <f>IF(K51=Surrender!K51,"R",HSD!X51)</f>
        <v>S</v>
      </c>
    </row>
    <row r="52" spans="1:24" x14ac:dyDescent="0.2">
      <c r="A52">
        <v>29</v>
      </c>
      <c r="B52">
        <f>IF(AND(Rules!$B$8=Rules!$E$8,Rules!$B$7=Rules!$E$7),MAX(Hit!B52,Stand!B52,Double!B52,Surrender!B52),MAX(Hit!B52,Stand!B52,Double!B52))</f>
        <v>-1.8660154151531549E-2</v>
      </c>
      <c r="C52">
        <f>IF(Rules!$B$7=Rules!$E$7,MAX(Hit!C52,Stand!C52,Double!C52,Surrender!C52),MAX(Hit!C52,Stand!C52,Double!C52))</f>
        <v>0.38630468602058987</v>
      </c>
      <c r="D52">
        <f>IF(Rules!$B$7=Rules!$E$7,MAX(Hit!D52,Stand!D52,Double!D52,Surrender!D52),MAX(Hit!D52,Stand!D52,Double!D52))</f>
        <v>0.40436293659776001</v>
      </c>
      <c r="E52">
        <f>IF(Rules!$B$7=Rules!$E$7,MAX(Hit!E52,Stand!E52,Double!E52,Surrender!E52),MAX(Hit!E52,Stand!E52,Double!E52))</f>
        <v>0.42317892482749647</v>
      </c>
      <c r="F52">
        <f>IF(Rules!$B$7=Rules!$E$7,MAX(Hit!F52,Stand!F52,Double!F52,Surrender!F52),MAX(Hit!F52,Stand!F52,Double!F52))</f>
        <v>0.43951210416088371</v>
      </c>
      <c r="G52">
        <f>IF(Rules!$B$7=Rules!$E$7,MAX(Hit!G52,Stand!G52,Double!G52,Surrender!G52),MAX(Hit!G52,Stand!G52,Double!G52))</f>
        <v>0.49597707378731909</v>
      </c>
      <c r="H52">
        <f>IF(Rules!$B$7=Rules!$E$7,MAX(Hit!H52,Stand!H52,Double!H52,Surrender!H52),MAX(Hit!H52,Stand!H52,Double!H52))</f>
        <v>0.6159764957534315</v>
      </c>
      <c r="I52">
        <f>IF(Rules!$B$7=Rules!$E$7,MAX(Hit!I52,Stand!I52,Double!I52,Surrender!I52),MAX(Hit!I52,Stand!I52,Double!I52))</f>
        <v>0.5938536682866945</v>
      </c>
      <c r="J52">
        <f>IF(Rules!$B$7=Rules!$E$7,MAX(Hit!J52,Stand!J52,Double!J52,Surrender!J52),MAX(Hit!J52,Stand!J52,Double!J52))</f>
        <v>0.28759675706758142</v>
      </c>
      <c r="K52">
        <f>IF(Rules!$B$7=Rules!$E$7,MAX(Hit!K52,Stand!K52,Double!K52,Surrender!K52),MAX(Hit!K52,Stand!K52,Double!K52))</f>
        <v>-1.8660154151531536E-2</v>
      </c>
      <c r="N52" s="31">
        <v>29</v>
      </c>
      <c r="O52" s="31" t="str">
        <f>IF(B52=Surrender!B52,"R",HSD!O52)</f>
        <v>S</v>
      </c>
      <c r="P52" s="31" t="str">
        <f>IF(C52=Surrender!C52,"R",HSD!P52)</f>
        <v>S</v>
      </c>
      <c r="Q52" s="31" t="str">
        <f>IF(D52=Surrender!D52,"R",HSD!Q52)</f>
        <v>S</v>
      </c>
      <c r="R52" s="31" t="str">
        <f>IF(E52=Surrender!E52,"R",HSD!R52)</f>
        <v>S</v>
      </c>
      <c r="S52" s="31" t="str">
        <f>IF(F52=Surrender!F52,"R",HSD!S52)</f>
        <v>S</v>
      </c>
      <c r="T52" s="31" t="str">
        <f>IF(G52=Surrender!G52,"R",HSD!T52)</f>
        <v>S</v>
      </c>
      <c r="U52" s="31" t="str">
        <f>IF(H52=Surrender!H52,"R",HSD!U52)</f>
        <v>S</v>
      </c>
      <c r="V52" s="31" t="str">
        <f>IF(I52=Surrender!I52,"R",HSD!V52)</f>
        <v>S</v>
      </c>
      <c r="W52" s="31" t="str">
        <f>IF(J52=Surrender!J52,"R",HSD!W52)</f>
        <v>S</v>
      </c>
      <c r="X52" s="31" t="str">
        <f>IF(K52=Surrender!K52,"R",HSD!X52)</f>
        <v>S</v>
      </c>
    </row>
    <row r="53" spans="1:24" x14ac:dyDescent="0.2">
      <c r="A53">
        <v>30</v>
      </c>
      <c r="B53">
        <f>IF(AND(Rules!$B$8=Rules!$E$8,Rules!$B$7=Rules!$E$7),MAX(Hit!B53,Stand!B53,Double!B53,Surrender!B53),MAX(Hit!B53,Stand!B53,Double!B53))</f>
        <v>0.20418852289369649</v>
      </c>
      <c r="C53">
        <f>IF(Rules!$B$7=Rules!$E$7,MAX(Hit!C53,Stand!C53,Double!C53,Surrender!C53),MAX(Hit!C53,Stand!C53,Double!C53))</f>
        <v>0.63998657521683877</v>
      </c>
      <c r="D53">
        <f>IF(Rules!$B$7=Rules!$E$7,MAX(Hit!D53,Stand!D53,Double!D53,Surrender!D53),MAX(Hit!D53,Stand!D53,Double!D53))</f>
        <v>0.65027209425148136</v>
      </c>
      <c r="E53">
        <f>IF(Rules!$B$7=Rules!$E$7,MAX(Hit!E53,Stand!E53,Double!E53,Surrender!E53),MAX(Hit!E53,Stand!E53,Double!E53))</f>
        <v>0.66104996194807186</v>
      </c>
      <c r="F53">
        <f>IF(Rules!$B$7=Rules!$E$7,MAX(Hit!F53,Stand!F53,Double!F53,Surrender!F53),MAX(Hit!F53,Stand!F53,Double!F53))</f>
        <v>0.67035969063279999</v>
      </c>
      <c r="G53">
        <f>IF(Rules!$B$7=Rules!$E$7,MAX(Hit!G53,Stand!G53,Double!G53,Surrender!G53),MAX(Hit!G53,Stand!G53,Double!G53))</f>
        <v>0.70395857017134467</v>
      </c>
      <c r="H53">
        <f>IF(Rules!$B$7=Rules!$E$7,MAX(Hit!H53,Stand!H53,Double!H53,Surrender!H53),MAX(Hit!H53,Stand!H53,Double!H53))</f>
        <v>0.77322722653717491</v>
      </c>
      <c r="I53">
        <f>IF(Rules!$B$7=Rules!$E$7,MAX(Hit!I53,Stand!I53,Double!I53,Surrender!I53),MAX(Hit!I53,Stand!I53,Double!I53))</f>
        <v>0.79181515955189841</v>
      </c>
      <c r="J53">
        <f>IF(Rules!$B$7=Rules!$E$7,MAX(Hit!J53,Stand!J53,Double!J53,Surrender!J53),MAX(Hit!J53,Stand!J53,Double!J53))</f>
        <v>0.75835687080859626</v>
      </c>
      <c r="K53">
        <f>IF(Rules!$B$7=Rules!$E$7,MAX(Hit!K53,Stand!K53,Double!K53,Surrender!K53),MAX(Hit!K53,Stand!K53,Double!K53))</f>
        <v>0.43495775366292722</v>
      </c>
      <c r="N53" s="31">
        <v>30</v>
      </c>
      <c r="O53" s="31" t="str">
        <f>IF(B53=Surrender!B53,"R",HSD!O53)</f>
        <v>S</v>
      </c>
      <c r="P53" s="31" t="str">
        <f>IF(C53=Surrender!C53,"R",HSD!P53)</f>
        <v>S</v>
      </c>
      <c r="Q53" s="31" t="str">
        <f>IF(D53=Surrender!D53,"R",HSD!Q53)</f>
        <v>S</v>
      </c>
      <c r="R53" s="31" t="str">
        <f>IF(E53=Surrender!E53,"R",HSD!R53)</f>
        <v>S</v>
      </c>
      <c r="S53" s="31" t="str">
        <f>IF(F53=Surrender!F53,"R",HSD!S53)</f>
        <v>S</v>
      </c>
      <c r="T53" s="31" t="str">
        <f>IF(G53=Surrender!G53,"R",HSD!T53)</f>
        <v>S</v>
      </c>
      <c r="U53" s="31" t="str">
        <f>IF(H53=Surrender!H53,"R",HSD!U53)</f>
        <v>S</v>
      </c>
      <c r="V53" s="31" t="str">
        <f>IF(I53=Surrender!I53,"R",HSD!V53)</f>
        <v>S</v>
      </c>
      <c r="W53" s="31" t="str">
        <f>IF(J53=Surrender!J53,"R",HSD!W53)</f>
        <v>S</v>
      </c>
      <c r="X53" s="31" t="str">
        <f>IF(K53=Surrender!K53,"R",HSD!X53)</f>
        <v>S</v>
      </c>
    </row>
    <row r="54" spans="1:24" x14ac:dyDescent="0.2">
      <c r="A54">
        <v>31</v>
      </c>
      <c r="B54">
        <f>IF(AND(Rules!$B$8=Rules!$E$8,Rules!$B$7=Rules!$E$7),MAX(Hit!B54,Stand!B54,Double!B54,Surrender!B54),MAX(Hit!B54,Stand!B54,Double!B54))</f>
        <v>0.65780643070815525</v>
      </c>
      <c r="C54">
        <f>IF(Rules!$B$7=Rules!$E$7,MAX(Hit!C54,Stand!C54,Double!C54,Surrender!C54),MAX(Hit!C54,Stand!C54,Double!C54))</f>
        <v>0.88200651549403997</v>
      </c>
      <c r="D54">
        <f>IF(Rules!$B$7=Rules!$E$7,MAX(Hit!D54,Stand!D54,Double!D54,Surrender!D54),MAX(Hit!D54,Stand!D54,Double!D54))</f>
        <v>0.88530035730174927</v>
      </c>
      <c r="E54">
        <f>IF(Rules!$B$7=Rules!$E$7,MAX(Hit!E54,Stand!E54,Double!E54,Surrender!E54),MAX(Hit!E54,Stand!E54,Double!E54))</f>
        <v>0.88876729296591961</v>
      </c>
      <c r="F54">
        <f>IF(Rules!$B$7=Rules!$E$7,MAX(Hit!F54,Stand!F54,Double!F54,Surrender!F54),MAX(Hit!F54,Stand!F54,Double!F54))</f>
        <v>0.89175382659528035</v>
      </c>
      <c r="G54">
        <f>IF(Rules!$B$7=Rules!$E$7,MAX(Hit!G54,Stand!G54,Double!G54,Surrender!G54),MAX(Hit!G54,Stand!G54,Double!G54))</f>
        <v>0.90283674384257995</v>
      </c>
      <c r="H54">
        <f>IF(Rules!$B$7=Rules!$E$7,MAX(Hit!H54,Stand!H54,Double!H54,Surrender!H54),MAX(Hit!H54,Stand!H54,Double!H54))</f>
        <v>0.92592629596452325</v>
      </c>
      <c r="I54">
        <f>IF(Rules!$B$7=Rules!$E$7,MAX(Hit!I54,Stand!I54,Double!I54,Surrender!I54),MAX(Hit!I54,Stand!I54,Double!I54))</f>
        <v>0.93060505318396614</v>
      </c>
      <c r="J54">
        <f>IF(Rules!$B$7=Rules!$E$7,MAX(Hit!J54,Stand!J54,Double!J54,Surrender!J54),MAX(Hit!J54,Stand!J54,Double!J54))</f>
        <v>0.93917615614724415</v>
      </c>
      <c r="K54">
        <f>IF(Rules!$B$7=Rules!$E$7,MAX(Hit!K54,Stand!K54,Double!K54,Surrender!K54),MAX(Hit!K54,Stand!K54,Double!K54))</f>
        <v>0.88857566147738598</v>
      </c>
      <c r="N54" s="31">
        <v>31</v>
      </c>
      <c r="O54" s="31" t="str">
        <f>IF(B54=Surrender!B54,"R",HSD!O54)</f>
        <v>S</v>
      </c>
      <c r="P54" s="31" t="str">
        <f>IF(C54=Surrender!C54,"R",HSD!P54)</f>
        <v>S</v>
      </c>
      <c r="Q54" s="31" t="str">
        <f>IF(D54=Surrender!D54,"R",HSD!Q54)</f>
        <v>S</v>
      </c>
      <c r="R54" s="31" t="str">
        <f>IF(E54=Surrender!E54,"R",HSD!R54)</f>
        <v>S</v>
      </c>
      <c r="S54" s="31" t="str">
        <f>IF(F54=Surrender!F54,"R",HSD!S54)</f>
        <v>S</v>
      </c>
      <c r="T54" s="31" t="str">
        <f>IF(G54=Surrender!G54,"R",HSD!T54)</f>
        <v>S</v>
      </c>
      <c r="U54" s="31" t="str">
        <f>IF(H54=Surrender!H54,"R",HSD!U54)</f>
        <v>S</v>
      </c>
      <c r="V54" s="31" t="str">
        <f>IF(I54=Surrender!I54,"R",HSD!V54)</f>
        <v>S</v>
      </c>
      <c r="W54" s="31" t="str">
        <f>IF(J54=Surrender!J54,"R",HSD!W54)</f>
        <v>S</v>
      </c>
      <c r="X54" s="31" t="str">
        <f>IF(K54=Surrender!K54,"R",HSD!X54)</f>
        <v>S</v>
      </c>
    </row>
  </sheetData>
  <sheetProtection sheet="1" objects="1" scenarios="1"/>
  <phoneticPr fontId="16" type="noConversion"/>
  <conditionalFormatting sqref="O2:X31">
    <cfRule type="containsText" dxfId="1005" priority="14" operator="containsText" text="S">
      <formula>NOT(ISERROR(SEARCH("S",O2)))</formula>
    </cfRule>
    <cfRule type="containsText" dxfId="1004" priority="15" operator="containsText" text="H">
      <formula>NOT(ISERROR(SEARCH("H",O2)))</formula>
    </cfRule>
  </conditionalFormatting>
  <conditionalFormatting sqref="O2:X31">
    <cfRule type="containsText" dxfId="1003" priority="13" operator="containsText" text="D">
      <formula>NOT(ISERROR(SEARCH("D",O2)))</formula>
    </cfRule>
  </conditionalFormatting>
  <conditionalFormatting sqref="O2:X31">
    <cfRule type="containsText" dxfId="1002" priority="9" operator="containsText" text="R">
      <formula>NOT(ISERROR(SEARCH("R",O2)))</formula>
    </cfRule>
  </conditionalFormatting>
  <conditionalFormatting sqref="O34:X54">
    <cfRule type="containsText" dxfId="1001" priority="3" operator="containsText" text="S">
      <formula>NOT(ISERROR(SEARCH("S",O34)))</formula>
    </cfRule>
    <cfRule type="containsText" dxfId="1000" priority="4" operator="containsText" text="H">
      <formula>NOT(ISERROR(SEARCH("H",O34)))</formula>
    </cfRule>
  </conditionalFormatting>
  <conditionalFormatting sqref="O34:X54">
    <cfRule type="containsText" dxfId="999" priority="2" operator="containsText" text="D">
      <formula>NOT(ISERROR(SEARCH("D",O34)))</formula>
    </cfRule>
  </conditionalFormatting>
  <conditionalFormatting sqref="O34:X54">
    <cfRule type="containsText" dxfId="998" priority="1" operator="containsText" text="R">
      <formula>NOT(ISERROR(SEARCH("R",O34)))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2</vt:i4>
      </vt:variant>
    </vt:vector>
  </HeadingPairs>
  <TitlesOfParts>
    <vt:vector size="55" baseType="lpstr">
      <vt:lpstr>Rules</vt:lpstr>
      <vt:lpstr>Dealer</vt:lpstr>
      <vt:lpstr>Stand</vt:lpstr>
      <vt:lpstr>Hit</vt:lpstr>
      <vt:lpstr>HS</vt:lpstr>
      <vt:lpstr>Double</vt:lpstr>
      <vt:lpstr>HSD</vt:lpstr>
      <vt:lpstr>Surrender</vt:lpstr>
      <vt:lpstr>HSDR</vt:lpstr>
      <vt:lpstr>Pair</vt:lpstr>
      <vt:lpstr>Blackjack</vt:lpstr>
      <vt:lpstr>Prob</vt:lpstr>
      <vt:lpstr>5 Cards</vt:lpstr>
      <vt:lpstr>Three 7 Cards</vt:lpstr>
      <vt:lpstr>ER</vt:lpstr>
      <vt:lpstr>Summary</vt:lpstr>
      <vt:lpstr>EV</vt:lpstr>
      <vt:lpstr>WL Prob</vt:lpstr>
      <vt:lpstr>Analysis</vt:lpstr>
      <vt:lpstr>1x2</vt:lpstr>
      <vt:lpstr>1x3</vt:lpstr>
      <vt:lpstr>1x4</vt:lpstr>
      <vt:lpstr>1x5</vt:lpstr>
      <vt:lpstr>1x6</vt:lpstr>
      <vt:lpstr>1x7</vt:lpstr>
      <vt:lpstr>1x8</vt:lpstr>
      <vt:lpstr>1x9</vt:lpstr>
      <vt:lpstr>1x10</vt:lpstr>
      <vt:lpstr>2x3</vt:lpstr>
      <vt:lpstr>2x4</vt:lpstr>
      <vt:lpstr>2x5</vt:lpstr>
      <vt:lpstr>2x6</vt:lpstr>
      <vt:lpstr>2x7</vt:lpstr>
      <vt:lpstr>2x8</vt:lpstr>
      <vt:lpstr>2x9</vt:lpstr>
      <vt:lpstr>2x10</vt:lpstr>
      <vt:lpstr>3x4</vt:lpstr>
      <vt:lpstr>3x5</vt:lpstr>
      <vt:lpstr>3x6</vt:lpstr>
      <vt:lpstr>3x7</vt:lpstr>
      <vt:lpstr>3x8</vt:lpstr>
      <vt:lpstr>3x9</vt:lpstr>
      <vt:lpstr>3x10</vt:lpstr>
      <vt:lpstr>4x4</vt:lpstr>
      <vt:lpstr>4x5</vt:lpstr>
      <vt:lpstr>4x6</vt:lpstr>
      <vt:lpstr>4x7</vt:lpstr>
      <vt:lpstr>4x8</vt:lpstr>
      <vt:lpstr>4x9</vt:lpstr>
      <vt:lpstr>4x10</vt:lpstr>
      <vt:lpstr>Strategy Summary</vt:lpstr>
      <vt:lpstr>Strategy Summary (2)</vt:lpstr>
      <vt:lpstr>Final</vt:lpstr>
      <vt:lpstr>Final!Print_Area</vt:lpstr>
      <vt:lpstr>Rules!Print_Area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Atipat Lorwong-ngam</dc:creator>
  <cp:lastModifiedBy>宗保 罗</cp:lastModifiedBy>
  <cp:lastPrinted>2019-09-17T17:17:29Z</cp:lastPrinted>
  <dcterms:created xsi:type="dcterms:W3CDTF">2015-03-11T15:17:04Z</dcterms:created>
  <dcterms:modified xsi:type="dcterms:W3CDTF">2019-11-22T00:50:17Z</dcterms:modified>
</cp:coreProperties>
</file>