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en_skoroszyt"/>
  <mc:AlternateContent xmlns:mc="http://schemas.openxmlformats.org/markup-compatibility/2006">
    <mc:Choice Requires="x15">
      <x15ac:absPath xmlns:x15ac="http://schemas.microsoft.com/office/spreadsheetml/2010/11/ac" url="/Users/rafallubkowski/Downloads/"/>
    </mc:Choice>
  </mc:AlternateContent>
  <xr:revisionPtr revIDLastSave="0" documentId="8_{E795EB5C-9725-314B-866F-3E8B197635FC}" xr6:coauthVersionLast="47" xr6:coauthVersionMax="47" xr10:uidLastSave="{00000000-0000-0000-0000-000000000000}"/>
  <bookViews>
    <workbookView xWindow="0" yWindow="0" windowWidth="38400" windowHeight="21600" activeTab="7" xr2:uid="{CC4B20A3-871E-4F4A-BB81-53F37D997F82}"/>
  </bookViews>
  <sheets>
    <sheet name="Wstęp" sheetId="4" r:id="rId1"/>
    <sheet name="Dane" sheetId="8" r:id="rId2"/>
    <sheet name="Zapoznanie się ze spółką" sheetId="9" state="hidden" r:id="rId3"/>
    <sheet name="Analiza Wstępna" sheetId="7" r:id="rId4"/>
    <sheet name="Sprawozdanie" sheetId="5" state="hidden" r:id="rId5"/>
    <sheet name="Analiza płynności i zadłużenia" sheetId="2" r:id="rId6"/>
    <sheet name="Analiza rentowności i sprawnośc" sheetId="3" r:id="rId7"/>
    <sheet name="Wskaźniki Finansowe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8" i="1"/>
  <c r="P52" i="7"/>
  <c r="Q53" i="7"/>
  <c r="R53" i="7"/>
  <c r="P53" i="7"/>
  <c r="AB11" i="3"/>
  <c r="Z11" i="3"/>
  <c r="X11" i="3"/>
  <c r="L5" i="7"/>
  <c r="M17" i="3"/>
  <c r="B65" i="2"/>
  <c r="C65" i="2"/>
  <c r="D65" i="2"/>
  <c r="X5" i="3"/>
  <c r="B54" i="2"/>
  <c r="J12" i="1"/>
  <c r="J17" i="1"/>
  <c r="I20" i="8" l="1"/>
  <c r="J6" i="1"/>
  <c r="B40" i="2"/>
  <c r="C40" i="2"/>
  <c r="D40" i="2"/>
  <c r="B41" i="2"/>
  <c r="C41" i="2"/>
  <c r="D41" i="2"/>
  <c r="B42" i="2"/>
  <c r="C42" i="2"/>
  <c r="D42" i="2"/>
  <c r="B51" i="2" l="1"/>
  <c r="X9" i="3"/>
  <c r="Z9" i="3"/>
  <c r="AB9" i="3"/>
  <c r="AB5" i="3"/>
  <c r="Z5" i="3"/>
  <c r="K15" i="3"/>
  <c r="C48" i="2"/>
  <c r="D48" i="2"/>
  <c r="B48" i="2"/>
  <c r="X7" i="3"/>
  <c r="C53" i="2"/>
  <c r="D53" i="2"/>
  <c r="B53" i="2"/>
  <c r="C52" i="2"/>
  <c r="D52" i="2"/>
  <c r="B52" i="2"/>
  <c r="C51" i="2"/>
  <c r="D51" i="2"/>
  <c r="C54" i="2"/>
  <c r="D54" i="2"/>
  <c r="K11" i="1"/>
  <c r="J11" i="1"/>
  <c r="J10" i="1"/>
  <c r="K12" i="1"/>
  <c r="L12" i="1"/>
  <c r="I16" i="7"/>
  <c r="I15" i="7"/>
  <c r="J15" i="7"/>
  <c r="R52" i="7"/>
  <c r="Q72" i="7"/>
  <c r="N41" i="8"/>
  <c r="N33" i="8"/>
  <c r="H34" i="8"/>
  <c r="I33" i="8"/>
  <c r="H26" i="8"/>
  <c r="H28" i="8" s="1"/>
  <c r="H29" i="8" s="1"/>
  <c r="H21" i="8"/>
  <c r="K20" i="8"/>
  <c r="J20" i="8"/>
  <c r="H20" i="8"/>
  <c r="H8" i="8"/>
  <c r="H13" i="8" s="1"/>
  <c r="H16" i="8" s="1"/>
  <c r="H18" i="8" s="1"/>
  <c r="B35" i="8"/>
  <c r="B28" i="8"/>
  <c r="B21" i="8"/>
  <c r="B19" i="8"/>
  <c r="B11" i="8"/>
  <c r="B5" i="8"/>
  <c r="O17" i="3"/>
  <c r="O21" i="3"/>
  <c r="M21" i="3"/>
  <c r="K21" i="3"/>
  <c r="K19" i="3"/>
  <c r="O19" i="3"/>
  <c r="M19" i="3"/>
  <c r="M13" i="3"/>
  <c r="O5" i="3"/>
  <c r="M5" i="3"/>
  <c r="K5" i="3"/>
  <c r="O7" i="3"/>
  <c r="M7" i="3"/>
  <c r="K7" i="3"/>
  <c r="O9" i="3"/>
  <c r="K9" i="3"/>
  <c r="M9" i="3"/>
  <c r="O11" i="3"/>
  <c r="M11" i="3"/>
  <c r="K11" i="3"/>
  <c r="O15" i="3"/>
  <c r="M15" i="3"/>
  <c r="K13" i="3"/>
  <c r="B67" i="2"/>
  <c r="C67" i="2"/>
  <c r="D67" i="2"/>
  <c r="K17" i="3"/>
  <c r="O13" i="3"/>
  <c r="I24" i="7"/>
  <c r="J24" i="7"/>
  <c r="M24" i="7"/>
  <c r="N24" i="7"/>
  <c r="K24" i="7"/>
  <c r="K10" i="1"/>
  <c r="L10" i="1"/>
  <c r="L11" i="1"/>
  <c r="U72" i="7"/>
  <c r="S72" i="7"/>
  <c r="M5" i="7"/>
  <c r="F52" i="7"/>
  <c r="N13" i="7"/>
  <c r="L41" i="7"/>
  <c r="Q52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G68" i="7"/>
  <c r="H68" i="7"/>
  <c r="F68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B82" i="7"/>
  <c r="B75" i="7"/>
  <c r="B68" i="7"/>
  <c r="B66" i="7"/>
  <c r="B58" i="7"/>
  <c r="B52" i="7"/>
  <c r="L13" i="7"/>
  <c r="L14" i="7"/>
  <c r="L15" i="7"/>
  <c r="L16" i="7"/>
  <c r="L17" i="7"/>
  <c r="L18" i="7"/>
  <c r="L22" i="7"/>
  <c r="L23" i="7"/>
  <c r="L24" i="7"/>
  <c r="L25" i="7"/>
  <c r="L26" i="7"/>
  <c r="L27" i="7"/>
  <c r="L29" i="7"/>
  <c r="L30" i="7"/>
  <c r="L32" i="7"/>
  <c r="L33" i="7"/>
  <c r="L34" i="7"/>
  <c r="L36" i="7"/>
  <c r="L37" i="7"/>
  <c r="L38" i="7"/>
  <c r="L39" i="7"/>
  <c r="L40" i="7"/>
  <c r="L42" i="7"/>
  <c r="L43" i="7"/>
  <c r="L6" i="7"/>
  <c r="L7" i="7"/>
  <c r="L8" i="7"/>
  <c r="L9" i="7"/>
  <c r="L12" i="7"/>
  <c r="F6" i="7"/>
  <c r="I6" i="7" s="1"/>
  <c r="F7" i="7"/>
  <c r="I7" i="7" s="1"/>
  <c r="F8" i="7"/>
  <c r="I8" i="7" s="1"/>
  <c r="F9" i="7"/>
  <c r="I9" i="7" s="1"/>
  <c r="F10" i="7"/>
  <c r="F12" i="7"/>
  <c r="I12" i="7" s="1"/>
  <c r="F13" i="7"/>
  <c r="I13" i="7" s="1"/>
  <c r="F14" i="7"/>
  <c r="I14" i="7" s="1"/>
  <c r="F15" i="7"/>
  <c r="F16" i="7"/>
  <c r="F17" i="7"/>
  <c r="I17" i="7" s="1"/>
  <c r="F18" i="7"/>
  <c r="I18" i="7" s="1"/>
  <c r="F20" i="7"/>
  <c r="F22" i="7"/>
  <c r="I22" i="7" s="1"/>
  <c r="F23" i="7"/>
  <c r="I23" i="7" s="1"/>
  <c r="F24" i="7"/>
  <c r="F25" i="7"/>
  <c r="I25" i="7" s="1"/>
  <c r="F26" i="7"/>
  <c r="I26" i="7" s="1"/>
  <c r="F27" i="7"/>
  <c r="I27" i="7" s="1"/>
  <c r="F29" i="7"/>
  <c r="I29" i="7" s="1"/>
  <c r="F30" i="7"/>
  <c r="I30" i="7" s="1"/>
  <c r="F32" i="7"/>
  <c r="I32" i="7" s="1"/>
  <c r="F33" i="7"/>
  <c r="I33" i="7" s="1"/>
  <c r="F34" i="7"/>
  <c r="I34" i="7" s="1"/>
  <c r="F36" i="7"/>
  <c r="I36" i="7" s="1"/>
  <c r="F37" i="7"/>
  <c r="I37" i="7" s="1"/>
  <c r="F38" i="7"/>
  <c r="I38" i="7" s="1"/>
  <c r="F39" i="7"/>
  <c r="I39" i="7" s="1"/>
  <c r="F40" i="7"/>
  <c r="I40" i="7" s="1"/>
  <c r="F41" i="7"/>
  <c r="I41" i="7" s="1"/>
  <c r="F42" i="7"/>
  <c r="I42" i="7" s="1"/>
  <c r="F43" i="7"/>
  <c r="I43" i="7" s="1"/>
  <c r="N5" i="7"/>
  <c r="N6" i="7"/>
  <c r="N7" i="7"/>
  <c r="N8" i="7"/>
  <c r="N9" i="7"/>
  <c r="N11" i="7"/>
  <c r="N12" i="7"/>
  <c r="N14" i="7"/>
  <c r="N16" i="7"/>
  <c r="N17" i="7"/>
  <c r="N19" i="7"/>
  <c r="N21" i="7"/>
  <c r="N22" i="7"/>
  <c r="N23" i="7"/>
  <c r="N25" i="7"/>
  <c r="N26" i="7"/>
  <c r="N27" i="7"/>
  <c r="N28" i="7"/>
  <c r="N29" i="7"/>
  <c r="N30" i="7"/>
  <c r="N33" i="7"/>
  <c r="N34" i="7"/>
  <c r="N35" i="7"/>
  <c r="N36" i="7"/>
  <c r="N37" i="7"/>
  <c r="N38" i="7"/>
  <c r="N39" i="7"/>
  <c r="N40" i="7"/>
  <c r="N41" i="7"/>
  <c r="N42" i="7"/>
  <c r="N43" i="7"/>
  <c r="N44" i="7"/>
  <c r="M6" i="7"/>
  <c r="M7" i="7"/>
  <c r="M8" i="7"/>
  <c r="M9" i="7"/>
  <c r="M11" i="7"/>
  <c r="M12" i="7"/>
  <c r="M13" i="7"/>
  <c r="M14" i="7"/>
  <c r="M16" i="7"/>
  <c r="M17" i="7"/>
  <c r="M19" i="7"/>
  <c r="M21" i="7"/>
  <c r="M22" i="7"/>
  <c r="M23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G6" i="7"/>
  <c r="J6" i="7" s="1"/>
  <c r="H6" i="7"/>
  <c r="K6" i="7" s="1"/>
  <c r="G7" i="7"/>
  <c r="J7" i="7" s="1"/>
  <c r="H7" i="7"/>
  <c r="K7" i="7" s="1"/>
  <c r="G8" i="7"/>
  <c r="J8" i="7" s="1"/>
  <c r="H8" i="7"/>
  <c r="K8" i="7" s="1"/>
  <c r="G9" i="7"/>
  <c r="J9" i="7" s="1"/>
  <c r="H9" i="7"/>
  <c r="K9" i="7" s="1"/>
  <c r="G10" i="7"/>
  <c r="H10" i="7"/>
  <c r="G11" i="7"/>
  <c r="J11" i="7" s="1"/>
  <c r="H11" i="7"/>
  <c r="K11" i="7" s="1"/>
  <c r="G12" i="7"/>
  <c r="J12" i="7" s="1"/>
  <c r="H12" i="7"/>
  <c r="K12" i="7" s="1"/>
  <c r="G13" i="7"/>
  <c r="J13" i="7" s="1"/>
  <c r="H13" i="7"/>
  <c r="K13" i="7" s="1"/>
  <c r="G14" i="7"/>
  <c r="J14" i="7" s="1"/>
  <c r="H14" i="7"/>
  <c r="K14" i="7" s="1"/>
  <c r="G15" i="7"/>
  <c r="H15" i="7"/>
  <c r="K15" i="7" s="1"/>
  <c r="G16" i="7"/>
  <c r="J16" i="7" s="1"/>
  <c r="H16" i="7"/>
  <c r="K16" i="7" s="1"/>
  <c r="G17" i="7"/>
  <c r="J17" i="7" s="1"/>
  <c r="H17" i="7"/>
  <c r="K17" i="7" s="1"/>
  <c r="G18" i="7"/>
  <c r="J18" i="7" s="1"/>
  <c r="H18" i="7"/>
  <c r="K18" i="7" s="1"/>
  <c r="G19" i="7"/>
  <c r="J19" i="7" s="1"/>
  <c r="H19" i="7"/>
  <c r="K19" i="7" s="1"/>
  <c r="G21" i="7"/>
  <c r="J21" i="7" s="1"/>
  <c r="H21" i="7"/>
  <c r="K21" i="7" s="1"/>
  <c r="G22" i="7"/>
  <c r="J22" i="7" s="1"/>
  <c r="H22" i="7"/>
  <c r="K22" i="7" s="1"/>
  <c r="G23" i="7"/>
  <c r="J23" i="7" s="1"/>
  <c r="H23" i="7"/>
  <c r="K23" i="7" s="1"/>
  <c r="G24" i="7"/>
  <c r="H24" i="7"/>
  <c r="G25" i="7"/>
  <c r="J25" i="7" s="1"/>
  <c r="H25" i="7"/>
  <c r="K25" i="7" s="1"/>
  <c r="G26" i="7"/>
  <c r="J26" i="7" s="1"/>
  <c r="H26" i="7"/>
  <c r="K26" i="7" s="1"/>
  <c r="G27" i="7"/>
  <c r="J27" i="7" s="1"/>
  <c r="H27" i="7"/>
  <c r="K27" i="7" s="1"/>
  <c r="G28" i="7"/>
  <c r="J28" i="7" s="1"/>
  <c r="H28" i="7"/>
  <c r="K28" i="7" s="1"/>
  <c r="G29" i="7"/>
  <c r="J29" i="7" s="1"/>
  <c r="H29" i="7"/>
  <c r="K29" i="7" s="1"/>
  <c r="G30" i="7"/>
  <c r="J30" i="7" s="1"/>
  <c r="H30" i="7"/>
  <c r="K30" i="7" s="1"/>
  <c r="G31" i="7"/>
  <c r="J31" i="7" s="1"/>
  <c r="G32" i="7"/>
  <c r="J32" i="7" s="1"/>
  <c r="H32" i="7"/>
  <c r="G33" i="7"/>
  <c r="J33" i="7" s="1"/>
  <c r="H33" i="7"/>
  <c r="K33" i="7" s="1"/>
  <c r="G34" i="7"/>
  <c r="J34" i="7" s="1"/>
  <c r="H34" i="7"/>
  <c r="K34" i="7" s="1"/>
  <c r="G35" i="7"/>
  <c r="J35" i="7" s="1"/>
  <c r="H35" i="7"/>
  <c r="K35" i="7" s="1"/>
  <c r="G36" i="7"/>
  <c r="J36" i="7" s="1"/>
  <c r="H36" i="7"/>
  <c r="K36" i="7" s="1"/>
  <c r="G37" i="7"/>
  <c r="J37" i="7" s="1"/>
  <c r="H37" i="7"/>
  <c r="K37" i="7" s="1"/>
  <c r="G38" i="7"/>
  <c r="J38" i="7" s="1"/>
  <c r="H38" i="7"/>
  <c r="K38" i="7" s="1"/>
  <c r="G39" i="7"/>
  <c r="J39" i="7" s="1"/>
  <c r="H39" i="7"/>
  <c r="K39" i="7" s="1"/>
  <c r="G40" i="7"/>
  <c r="J40" i="7" s="1"/>
  <c r="H40" i="7"/>
  <c r="K40" i="7" s="1"/>
  <c r="G41" i="7"/>
  <c r="J41" i="7" s="1"/>
  <c r="H41" i="7"/>
  <c r="K41" i="7" s="1"/>
  <c r="G42" i="7"/>
  <c r="J42" i="7" s="1"/>
  <c r="H42" i="7"/>
  <c r="K42" i="7" s="1"/>
  <c r="G43" i="7"/>
  <c r="J43" i="7" s="1"/>
  <c r="H43" i="7"/>
  <c r="K43" i="7" s="1"/>
  <c r="G44" i="7"/>
  <c r="J44" i="7" s="1"/>
  <c r="H44" i="7"/>
  <c r="K44" i="7" s="1"/>
  <c r="H5" i="7"/>
  <c r="K5" i="7" s="1"/>
  <c r="G5" i="7"/>
  <c r="J5" i="7" s="1"/>
  <c r="B35" i="7"/>
  <c r="B28" i="7"/>
  <c r="B21" i="7"/>
  <c r="B19" i="7"/>
  <c r="B11" i="7"/>
  <c r="B5" i="7"/>
  <c r="K16" i="1"/>
  <c r="L16" i="1"/>
  <c r="J16" i="1"/>
  <c r="K17" i="1"/>
  <c r="L17" i="1"/>
  <c r="K18" i="1"/>
  <c r="L18" i="1"/>
  <c r="K15" i="1"/>
  <c r="L15" i="1"/>
  <c r="J15" i="1"/>
  <c r="K14" i="1"/>
  <c r="L14" i="1"/>
  <c r="J14" i="1"/>
  <c r="K13" i="1"/>
  <c r="L13" i="1"/>
  <c r="L9" i="1"/>
  <c r="J9" i="1"/>
  <c r="K9" i="1"/>
  <c r="K8" i="1"/>
  <c r="L8" i="1"/>
  <c r="J8" i="1"/>
  <c r="C18" i="2"/>
  <c r="J7" i="1" s="1"/>
  <c r="D18" i="2"/>
  <c r="K7" i="1" s="1"/>
  <c r="E18" i="2"/>
  <c r="L7" i="1" s="1"/>
  <c r="B18" i="2"/>
  <c r="K6" i="1"/>
  <c r="L6" i="1"/>
  <c r="K5" i="1"/>
  <c r="L5" i="1"/>
  <c r="B39" i="3"/>
  <c r="B31" i="3"/>
  <c r="B32" i="2"/>
  <c r="B24" i="2"/>
  <c r="B26" i="2" s="1"/>
  <c r="B27" i="2" s="1"/>
  <c r="B19" i="2"/>
  <c r="B6" i="2"/>
  <c r="B11" i="2" s="1"/>
  <c r="B14" i="2" s="1"/>
  <c r="B16" i="2" s="1"/>
  <c r="B35" i="1"/>
  <c r="B28" i="1"/>
  <c r="B21" i="1"/>
  <c r="B11" i="1"/>
  <c r="B5" i="1"/>
  <c r="B19" i="1"/>
  <c r="J5" i="1" s="1"/>
  <c r="C31" i="2"/>
  <c r="B44" i="8" l="1"/>
  <c r="F5" i="7"/>
  <c r="I5" i="7" s="1"/>
  <c r="F11" i="7"/>
  <c r="I11" i="7" s="1"/>
  <c r="L11" i="7"/>
  <c r="F19" i="7"/>
  <c r="I19" i="7" s="1"/>
  <c r="L19" i="7"/>
  <c r="F21" i="7"/>
  <c r="I21" i="7" s="1"/>
  <c r="L21" i="7"/>
  <c r="F28" i="7"/>
  <c r="I28" i="7" s="1"/>
  <c r="L28" i="7"/>
  <c r="F35" i="7"/>
  <c r="I35" i="7" s="1"/>
  <c r="L35" i="7"/>
  <c r="B91" i="7"/>
  <c r="B44" i="7"/>
  <c r="B44" i="1"/>
  <c r="F44" i="7" l="1"/>
  <c r="I44" i="7" s="1"/>
  <c r="L44" i="7"/>
</calcChain>
</file>

<file path=xl/sharedStrings.xml><?xml version="1.0" encoding="utf-8"?>
<sst xmlns="http://schemas.openxmlformats.org/spreadsheetml/2006/main" count="451" uniqueCount="191">
  <si>
    <t>Analiza finansowa spółki MO-BRUK</t>
  </si>
  <si>
    <t xml:space="preserve">Cel analizy: </t>
  </si>
  <si>
    <t>Struktura analizy:</t>
  </si>
  <si>
    <t>Bilans Mo-Bruk</t>
  </si>
  <si>
    <t>Analiza pozioma</t>
  </si>
  <si>
    <t>Zmiana</t>
  </si>
  <si>
    <t>Tempo zmian</t>
  </si>
  <si>
    <r>
      <rPr>
        <b/>
        <sz val="12"/>
        <color rgb="FF000000"/>
        <rFont val="Aptos Narrow"/>
        <family val="2"/>
        <scheme val="minor"/>
      </rPr>
      <t xml:space="preserve">Bilans Mo-Bruk </t>
    </r>
    <r>
      <rPr>
        <sz val="12"/>
        <color rgb="FF000000"/>
        <rFont val="Aptos Narrow"/>
        <family val="2"/>
        <scheme val="minor"/>
      </rPr>
      <t>w badanym okresie pokazuje dynamiczne zmiany strukturalne, w tym przesunięcia pomiędzy aktywami trwałymi i obrotowymi oraz różnorodne zmiany w strukturze finansowania. Aktywa trwałe wykazały znaczny wzrost w 2023 roku (66,98%) w porównaniu do 2022 roku, co wynika głównie ze zwiększenia wartości rzeczowych aktywów trwałych oraz akcji i udziałów. Przyrost akcji i udziałów o 3484,8% wskazuje na istotne inwestycje w tym obszarze.</t>
    </r>
  </si>
  <si>
    <t>20/21</t>
  </si>
  <si>
    <t>21/22</t>
  </si>
  <si>
    <t>22/23</t>
  </si>
  <si>
    <t>AKTYWA TRWAŁE</t>
  </si>
  <si>
    <t>Rzeczowe aktywa trwałe</t>
  </si>
  <si>
    <t>Pozostałe wartości niematerialne</t>
  </si>
  <si>
    <t>Akcje udziały</t>
  </si>
  <si>
    <t>Należności długoterminowe</t>
  </si>
  <si>
    <t>Pozostałe długoterminowe aktywa finansowe</t>
  </si>
  <si>
    <t>AKTYWA OBROTOWE</t>
  </si>
  <si>
    <t>Zapasy</t>
  </si>
  <si>
    <t>Należności z tytułu dostaw usług</t>
  </si>
  <si>
    <t>Pozostałe należności</t>
  </si>
  <si>
    <t>Pozostałe aktywa finansowe</t>
  </si>
  <si>
    <t>Środki pieniężne ich ekwiwalenty</t>
  </si>
  <si>
    <t>Rozliczenia międzyokresowe</t>
  </si>
  <si>
    <t>Rzeczowe akktywa trwałe przeznaczone do sprzedaży</t>
  </si>
  <si>
    <t>Aktywa razem</t>
  </si>
  <si>
    <t>KAPITAŁ (FUNDUSZ) WŁASNY</t>
  </si>
  <si>
    <t>Kapitał podstawowy</t>
  </si>
  <si>
    <t>Kapitał zapasowy z emisji akcji</t>
  </si>
  <si>
    <t>Kapitał zapasowy z zysku zatrzymanego</t>
  </si>
  <si>
    <t xml:space="preserve">Kapitał rezerwowy z umorzenia akcji </t>
  </si>
  <si>
    <t>Kapitał rezerwowy z przesacowania aktywow</t>
  </si>
  <si>
    <t>Zyski zatrzymane</t>
  </si>
  <si>
    <t>ZOBOWIĄZANIA DŁUGOTERMINOWE</t>
  </si>
  <si>
    <t>Rezerwa z tytułu odroczonego podatku dochodowego</t>
  </si>
  <si>
    <t>Rezerwa na świadczenia emerytalne podobne</t>
  </si>
  <si>
    <t>Pozostałe rezerwy</t>
  </si>
  <si>
    <t>-</t>
  </si>
  <si>
    <t>Kredyty pożyczki</t>
  </si>
  <si>
    <t>Inne zobowiązania finansowe</t>
  </si>
  <si>
    <t>Przychody przyszłych okresów - dotacja</t>
  </si>
  <si>
    <t>ZOBOWIĄZANIA KRÓTKOTERMINOWE</t>
  </si>
  <si>
    <t>Zobowiązania z tytułu dostaw usług</t>
  </si>
  <si>
    <t>Zobowiązania z tytułu bieżącego podatku dochodowego</t>
  </si>
  <si>
    <t>Rezerwy na świadczenia emerytalne podobne</t>
  </si>
  <si>
    <t>Pozostałe rezerwy krótkoterminowe</t>
  </si>
  <si>
    <t>Pozostałe zobowiązania</t>
  </si>
  <si>
    <t>Przychody przyszłych okresów - dotacje</t>
  </si>
  <si>
    <t>Pasywa razem</t>
  </si>
  <si>
    <t>Analiza pionowa</t>
  </si>
  <si>
    <t>Złota reguła bilansowa</t>
  </si>
  <si>
    <t>Srebrna reguła bilansowa</t>
  </si>
  <si>
    <t>Rentowność operacyjna aktywów</t>
  </si>
  <si>
    <t>Rentowność kapitału własnego</t>
  </si>
  <si>
    <t>Rentowność netto</t>
  </si>
  <si>
    <t>Rentowność sprzedaży</t>
  </si>
  <si>
    <t>Rentowność ekonomiczna sprzedaży</t>
  </si>
  <si>
    <t>Płynność finansowa 3 stopnia</t>
  </si>
  <si>
    <t>Spływ należności</t>
  </si>
  <si>
    <t>Spłata zobowiązań</t>
  </si>
  <si>
    <t>Szybkość obrotu zapasów</t>
  </si>
  <si>
    <t>Pokrycie aktywów trwałych kapitałem własnym i rezerwami długoterminowymi</t>
  </si>
  <si>
    <t>Trwałość struktury finansowania</t>
  </si>
  <si>
    <t>Ogólne zadłużenie</t>
  </si>
  <si>
    <t>Sprawozdanie z wyniku</t>
  </si>
  <si>
    <t>Działalność kontynuowana</t>
  </si>
  <si>
    <t>Przychody ze sprzedaży</t>
  </si>
  <si>
    <t>Koszt własny sprzedaży</t>
  </si>
  <si>
    <t>ZYSK (STRATA) BRUTTO ZE SPRZEDAŻY</t>
  </si>
  <si>
    <t>Koszty sprzedaży</t>
  </si>
  <si>
    <t>Koszty ogólnego zarządu</t>
  </si>
  <si>
    <t>Pozostałe przychody operacyjne</t>
  </si>
  <si>
    <t>Pozostałe koszty operacyjne</t>
  </si>
  <si>
    <t>ZYSK (STRATA) NA DZIAŁALNOŚCI OPERACYJNEJ</t>
  </si>
  <si>
    <t>Przychody finansowe</t>
  </si>
  <si>
    <t>Koszty finansowe</t>
  </si>
  <si>
    <t>ZYSK (STRATA) PRZED OPODATKOWANIEM</t>
  </si>
  <si>
    <t>Podatek dochodowy</t>
  </si>
  <si>
    <t>ZYSK (STRATA) NETTO Z DZIAŁALNOŚCI KONTYNUOWANEJ</t>
  </si>
  <si>
    <t>Zysk (strata) netto z działalności zaniechanej</t>
  </si>
  <si>
    <t xml:space="preserve">Przychody ogółem </t>
  </si>
  <si>
    <t>ZYSK (STRATA) NETTO</t>
  </si>
  <si>
    <t>Zysk na jedną akcję (w zł/gr na jedną akcję)</t>
  </si>
  <si>
    <t>Z działalności kontynuowanej i zaniechanej</t>
  </si>
  <si>
    <t>Zwykły</t>
  </si>
  <si>
    <t>Rozwodniony</t>
  </si>
  <si>
    <t>Z działalności kontynuowanej</t>
  </si>
  <si>
    <t>Sprawozdanie z wyniku i pozostałych całkowitych dochodów</t>
  </si>
  <si>
    <t>Inne całkowite dochody</t>
  </si>
  <si>
    <t>Całkowite dochody ogółem</t>
  </si>
  <si>
    <t>Sprawozdanie przepływów pieniężnych (metoda pośrednia)</t>
  </si>
  <si>
    <t>PRZEPŁYWY ŚRODKÓW PIENIĘŻNYCH Z DZIAŁALNOŚCI OPERACYJNEJ</t>
  </si>
  <si>
    <t>Zysk (strata) przed opodatkowaniem</t>
  </si>
  <si>
    <t>Korekty razem</t>
  </si>
  <si>
    <t>Amortyzacja</t>
  </si>
  <si>
    <t>Przychody z tyt odsetek</t>
  </si>
  <si>
    <t>Koszty Odsetki</t>
  </si>
  <si>
    <t>Udziały w zyskach - otrzymana dywidenda</t>
  </si>
  <si>
    <t>Zysk (strata) ze sprzedaży składników aktywów trwałych</t>
  </si>
  <si>
    <t>Zaniechane inwestycje</t>
  </si>
  <si>
    <t>Zmiany w kapitale obrotowym</t>
  </si>
  <si>
    <t>Zmiana stanu rezerw</t>
  </si>
  <si>
    <t>Zmiana stanu zapasów</t>
  </si>
  <si>
    <t>Zmiana stanu należności</t>
  </si>
  <si>
    <t>Zmiana stanu zob. krótkot, z wyjątkiem zobowiązań fin.</t>
  </si>
  <si>
    <t>Zmiana stanu przychodów przyszłych okresów - dotacja</t>
  </si>
  <si>
    <t>Inne korekty</t>
  </si>
  <si>
    <t>Środki pieniężne wygenerowane w toku działalności operacyjnej</t>
  </si>
  <si>
    <t>Podatek dochodowy od zysku przed opodatkowaniem</t>
  </si>
  <si>
    <t>Przepływy pieniężne netto z działalności operacyjnej</t>
  </si>
  <si>
    <t>PRZEPŁYWY ŚRODKÓW PIENIĘŻNYCH Z DZIAŁALNOŚCI INWESTYCYJNEJ</t>
  </si>
  <si>
    <t>Wpływy finansowe - dywidenda</t>
  </si>
  <si>
    <t xml:space="preserve">Zakup obliacji </t>
  </si>
  <si>
    <t>Wydatki na nabycie rzeczowych aktywów trwałych</t>
  </si>
  <si>
    <t xml:space="preserve">Wydatki na nabycie jednostek zależnych </t>
  </si>
  <si>
    <t>Pożyczki udzielone</t>
  </si>
  <si>
    <t>Otrzymane odsetki</t>
  </si>
  <si>
    <t>Wpływy ze sprzedaży rzeczowych aktywów trwałych</t>
  </si>
  <si>
    <t>Wpływy z wykupu obligacji</t>
  </si>
  <si>
    <t xml:space="preserve">Przepływy pieniężne netto z  działalności inwestycyjnej </t>
  </si>
  <si>
    <t>PRZEPŁYWY ŚRODKÓW PIENIĘŻNYCH Z DZIAŁALNOŚCI FINANSOWEJ</t>
  </si>
  <si>
    <t>wpływy z tytułu zaciągnięcia kredytów i poźyczek</t>
  </si>
  <si>
    <t>nabycie i umorzenie akcji własnych</t>
  </si>
  <si>
    <t>Spłaty kredytów pożyczek</t>
  </si>
  <si>
    <t>Spłata zobowiązań z tytułu leasingu</t>
  </si>
  <si>
    <t>Dywidendy wypłacone</t>
  </si>
  <si>
    <t>Odsetki zapłacone</t>
  </si>
  <si>
    <t xml:space="preserve">Przepływy pieniężne netto z  działalności finansowej </t>
  </si>
  <si>
    <t>ZWIĘKSZENIE/ ZMNIEJSZENIE STANU  ŚRODKÓW  PIENIĘŻNYCH I EKWIWALENTÓW PRZED SKUTKAMI ZMIAN KURSÓW WYMIANY</t>
  </si>
  <si>
    <t>BILANSOWA ZMIANA STANU ŚRODKÓW PIENIĘŻNYCH ICH EKWIWALENTÓW</t>
  </si>
  <si>
    <t>ŚRODKI PIENIĘŻNE i ICH EKWIWALENTY NA POCZĄTEK OKRESU</t>
  </si>
  <si>
    <t>ŚRODKI PIENIĘŻNE i ICH EKWIWALENTY NA KONIEC OKRESU</t>
  </si>
  <si>
    <t>- w tym o ograniczonej możliwości dysponowania</t>
  </si>
  <si>
    <t xml:space="preserve">Wstępne wnioski: </t>
  </si>
  <si>
    <r>
      <t>Większy udział aktywów bieżących pokazuje, że firma ma teraz w</t>
    </r>
    <r>
      <rPr>
        <b/>
        <sz val="12"/>
        <color theme="1"/>
        <rFont val="Aptos Narrow"/>
        <family val="2"/>
        <scheme val="minor"/>
      </rPr>
      <t>ięcej swobody w zarządzaniu swoimi środkami</t>
    </r>
    <r>
      <rPr>
        <sz val="12"/>
        <color theme="1"/>
        <rFont val="Aptos Narrow"/>
        <family val="2"/>
        <charset val="238"/>
        <scheme val="minor"/>
      </rPr>
      <t xml:space="preserve"> na co dzień. Jednocześnie jednak mniejszy udział aktywów trwałych może ograniczyć możliwości rozwoju w dłuższym czasie.</t>
    </r>
  </si>
  <si>
    <r>
      <t>Duży udział kapitału własnego oznacza, że</t>
    </r>
    <r>
      <rPr>
        <b/>
        <sz val="12"/>
        <color theme="1"/>
        <rFont val="Aptos Narrow"/>
        <family val="2"/>
        <scheme val="minor"/>
      </rPr>
      <t xml:space="preserve"> firma jest w dobrej kondycji finansowej</t>
    </r>
    <r>
      <rPr>
        <sz val="12"/>
        <color theme="1"/>
        <rFont val="Aptos Narrow"/>
        <family val="2"/>
        <charset val="238"/>
        <scheme val="minor"/>
      </rPr>
      <t xml:space="preserve"> i ma mniejsze ryzyko problemów ze spłatą zobowiązań.</t>
    </r>
  </si>
  <si>
    <r>
      <t xml:space="preserve">Większy udział krótkoterminowych zobowiązań może świadczyć o potrzebie większego finansowania bieżącej działalności lub </t>
    </r>
    <r>
      <rPr>
        <b/>
        <sz val="12"/>
        <color theme="1"/>
        <rFont val="Aptos Narrow"/>
        <family val="2"/>
        <scheme val="minor"/>
      </rPr>
      <t>wzmożonym ruchu finansowym</t>
    </r>
    <r>
      <rPr>
        <sz val="12"/>
        <color theme="1"/>
        <rFont val="Aptos Narrow"/>
        <family val="2"/>
        <charset val="238"/>
        <scheme val="minor"/>
      </rPr>
      <t xml:space="preserve"> w firmie.</t>
    </r>
  </si>
  <si>
    <r>
      <rPr>
        <b/>
        <sz val="12"/>
        <color theme="1"/>
        <rFont val="Aptos Narrow"/>
        <family val="2"/>
        <scheme val="minor"/>
      </rPr>
      <t>Większy udział aktywów trwałych</t>
    </r>
    <r>
      <rPr>
        <sz val="12"/>
        <color theme="1"/>
        <rFont val="Aptos Narrow"/>
        <family val="2"/>
        <charset val="238"/>
        <scheme val="minor"/>
      </rPr>
      <t xml:space="preserve"> może sugerować, że firma inwestuje bardziej w długoterminowy rozwój, co może wymagać dokładniejszej analizy.</t>
    </r>
  </si>
  <si>
    <r>
      <rPr>
        <b/>
        <sz val="12"/>
        <color rgb="FF000000"/>
        <rFont val="Aptos Narrow"/>
        <family val="2"/>
        <scheme val="minor"/>
      </rPr>
      <t>Analiza pionowa</t>
    </r>
    <r>
      <rPr>
        <sz val="12"/>
        <color rgb="FF000000"/>
        <rFont val="Aptos Narrow"/>
        <family val="2"/>
        <scheme val="minor"/>
      </rPr>
      <t xml:space="preserve"> wskazuje na wzrost zaangażowania w aktywa trwałe i inwestycje długoterminowe kosztem aktywów obrotowych. W analizowanym okresie widoczny jest znaczny wzrost udziału aktywów trwałych w aktywach ogółem, szczególnie w roku 2023, kiedy to osiągnęły one 79,7%. Może to wskazywać na zwiększoną inwestycję w rzeczowe aktywa trwałe. W roku 2023 znacząco wzrósł udział inwestycji w akcje i udziały, osiągając 20,2% aktywów ogółem. </t>
    </r>
    <r>
      <rPr>
        <b/>
        <sz val="12"/>
        <color rgb="FF000000"/>
        <rFont val="Aptos Narrow"/>
        <family val="2"/>
        <scheme val="minor"/>
      </rPr>
      <t>Złota reguła bilansowa</t>
    </r>
    <r>
      <rPr>
        <sz val="12"/>
        <color rgb="FF000000"/>
        <rFont val="Aptos Narrow"/>
        <family val="2"/>
        <scheme val="minor"/>
      </rPr>
      <t xml:space="preserve"> sugeruje, że coraz mniej aktywów trwałych jest finansowanych kapitałem własnym, zaś </t>
    </r>
    <r>
      <rPr>
        <b/>
        <sz val="12"/>
        <color rgb="FF000000"/>
        <rFont val="Aptos Narrow"/>
        <family val="2"/>
        <scheme val="minor"/>
      </rPr>
      <t>srebrna reguła bilansowa</t>
    </r>
    <r>
      <rPr>
        <sz val="12"/>
        <color rgb="FF000000"/>
        <rFont val="Aptos Narrow"/>
        <family val="2"/>
        <scheme val="minor"/>
      </rPr>
      <t xml:space="preserve"> utrzymuje się cały czas ponad 1, co oznacza, pokrycie aktywów trwałych kapitałem stałym. Trend ten jest jednak malejący.</t>
    </r>
  </si>
  <si>
    <t>Wskaźnik dynamiki (Łańcuchowy)</t>
  </si>
  <si>
    <t>Złota zasada finansowania</t>
  </si>
  <si>
    <t>Analiza płynności</t>
  </si>
  <si>
    <t>Wskaźnik ogólnej wystarczalności gotówki</t>
  </si>
  <si>
    <t>Wskaźniki statyczne</t>
  </si>
  <si>
    <t>Wskaźniki dynamiczne</t>
  </si>
  <si>
    <t>Analiza zadłużenia</t>
  </si>
  <si>
    <t>Wskaźnik zadłużenia kapitału własnego</t>
  </si>
  <si>
    <t>Wskaźniki</t>
  </si>
  <si>
    <t>Wskaźnik rotacji aktywów</t>
  </si>
  <si>
    <t>Wskaźnik rotacji aktywów trwałych</t>
  </si>
  <si>
    <t>Wskaźnik rotacji aktywów obrotowych</t>
  </si>
  <si>
    <t>Wskaźnik rotacji zapasów (krotność)</t>
  </si>
  <si>
    <t>Wskaźnik rotacji zapasów w dniach (cykl zapasów)</t>
  </si>
  <si>
    <t>Wskaźnik rotacji należności (krotność)</t>
  </si>
  <si>
    <t>Wskaźnik rotacji zobowiązań (krotność)</t>
  </si>
  <si>
    <t>Wskaźnik rotacji należności w dniach (cykl należności)</t>
  </si>
  <si>
    <t>Wskaźnik rentowności sprzedaży (ROS)</t>
  </si>
  <si>
    <t>Wskaźnik rentowności majątku (Stopa zwrotów aktywów)</t>
  </si>
  <si>
    <t>Wskaźnik rentowności kapitału własnego (stopa zwrotu kapitału)</t>
  </si>
  <si>
    <t>Wskaźnik pokrycia odsetek (krotność)</t>
  </si>
  <si>
    <t>Wskaźnik</t>
  </si>
  <si>
    <t>Analiza sprawności działania</t>
  </si>
  <si>
    <t>Analiza rentowności</t>
  </si>
  <si>
    <t>wskaźnik rotacji zobowiązań w dniach (cykl zobowiązań)</t>
  </si>
  <si>
    <t>Autorzy:</t>
  </si>
  <si>
    <t>Rafał Łubkowski, Kacper Łapot, Aleksander Jasiński</t>
  </si>
  <si>
    <t>Źródło danych:</t>
  </si>
  <si>
    <t>Sprawozdanie finansowe za 2023 r.</t>
  </si>
  <si>
    <t>Sprawozdanie finansowe za 2022 r.</t>
  </si>
  <si>
    <t>Sprawozdanie finansowe za 2021 r.</t>
  </si>
  <si>
    <t>Prezentacja wynikowa 16 maja 2024 r.</t>
  </si>
  <si>
    <t>Prezentacja wynikowa 29 sierpnia 2024 r.</t>
  </si>
  <si>
    <t>Informacja z Q1 2024</t>
  </si>
  <si>
    <t>informacja z Q2 2024</t>
  </si>
  <si>
    <t>Wskaźnik wydajności gotówkowej sprzedaży</t>
  </si>
  <si>
    <t>Wskaźnik wydajności gotówkowej aktywów</t>
  </si>
  <si>
    <t xml:space="preserve">Wskaźnik wydajności gotówkowej zysku </t>
  </si>
  <si>
    <t>Wskaźnik płynności bieżącej</t>
  </si>
  <si>
    <t xml:space="preserve">Wskaźnik płynnności szybkiej </t>
  </si>
  <si>
    <t xml:space="preserve">Wskaźnik płynności natychmiastowej </t>
  </si>
  <si>
    <t>Wskaźniki wystarczalności gotówki</t>
  </si>
  <si>
    <r>
      <t>Celem naszej analizy jest</t>
    </r>
    <r>
      <rPr>
        <b/>
        <sz val="12"/>
        <color rgb="FF000000"/>
        <rFont val="Aptos Narrow"/>
        <family val="2"/>
        <scheme val="minor"/>
      </rPr>
      <t xml:space="preserve"> ocena sytuacji finansowej spółki Mo-Bruk</t>
    </r>
    <r>
      <rPr>
        <sz val="12"/>
        <color rgb="FF000000"/>
        <rFont val="Aptos Narrow"/>
        <family val="2"/>
        <scheme val="minor"/>
      </rPr>
      <t>, krajowego lidera branży przetwarzania odpadów przemysłowych. Analiza ta zostanie przeprowadzona w oparciu o dane finansowe za lata 2020 (uwzględnione przy niektórych wskaźnikach), 2021, 2022 i 2023, zawarte w jednostkowych sprawozdaniach finansowych spółki. W szczególności skupimy się na bilansie, rachunku zysków i strat oraz rachunku przepływów pieniężnych, aby dokonać szczegółowej oceny struktury aktywów i pasywów, rentowności, płynności oraz efektywności operacyjnej spółki.</t>
    </r>
  </si>
  <si>
    <t>Wskaźnik struktury</t>
  </si>
  <si>
    <t>Wskaźnik wystarczalności gotówkowej na spłatę zobowiązań</t>
  </si>
  <si>
    <t>Wskaźniki sprawności działania</t>
  </si>
  <si>
    <t>Wskaźnik zadłużenia długoterminowego</t>
  </si>
  <si>
    <r>
      <t>2023</t>
    </r>
    <r>
      <rPr>
        <sz val="12"/>
        <color rgb="FF000000"/>
        <rFont val="Aptos Narrow"/>
      </rPr>
      <t> </t>
    </r>
  </si>
  <si>
    <t>Wskaźnik rentowności aktywów trwałych</t>
  </si>
  <si>
    <t xml:space="preserve">Płynność finansowa 1 stopnia </t>
  </si>
  <si>
    <t>Płynność finansowa 2 stopnia</t>
  </si>
  <si>
    <t>INTERPRETACJA OBLICZONYCH WSKAŹNIKÓW  W ZAŁĄCZONYM PLIKU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</si>
</sst>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zł&quot;_ ;_ * \(#,##0.00\)\ &quot;zł&quot;_ ;_ * &quot;-&quot;??_)\ &quot;zł&quot;_ ;_ @_ 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_ * #,##0_)\ &quot;zł&quot;_ ;_ * \(#,##0\)\ &quot;zł&quot;_ ;_ * &quot;-&quot;??_)\ &quot;zł&quot;_ ;_ @_ "/>
  </numFmts>
  <fonts count="25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4"/>
      <color theme="1"/>
      <name val="Aptos Narrow"/>
      <family val="2"/>
      <charset val="238"/>
      <scheme val="minor"/>
    </font>
    <font>
      <b/>
      <sz val="24"/>
      <color theme="1"/>
      <name val="Aptos Narrow"/>
      <family val="2"/>
      <charset val="238"/>
      <scheme val="minor"/>
    </font>
    <font>
      <b/>
      <sz val="14"/>
      <color rgb="FF000000"/>
      <name val="Aptos Narrow"/>
      <family val="2"/>
      <scheme val="minor"/>
    </font>
    <font>
      <b/>
      <sz val="26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b/>
      <sz val="26"/>
      <color theme="1"/>
      <name val="Aptos Narrow"/>
      <family val="2"/>
      <scheme val="minor"/>
    </font>
    <font>
      <b/>
      <sz val="20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charset val="238"/>
      <scheme val="minor"/>
    </font>
    <font>
      <sz val="12"/>
      <color rgb="FF000000"/>
      <name val="Aptos Narrow"/>
    </font>
    <font>
      <b/>
      <sz val="12"/>
      <color rgb="FF000000"/>
      <name val="Aptos Narrow"/>
    </font>
    <font>
      <b/>
      <sz val="12"/>
      <color theme="0"/>
      <name val="Aptos Narrow"/>
    </font>
    <font>
      <sz val="12"/>
      <color theme="0"/>
      <name val="Aptos Narrow"/>
    </font>
    <font>
      <sz val="20"/>
      <color theme="1"/>
      <name val="Aptos Narrow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8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F0C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56">
    <xf numFmtId="0" fontId="0" fillId="0" borderId="0" xfId="0"/>
    <xf numFmtId="3" fontId="0" fillId="0" borderId="0" xfId="0" applyNumberFormat="1"/>
    <xf numFmtId="44" fontId="0" fillId="0" borderId="0" xfId="0" applyNumberFormat="1"/>
    <xf numFmtId="0" fontId="0" fillId="0" borderId="0" xfId="0" quotePrefix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  <xf numFmtId="166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/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0" fillId="0" borderId="1" xfId="0" quotePrefix="1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4" fontId="0" fillId="2" borderId="1" xfId="0" applyNumberFormat="1" applyFill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quotePrefix="1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wrapText="1"/>
    </xf>
    <xf numFmtId="44" fontId="0" fillId="2" borderId="1" xfId="0" applyNumberFormat="1" applyFill="1" applyBorder="1" applyAlignment="1">
      <alignment wrapText="1"/>
    </xf>
    <xf numFmtId="166" fontId="0" fillId="0" borderId="0" xfId="0" applyNumberFormat="1"/>
    <xf numFmtId="0" fontId="8" fillId="0" borderId="0" xfId="0" applyFont="1" applyAlignment="1">
      <alignment wrapText="1"/>
    </xf>
    <xf numFmtId="14" fontId="0" fillId="2" borderId="1" xfId="0" applyNumberFormat="1" applyFill="1" applyBorder="1"/>
    <xf numFmtId="0" fontId="0" fillId="0" borderId="0" xfId="0" applyAlignment="1">
      <alignment horizontal="center"/>
    </xf>
    <xf numFmtId="10" fontId="0" fillId="0" borderId="0" xfId="0" applyNumberFormat="1"/>
    <xf numFmtId="166" fontId="0" fillId="2" borderId="2" xfId="0" applyNumberFormat="1" applyFill="1" applyBorder="1"/>
    <xf numFmtId="166" fontId="0" fillId="0" borderId="2" xfId="0" applyNumberFormat="1" applyBorder="1"/>
    <xf numFmtId="0" fontId="0" fillId="0" borderId="0" xfId="0" applyAlignment="1">
      <alignment vertical="center"/>
    </xf>
    <xf numFmtId="2" fontId="0" fillId="0" borderId="1" xfId="0" applyNumberFormat="1" applyBorder="1"/>
    <xf numFmtId="9" fontId="0" fillId="0" borderId="0" xfId="1" applyFont="1"/>
    <xf numFmtId="0" fontId="0" fillId="2" borderId="0" xfId="0" applyFill="1"/>
    <xf numFmtId="44" fontId="0" fillId="2" borderId="0" xfId="0" applyNumberFormat="1" applyFill="1"/>
    <xf numFmtId="164" fontId="0" fillId="2" borderId="0" xfId="0" applyNumberFormat="1" applyFill="1"/>
    <xf numFmtId="4" fontId="0" fillId="0" borderId="0" xfId="0" applyNumberFormat="1"/>
    <xf numFmtId="9" fontId="0" fillId="0" borderId="0" xfId="1" applyFont="1" applyBorder="1" applyAlignment="1">
      <alignment vertical="center"/>
    </xf>
    <xf numFmtId="2" fontId="0" fillId="0" borderId="0" xfId="0" applyNumberFormat="1"/>
    <xf numFmtId="0" fontId="0" fillId="8" borderId="0" xfId="0" applyFill="1"/>
    <xf numFmtId="0" fontId="18" fillId="0" borderId="0" xfId="0" applyFont="1"/>
    <xf numFmtId="0" fontId="3" fillId="1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2"/>
    <xf numFmtId="0" fontId="0" fillId="0" borderId="0" xfId="0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9" fontId="0" fillId="0" borderId="0" xfId="1" applyFont="1" applyFill="1" applyBorder="1"/>
    <xf numFmtId="2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2" borderId="2" xfId="0" applyFill="1" applyBorder="1"/>
    <xf numFmtId="0" fontId="0" fillId="5" borderId="1" xfId="0" applyFill="1" applyBorder="1"/>
    <xf numFmtId="10" fontId="0" fillId="5" borderId="1" xfId="0" applyNumberFormat="1" applyFill="1" applyBorder="1"/>
    <xf numFmtId="10" fontId="0" fillId="0" borderId="1" xfId="0" applyNumberFormat="1" applyBorder="1"/>
    <xf numFmtId="0" fontId="0" fillId="7" borderId="1" xfId="0" applyFill="1" applyBorder="1"/>
    <xf numFmtId="0" fontId="21" fillId="11" borderId="19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3" fillId="7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7" fillId="0" borderId="0" xfId="0" applyFont="1"/>
    <xf numFmtId="9" fontId="0" fillId="0" borderId="0" xfId="1" applyFont="1" applyFill="1" applyBorder="1" applyAlignment="1">
      <alignment vertical="center" wrapText="1"/>
    </xf>
    <xf numFmtId="9" fontId="0" fillId="0" borderId="0" xfId="1" applyFont="1" applyFill="1" applyBorder="1" applyAlignment="1">
      <alignment vertical="center"/>
    </xf>
    <xf numFmtId="0" fontId="1" fillId="9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2" fillId="10" borderId="0" xfId="0" applyFont="1" applyFill="1" applyAlignment="1">
      <alignment wrapText="1"/>
    </xf>
    <xf numFmtId="0" fontId="23" fillId="10" borderId="0" xfId="0" applyFont="1" applyFill="1" applyAlignment="1">
      <alignment wrapText="1"/>
    </xf>
    <xf numFmtId="0" fontId="6" fillId="0" borderId="0" xfId="0" applyFont="1" applyAlignment="1">
      <alignment horizontal="center" vertical="top"/>
    </xf>
    <xf numFmtId="0" fontId="10" fillId="10" borderId="16" xfId="0" applyFont="1" applyFill="1" applyBorder="1" applyAlignment="1">
      <alignment horizontal="left" vertical="top"/>
    </xf>
    <xf numFmtId="0" fontId="7" fillId="10" borderId="17" xfId="0" applyFont="1" applyFill="1" applyBorder="1" applyAlignment="1">
      <alignment horizontal="left" vertical="top"/>
    </xf>
    <xf numFmtId="0" fontId="7" fillId="10" borderId="18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0" xfId="2" applyAlignment="1">
      <alignment horizontal="left"/>
    </xf>
    <xf numFmtId="0" fontId="4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10" fontId="4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10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3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2" fontId="16" fillId="0" borderId="1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4" fillId="6" borderId="0" xfId="0" applyFont="1" applyFill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1" applyNumberFormat="1" applyFont="1" applyFill="1" applyBorder="1"/>
  </cellXfs>
  <cellStyles count="3">
    <cellStyle name="Hiperłącze" xfId="2" builtinId="8"/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C830"/>
      <color rgb="FF788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Struktura aktywów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'Analiza Wstępna'!$A$58</c:f>
              <c:strCache>
                <c:ptCount val="1"/>
                <c:pt idx="0">
                  <c:v>AKTYWA OBROTOWE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Wstępna'!$F$58:$H$58</c:f>
              <c:numCache>
                <c:formatCode>0.00%</c:formatCode>
                <c:ptCount val="3"/>
                <c:pt idx="0">
                  <c:v>0.52455651883832921</c:v>
                </c:pt>
                <c:pt idx="1">
                  <c:v>0.44958340579822559</c:v>
                </c:pt>
                <c:pt idx="2">
                  <c:v>0.2026398179448117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AF-48B5-B45A-967E1D452428}"/>
            </c:ext>
          </c:extLst>
        </c:ser>
        <c:ser>
          <c:idx val="0"/>
          <c:order val="1"/>
          <c:tx>
            <c:strRef>
              <c:f>'Analiza Wstępna'!$A$52</c:f>
              <c:strCache>
                <c:ptCount val="1"/>
                <c:pt idx="0">
                  <c:v>AKTYWA TRWAŁE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Wstępna'!$F$52:$H$52</c:f>
              <c:numCache>
                <c:formatCode>0.00%</c:formatCode>
                <c:ptCount val="3"/>
                <c:pt idx="0">
                  <c:v>0.47544347697628314</c:v>
                </c:pt>
                <c:pt idx="1">
                  <c:v>0.55041659420177436</c:v>
                </c:pt>
                <c:pt idx="2">
                  <c:v>0.79736018205518833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AF-48B5-B45A-967E1D45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89639"/>
        <c:axId val="1297991687"/>
      </c:lineChart>
      <c:catAx>
        <c:axId val="1297989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7991687"/>
        <c:crosses val="autoZero"/>
        <c:auto val="1"/>
        <c:lblAlgn val="ctr"/>
        <c:lblOffset val="100"/>
        <c:noMultiLvlLbl val="0"/>
      </c:catAx>
      <c:valAx>
        <c:axId val="129799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798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 płynności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782755565584132E-2"/>
          <c:y val="0.16677214501979659"/>
          <c:w val="0.9512980278315909"/>
          <c:h val="0.67114172258552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'Analiza płynności i zadłużenia'!$A$40</c:f>
              <c:strCache>
                <c:ptCount val="1"/>
                <c:pt idx="0">
                  <c:v>Wskaźnik płynności bieżącej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zadłużenia'!$B$39:$D$39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zadłużenia'!$B$40:$D$40</c:f>
              <c:numCache>
                <c:formatCode>0.00</c:formatCode>
                <c:ptCount val="3"/>
                <c:pt idx="0">
                  <c:v>5.695305350291374</c:v>
                </c:pt>
                <c:pt idx="1">
                  <c:v>1.9481880483458998</c:v>
                </c:pt>
                <c:pt idx="2">
                  <c:v>1.3649072175029269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EB44-BF2F-5D7715A7604D}"/>
            </c:ext>
          </c:extLst>
        </c:ser>
        <c:ser>
          <c:idx val="1"/>
          <c:order val="1"/>
          <c:tx>
            <c:strRef>
              <c:f>'Analiza płynności i zadłużenia'!$A$41</c:f>
              <c:strCache>
                <c:ptCount val="1"/>
                <c:pt idx="0">
                  <c:v>Wskaźnik płynnności szybkiej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zadłużenia'!$B$39:$D$39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zadłużenia'!$B$41:$D$41</c:f>
              <c:numCache>
                <c:formatCode>0.00</c:formatCode>
                <c:ptCount val="3"/>
                <c:pt idx="0">
                  <c:v>5.651251119982561</c:v>
                </c:pt>
                <c:pt idx="1">
                  <c:v>1.9143811167710625</c:v>
                </c:pt>
                <c:pt idx="2">
                  <c:v>1.3249071233544614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D-EB44-BF2F-5D7715A7604D}"/>
            </c:ext>
          </c:extLst>
        </c:ser>
        <c:ser>
          <c:idx val="2"/>
          <c:order val="2"/>
          <c:tx>
            <c:strRef>
              <c:f>'Analiza płynności i zadłużenia'!$A$42</c:f>
              <c:strCache>
                <c:ptCount val="1"/>
                <c:pt idx="0">
                  <c:v>Wskaźnik płynności natychmiastowej 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zadłużenia'!$B$39:$D$39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zadłużenia'!$B$42:$D$42</c:f>
              <c:numCache>
                <c:formatCode>0.00</c:formatCode>
                <c:ptCount val="3"/>
                <c:pt idx="0">
                  <c:v>4.5978599034450864</c:v>
                </c:pt>
                <c:pt idx="1">
                  <c:v>1.3707649464455351</c:v>
                </c:pt>
                <c:pt idx="2">
                  <c:v>0.15464116162986746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D-EB44-BF2F-5D7715A76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28751391"/>
        <c:axId val="1228343247"/>
      </c:barChart>
      <c:catAx>
        <c:axId val="12287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343247"/>
        <c:crosses val="autoZero"/>
        <c:auto val="1"/>
        <c:lblAlgn val="ctr"/>
        <c:lblOffset val="100"/>
        <c:noMultiLvlLbl val="0"/>
      </c:catAx>
      <c:valAx>
        <c:axId val="1228343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287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786326285085376E-2"/>
          <c:y val="0.91388650607092514"/>
          <c:w val="0.8999998954145193"/>
          <c:h val="6.6320941442093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'Analiza płynności i zadłużenia'!$A$65</c:f>
              <c:strCache>
                <c:ptCount val="1"/>
                <c:pt idx="0">
                  <c:v>Wskaźnik zadłużenia długoterminowego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zadłużenia'!$B$63:$D$63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zadłużenia'!$B$65:$D$65</c:f>
              <c:numCache>
                <c:formatCode>0.00</c:formatCode>
                <c:ptCount val="3"/>
                <c:pt idx="0">
                  <c:v>0.14925960104733449</c:v>
                </c:pt>
                <c:pt idx="1">
                  <c:v>0.13077932552865187</c:v>
                </c:pt>
                <c:pt idx="2">
                  <c:v>0.23867320679562676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5040-B5D1-14B39762F2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68666207"/>
        <c:axId val="869042095"/>
      </c:barChart>
      <c:catAx>
        <c:axId val="8686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042095"/>
        <c:crosses val="autoZero"/>
        <c:auto val="1"/>
        <c:lblAlgn val="ctr"/>
        <c:lblOffset val="100"/>
        <c:noMultiLvlLbl val="0"/>
      </c:catAx>
      <c:valAx>
        <c:axId val="8690420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6866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wydajności gotówkowej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'Analiza płynności i zadłużenia'!$A$51</c:f>
              <c:strCache>
                <c:ptCount val="1"/>
                <c:pt idx="0">
                  <c:v>Wskaźnik wydajności gotówkowej sprzedaży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65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shade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zadłużenia'!$B$50:$D$50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zadłużenia'!$B$51:$D$51</c:f>
              <c:numCache>
                <c:formatCode>0.00%</c:formatCode>
                <c:ptCount val="3"/>
                <c:pt idx="0">
                  <c:v>0.51710271435975275</c:v>
                </c:pt>
                <c:pt idx="1">
                  <c:v>0.36505996053773315</c:v>
                </c:pt>
                <c:pt idx="2">
                  <c:v>0.24177634019773214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0-FD42-A6C9-059451E3BF15}"/>
            </c:ext>
          </c:extLst>
        </c:ser>
        <c:ser>
          <c:idx val="1"/>
          <c:order val="1"/>
          <c:tx>
            <c:strRef>
              <c:f>'Analiza płynności i zadłużenia'!$A$52</c:f>
              <c:strCache>
                <c:ptCount val="1"/>
                <c:pt idx="0">
                  <c:v>Wskaźnik wydajności gotówkowej aktywów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zadłużenia'!$B$50:$D$50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zadłużenia'!$B$52:$D$52</c:f>
              <c:numCache>
                <c:formatCode>0.00%</c:formatCode>
                <c:ptCount val="3"/>
                <c:pt idx="0">
                  <c:v>0.2829599015956259</c:v>
                </c:pt>
                <c:pt idx="1">
                  <c:v>0.15880730102602944</c:v>
                </c:pt>
                <c:pt idx="2">
                  <c:v>8.9128230503125017E-2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0-FD42-A6C9-059451E3BF15}"/>
            </c:ext>
          </c:extLst>
        </c:ser>
        <c:ser>
          <c:idx val="2"/>
          <c:order val="2"/>
          <c:tx>
            <c:strRef>
              <c:f>'Analiza płynności i zadłużenia'!$A$53</c:f>
              <c:strCache>
                <c:ptCount val="1"/>
                <c:pt idx="0">
                  <c:v>Wskaźnik wydajności gotówkowej zysku </c:v>
                </c:pt>
              </c:strCache>
            </c:strRef>
          </c:tx>
          <c:spPr>
            <a:ln w="19050" cap="rnd" cmpd="sng" algn="ctr">
              <a:solidFill>
                <a:schemeClr val="accent3">
                  <a:tint val="65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tint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zadłużenia'!$B$50:$D$50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zadłużenia'!$B$53:$D$53</c:f>
              <c:numCache>
                <c:formatCode>0.00%</c:formatCode>
                <c:ptCount val="3"/>
                <c:pt idx="0">
                  <c:v>1.1052183381413641</c:v>
                </c:pt>
                <c:pt idx="1">
                  <c:v>1.0454598832837776</c:v>
                </c:pt>
                <c:pt idx="2">
                  <c:v>0.52018438098599196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0-FD42-A6C9-059451E3BF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8067471"/>
        <c:axId val="769787295"/>
      </c:lineChart>
      <c:catAx>
        <c:axId val="5580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787295"/>
        <c:crosses val="autoZero"/>
        <c:auto val="1"/>
        <c:lblAlgn val="ctr"/>
        <c:lblOffset val="100"/>
        <c:noMultiLvlLbl val="0"/>
      </c:catAx>
      <c:valAx>
        <c:axId val="76978729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580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 REntowności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440164908865934E-2"/>
          <c:y val="9.201899702857276E-2"/>
          <c:w val="0.90328595717571669"/>
          <c:h val="0.7269588727953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'Analiza rentowności i sprawnośc'!$AK$7</c:f>
              <c:strCache>
                <c:ptCount val="1"/>
                <c:pt idx="0">
                  <c:v>Wskaźnik rentowności sprzedaży (ROS)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rentowności i sprawnośc'!$AL$6:$AN$6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rentowności i sprawnośc'!$AL$7:$AN$7</c:f>
              <c:numCache>
                <c:formatCode>0%</c:formatCode>
                <c:ptCount val="3"/>
                <c:pt idx="0">
                  <c:v>0.46787380964865261</c:v>
                </c:pt>
                <c:pt idx="1">
                  <c:v>0.34918600548409756</c:v>
                </c:pt>
                <c:pt idx="2">
                  <c:v>0.46478969579873441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5-4148-BAE2-C28BF721006C}"/>
            </c:ext>
          </c:extLst>
        </c:ser>
        <c:ser>
          <c:idx val="1"/>
          <c:order val="1"/>
          <c:tx>
            <c:strRef>
              <c:f>'Analiza rentowności i sprawnośc'!$AK$8</c:f>
              <c:strCache>
                <c:ptCount val="1"/>
                <c:pt idx="0">
                  <c:v>Wskaźnik rentowności majątku (Stopa zwrotów aktywów)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rentowności i sprawnośc'!$AL$6:$AN$6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rentowności i sprawnośc'!$AL$8:$AN$8</c:f>
              <c:numCache>
                <c:formatCode>0%</c:formatCode>
                <c:ptCount val="3"/>
                <c:pt idx="0">
                  <c:v>0.51204344305664906</c:v>
                </c:pt>
                <c:pt idx="1">
                  <c:v>0.30380372038230197</c:v>
                </c:pt>
                <c:pt idx="2">
                  <c:v>0.34267937970065715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5-4148-BAE2-C28BF721006C}"/>
            </c:ext>
          </c:extLst>
        </c:ser>
        <c:ser>
          <c:idx val="2"/>
          <c:order val="2"/>
          <c:tx>
            <c:strRef>
              <c:f>'Analiza rentowności i sprawnośc'!$AK$9</c:f>
              <c:strCache>
                <c:ptCount val="1"/>
                <c:pt idx="0">
                  <c:v>Wskaźnik rentowności kapitału własnego (stopa zwrotu kapitału)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rentowności i sprawnośc'!$AL$6:$AN$6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rentowności i sprawnośc'!$AL$9:$AN$9</c:f>
              <c:numCache>
                <c:formatCode>0%</c:formatCode>
                <c:ptCount val="3"/>
                <c:pt idx="0">
                  <c:v>0.65605182502642756</c:v>
                </c:pt>
                <c:pt idx="1">
                  <c:v>0.41401453017066392</c:v>
                </c:pt>
                <c:pt idx="2">
                  <c:v>0.50090777617890703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5-4148-BAE2-C28BF72100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0213584"/>
        <c:axId val="656959728"/>
      </c:barChart>
      <c:catAx>
        <c:axId val="10202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959728"/>
        <c:crosses val="autoZero"/>
        <c:auto val="1"/>
        <c:lblAlgn val="ctr"/>
        <c:lblOffset val="100"/>
        <c:noMultiLvlLbl val="0"/>
      </c:catAx>
      <c:valAx>
        <c:axId val="656959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20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86857152951649275"/>
          <c:w val="1"/>
          <c:h val="0.10136089036460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Struktura pasywów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'Analiza Wstępna'!$A$68</c:f>
              <c:strCache>
                <c:ptCount val="1"/>
                <c:pt idx="0">
                  <c:v>KAPITAŁ (FUNDUSZ) WŁASNY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Wstępna'!$F$68:$H$68</c:f>
              <c:numCache>
                <c:formatCode>0.00%</c:formatCode>
                <c:ptCount val="3"/>
                <c:pt idx="0">
                  <c:v>0.78998398737660303</c:v>
                </c:pt>
                <c:pt idx="1">
                  <c:v>0.68026533296968283</c:v>
                </c:pt>
                <c:pt idx="2">
                  <c:v>0.68745801940596574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8E-4371-B6EE-C74B81E41257}"/>
            </c:ext>
          </c:extLst>
        </c:ser>
        <c:ser>
          <c:idx val="1"/>
          <c:order val="1"/>
          <c:tx>
            <c:strRef>
              <c:f>{"Zobowiązania długoterminowe"}</c:f>
              <c:strCache>
                <c:ptCount val="1"/>
                <c:pt idx="0">
                  <c:v>Zobowiązania długoterminowe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Wstępna'!$F$75:$H$75</c:f>
              <c:numCache>
                <c:formatCode>0.00%</c:formatCode>
                <c:ptCount val="3"/>
                <c:pt idx="0">
                  <c:v>0.11791269478961429</c:v>
                </c:pt>
                <c:pt idx="1">
                  <c:v>8.896464142629891E-2</c:v>
                </c:pt>
                <c:pt idx="2">
                  <c:v>0.16407781002899205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8E-4371-B6EE-C74B81E41257}"/>
            </c:ext>
          </c:extLst>
        </c:ser>
        <c:ser>
          <c:idx val="2"/>
          <c:order val="2"/>
          <c:tx>
            <c:strRef>
              <c:f>{"Zobowiązania krótkoterminowe"}</c:f>
              <c:strCache>
                <c:ptCount val="1"/>
                <c:pt idx="0">
                  <c:v>Zobowiązania krótkoterminowe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Wstępna'!$F$82:$H$82</c:f>
              <c:numCache>
                <c:formatCode>0.00%</c:formatCode>
                <c:ptCount val="3"/>
                <c:pt idx="0">
                  <c:v>9.2103317833782658E-2</c:v>
                </c:pt>
                <c:pt idx="1">
                  <c:v>0.23077002560401821</c:v>
                </c:pt>
                <c:pt idx="2">
                  <c:v>0.14846417056504221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8E-4371-B6EE-C74B81E4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484807"/>
        <c:axId val="1521487367"/>
      </c:barChart>
      <c:catAx>
        <c:axId val="1521484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487367"/>
        <c:crosses val="autoZero"/>
        <c:auto val="1"/>
        <c:lblAlgn val="ctr"/>
        <c:lblOffset val="100"/>
        <c:noMultiLvlLbl val="0"/>
      </c:catAx>
      <c:valAx>
        <c:axId val="152148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48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Struktura kapitałowo-majątkowa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'Analiza Wstępna'!$P$49:$R$49</c:f>
              <c:strCache>
                <c:ptCount val="3"/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Wstępna'!$P$52:$R$52</c:f>
              <c:numCache>
                <c:formatCode>General</c:formatCode>
                <c:ptCount val="3"/>
                <c:pt idx="0">
                  <c:v>1.6615728801260015</c:v>
                </c:pt>
                <c:pt idx="1">
                  <c:v>1.2359099273818548</c:v>
                </c:pt>
                <c:pt idx="2">
                  <c:v>0.86216748074132465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7-40F0-84B4-6A6B56C1F6D7}"/>
            </c:ext>
          </c:extLst>
        </c:ser>
        <c:ser>
          <c:idx val="1"/>
          <c:order val="1"/>
          <c:tx>
            <c:strRef>
              <c:f>{"Srebrna reguła bilansowa"}</c:f>
              <c:strCache>
                <c:ptCount val="1"/>
                <c:pt idx="0">
                  <c:v>Srebrna reguła bilansowa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Wstępna'!$P$53:$R$53</c:f>
              <c:numCache>
                <c:formatCode>General</c:formatCode>
                <c:ptCount val="3"/>
                <c:pt idx="0">
                  <c:v>1.9095785853246792</c:v>
                </c:pt>
                <c:pt idx="1">
                  <c:v>1.3975413940990189</c:v>
                </c:pt>
                <c:pt idx="2">
                  <c:v>1.0679437581647635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57-40F0-84B4-6A6B56C1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226376"/>
        <c:axId val="791229448"/>
      </c:barChart>
      <c:catAx>
        <c:axId val="7912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1229448"/>
        <c:crosses val="autoZero"/>
        <c:auto val="1"/>
        <c:lblAlgn val="ctr"/>
        <c:lblOffset val="100"/>
        <c:noMultiLvlLbl val="0"/>
      </c:catAx>
      <c:valAx>
        <c:axId val="7912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12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Tempo zmian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Wstępna'!$I$4</c:f>
              <c:strCache>
                <c:ptCount val="1"/>
                <c:pt idx="0">
                  <c:v>20/21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Wstępna'!$I$5,'Analiza Wstępna'!$I$11,'Analiza Wstępna'!$I$21,'Analiza Wstępna'!$I$28,'Analiza Wstępna'!$I$35)</c:f>
              <c:numCache>
                <c:formatCode>0.00%</c:formatCode>
                <c:ptCount val="5"/>
                <c:pt idx="0">
                  <c:v>-3.4992476332068957E-2</c:v>
                </c:pt>
                <c:pt idx="1">
                  <c:v>0.65240667558292409</c:v>
                </c:pt>
                <c:pt idx="2">
                  <c:v>0.26841574003402979</c:v>
                </c:pt>
                <c:pt idx="3">
                  <c:v>5.7803147644373165E-2</c:v>
                </c:pt>
                <c:pt idx="4">
                  <c:v>0.21423853332096615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9-4E69-9564-BC923DFE6C32}"/>
            </c:ext>
          </c:extLst>
        </c:ser>
        <c:ser>
          <c:idx val="1"/>
          <c:order val="1"/>
          <c:tx>
            <c:strRef>
              <c:f>'Analiza Wstępna'!$J$4</c:f>
              <c:strCache>
                <c:ptCount val="1"/>
                <c:pt idx="0">
                  <c:v>21/22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Wstępna'!$J$5,'Analiza Wstępna'!$J$11,'Analiza Wstępna'!$J$21,'Analiza Wstępna'!$J$28,'Analiza Wstępna'!$J$35)</c:f>
              <c:numCache>
                <c:formatCode>0.00%</c:formatCode>
                <c:ptCount val="5"/>
                <c:pt idx="0">
                  <c:v>0.21499783918531529</c:v>
                </c:pt>
                <c:pt idx="1">
                  <c:v>-0.10050062773651074</c:v>
                </c:pt>
                <c:pt idx="2">
                  <c:v>-9.626119374146197E-2</c:v>
                </c:pt>
                <c:pt idx="3">
                  <c:v>-0.20815578557603776</c:v>
                </c:pt>
                <c:pt idx="4">
                  <c:v>1.6295837261631789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99-4E69-9564-BC923DFE6C32}"/>
            </c:ext>
          </c:extLst>
        </c:ser>
        <c:ser>
          <c:idx val="2"/>
          <c:order val="2"/>
          <c:tx>
            <c:strRef>
              <c:f>'Analiza Wstępna'!$K$4</c:f>
              <c:strCache>
                <c:ptCount val="1"/>
                <c:pt idx="0">
                  <c:v>22/23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58-429E-90DE-4D6B5657CF01}"/>
              </c:ext>
            </c:extLst>
          </c:dPt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Wstępna'!$K$5,'Analiza Wstępna'!$K$11,'Analiza Wstępna'!$K$21,'Analiza Wstępna'!$K$28,'Analiza Wstępna'!$K$35)</c:f>
              <c:numCache>
                <c:formatCode>0.00%</c:formatCode>
                <c:ptCount val="5"/>
                <c:pt idx="0">
                  <c:v>0.66979168686316892</c:v>
                </c:pt>
                <c:pt idx="1">
                  <c:v>-0.48046622963219598</c:v>
                </c:pt>
                <c:pt idx="2">
                  <c:v>0.16484224305516457</c:v>
                </c:pt>
                <c:pt idx="3">
                  <c:v>1.1258454456555336</c:v>
                </c:pt>
                <c:pt idx="4">
                  <c:v>-0.2584481427284499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99-4E69-9564-BC923DFE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44431"/>
        <c:axId val="1773644911"/>
      </c:barChart>
      <c:catAx>
        <c:axId val="17736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644911"/>
        <c:crosses val="autoZero"/>
        <c:auto val="0"/>
        <c:lblAlgn val="ctr"/>
        <c:lblOffset val="100"/>
        <c:noMultiLvlLbl val="0"/>
      </c:catAx>
      <c:valAx>
        <c:axId val="17736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644431"/>
        <c:crosses val="autoZero"/>
        <c:crossBetween val="between"/>
      </c:valAx>
      <c:spPr>
        <a:noFill/>
        <a:ln>
          <a:noFill/>
        </a:ln>
        <a:effectLst>
          <a:outerShdw blurRad="50800" dist="50800" dir="5400000" sx="73000" sy="73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dynamiki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Wstępna'!$I$4</c:f>
              <c:strCache>
                <c:ptCount val="1"/>
                <c:pt idx="0">
                  <c:v>20/21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Wstępna'!$L$5,'Analiza Wstępna'!$L$11,'Analiza Wstępna'!$L$21,'Analiza Wstępna'!$L$28,'Analiza Wstępna'!$L$35)</c:f>
              <c:numCache>
                <c:formatCode>0.00%</c:formatCode>
                <c:ptCount val="5"/>
                <c:pt idx="0">
                  <c:v>0.96500752366793108</c:v>
                </c:pt>
                <c:pt idx="1">
                  <c:v>1.6524066755829241</c:v>
                </c:pt>
                <c:pt idx="2">
                  <c:v>1.2684157400340297</c:v>
                </c:pt>
                <c:pt idx="3">
                  <c:v>1.0578031476443732</c:v>
                </c:pt>
                <c:pt idx="4">
                  <c:v>1.2142385333209662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4-4DCE-9997-65D8B980A1F2}"/>
            </c:ext>
          </c:extLst>
        </c:ser>
        <c:ser>
          <c:idx val="1"/>
          <c:order val="1"/>
          <c:tx>
            <c:strRef>
              <c:f>'Analiza Wstępna'!$J$4</c:f>
              <c:strCache>
                <c:ptCount val="1"/>
                <c:pt idx="0">
                  <c:v>21/22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Wstępna'!$M$5,'Analiza Wstępna'!$M$11,'Analiza Wstępna'!$M$21,'Analiza Wstępna'!$M$28,'Analiza Wstępna'!$M$35)</c:f>
              <c:numCache>
                <c:formatCode>0.00%</c:formatCode>
                <c:ptCount val="5"/>
                <c:pt idx="0">
                  <c:v>1.2149978391853153</c:v>
                </c:pt>
                <c:pt idx="1">
                  <c:v>0.89949937226348931</c:v>
                </c:pt>
                <c:pt idx="2">
                  <c:v>0.90373880625853809</c:v>
                </c:pt>
                <c:pt idx="3">
                  <c:v>0.79184421442396224</c:v>
                </c:pt>
                <c:pt idx="4">
                  <c:v>2.6295837261631787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4-4DCE-9997-65D8B980A1F2}"/>
            </c:ext>
          </c:extLst>
        </c:ser>
        <c:ser>
          <c:idx val="2"/>
          <c:order val="2"/>
          <c:tx>
            <c:strRef>
              <c:f>'Analiza Wstępna'!$K$4</c:f>
              <c:strCache>
                <c:ptCount val="1"/>
                <c:pt idx="0">
                  <c:v>22/23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('Analiza Wstępna'!$A$5,'Analiza Wstępna'!$A$11,'Analiza Wstępna'!$A$21,'Analiza Wstępna'!$A$28,'Analiza Wstępna'!$A$35)</c:f>
              <c:strCache>
                <c:ptCount val="5"/>
                <c:pt idx="0">
                  <c:v>AKTYWA TRWAŁE</c:v>
                </c:pt>
                <c:pt idx="1">
                  <c:v>AKTYWA OBROTOWE</c:v>
                </c:pt>
                <c:pt idx="2">
                  <c:v>KAPITAŁ (FUNDUSZ) WŁASNY</c:v>
                </c:pt>
                <c:pt idx="3">
                  <c:v>ZOBOWIĄZANIA DŁUGOTERMINOWE</c:v>
                </c:pt>
                <c:pt idx="4">
                  <c:v>ZOBOWIĄZANIA KRÓTKOTERMINOWE</c:v>
                </c:pt>
              </c:strCache>
            </c:strRef>
          </c:cat>
          <c:val>
            <c:numRef>
              <c:f>('Analiza Wstępna'!$N$5,'Analiza Wstępna'!$N$11,'Analiza Wstępna'!$N$21,'Analiza Wstępna'!$N$28,'Analiza Wstępna'!$N$35)</c:f>
              <c:numCache>
                <c:formatCode>0.00%</c:formatCode>
                <c:ptCount val="5"/>
                <c:pt idx="0">
                  <c:v>1.669791686863169</c:v>
                </c:pt>
                <c:pt idx="1">
                  <c:v>0.51953377036780402</c:v>
                </c:pt>
                <c:pt idx="2">
                  <c:v>1.1648422430551646</c:v>
                </c:pt>
                <c:pt idx="3">
                  <c:v>2.1258454456555334</c:v>
                </c:pt>
                <c:pt idx="4">
                  <c:v>0.74155185727155004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4-4DCE-9997-65D8B980A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3644431"/>
        <c:axId val="1773644911"/>
      </c:barChart>
      <c:catAx>
        <c:axId val="17736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644911"/>
        <c:crosses val="autoZero"/>
        <c:auto val="0"/>
        <c:lblAlgn val="ctr"/>
        <c:lblOffset val="100"/>
        <c:noMultiLvlLbl val="0"/>
      </c:catAx>
      <c:valAx>
        <c:axId val="17736449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736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kapitałowo-majątkowa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'Analiza Wstępna'!$O$52</c:f>
              <c:strCache>
                <c:ptCount val="1"/>
                <c:pt idx="0">
                  <c:v>Złota reguła bilansowa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Wstępna'!$P$52:$R$52</c:f>
              <c:numCache>
                <c:formatCode>General</c:formatCode>
                <c:ptCount val="3"/>
                <c:pt idx="0">
                  <c:v>1.6615728801260015</c:v>
                </c:pt>
                <c:pt idx="1">
                  <c:v>1.2359099273818548</c:v>
                </c:pt>
                <c:pt idx="2">
                  <c:v>0.86216748074132465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FD44-BE2B-99C391E6CB1B}"/>
            </c:ext>
          </c:extLst>
        </c:ser>
        <c:ser>
          <c:idx val="1"/>
          <c:order val="1"/>
          <c:tx>
            <c:strRef>
              <c:f>'Analiza Wstępna'!$O$53</c:f>
              <c:strCache>
                <c:ptCount val="1"/>
                <c:pt idx="0">
                  <c:v>Srebrna reguła bilansowa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Wstępna'!$P$53:$R$53</c:f>
              <c:numCache>
                <c:formatCode>General</c:formatCode>
                <c:ptCount val="3"/>
                <c:pt idx="0">
                  <c:v>1.9095785853246792</c:v>
                </c:pt>
                <c:pt idx="1">
                  <c:v>1.3975413940990189</c:v>
                </c:pt>
                <c:pt idx="2">
                  <c:v>1.0679437581647635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D-FD44-BE2B-99C391E6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13024"/>
        <c:axId val="1658323807"/>
      </c:lineChart>
      <c:catAx>
        <c:axId val="527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323807"/>
        <c:crosses val="autoZero"/>
        <c:auto val="1"/>
        <c:lblAlgn val="ctr"/>
        <c:lblOffset val="100"/>
        <c:noMultiLvlLbl val="0"/>
      </c:catAx>
      <c:valAx>
        <c:axId val="16583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3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kapitałowo-</a:t>
            </a:r>
            <a:r>
              <a:rPr lang="pl-PL" baseline="0"/>
              <a:t>majątkowa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'Analiza Wstępna'!$O$52</c:f>
              <c:strCache>
                <c:ptCount val="1"/>
                <c:pt idx="0">
                  <c:v>Złota reguła bilansowa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Wstępna'!$P$52:$R$52</c:f>
              <c:numCache>
                <c:formatCode>General</c:formatCode>
                <c:ptCount val="3"/>
                <c:pt idx="0">
                  <c:v>1.6615728801260015</c:v>
                </c:pt>
                <c:pt idx="1">
                  <c:v>1.2359099273818548</c:v>
                </c:pt>
                <c:pt idx="2">
                  <c:v>0.86216748074132465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0-2145-8F01-14E573F18262}"/>
            </c:ext>
          </c:extLst>
        </c:ser>
        <c:ser>
          <c:idx val="1"/>
          <c:order val="1"/>
          <c:tx>
            <c:strRef>
              <c:f>'Analiza Wstępna'!$O$53</c:f>
              <c:strCache>
                <c:ptCount val="1"/>
                <c:pt idx="0">
                  <c:v>Srebrna reguła bilansowa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Wstępna'!$P$53:$R$53</c:f>
              <c:numCache>
                <c:formatCode>General</c:formatCode>
                <c:ptCount val="3"/>
                <c:pt idx="0">
                  <c:v>1.9095785853246792</c:v>
                </c:pt>
                <c:pt idx="1">
                  <c:v>1.3975413940990189</c:v>
                </c:pt>
                <c:pt idx="2">
                  <c:v>1.0679437581647635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0-2145-8F01-14E573F18262}"/>
            </c:ext>
          </c:extLst>
        </c:ser>
        <c:ser>
          <c:idx val="2"/>
          <c:order val="2"/>
          <c:tx>
            <c:strRef>
              <c:f>'Analiza Wstępna'!$O$54</c:f>
              <c:strCache>
                <c:ptCount val="1"/>
                <c:pt idx="0">
                  <c:v>Złota zasada finansowania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Wstępna'!$P$54:$R$54</c:f>
              <c:numCache>
                <c:formatCode>General</c:formatCode>
                <c:ptCount val="3"/>
                <c:pt idx="0">
                  <c:v>3.7615416915528774</c:v>
                </c:pt>
                <c:pt idx="1">
                  <c:v>2.1995701764586815</c:v>
                </c:pt>
                <c:pt idx="2">
                  <c:v>2.1275932925508525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0-2145-8F01-14E573F1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69247"/>
        <c:axId val="1658172911"/>
      </c:lineChart>
      <c:catAx>
        <c:axId val="16460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72911"/>
        <c:crosses val="autoZero"/>
        <c:auto val="1"/>
        <c:lblAlgn val="ctr"/>
        <c:lblOffset val="100"/>
        <c:noMultiLvlLbl val="0"/>
      </c:catAx>
      <c:valAx>
        <c:axId val="16581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0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Struktura kapitałowo-majątkowa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'Analiza Wstępna'!$P$49:$R$49</c:f>
              <c:strCache>
                <c:ptCount val="3"/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Wstępna'!$P$52:$R$52</c:f>
              <c:numCache>
                <c:formatCode>General</c:formatCode>
                <c:ptCount val="3"/>
                <c:pt idx="0">
                  <c:v>1.6615728801260015</c:v>
                </c:pt>
                <c:pt idx="1">
                  <c:v>1.2359099273818548</c:v>
                </c:pt>
                <c:pt idx="2">
                  <c:v>0.86216748074132465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18A-8404-61ABD38A4888}"/>
            </c:ext>
          </c:extLst>
        </c:ser>
        <c:ser>
          <c:idx val="1"/>
          <c:order val="1"/>
          <c:tx>
            <c:strRef>
              <c:f>{"Srebrna reguła bilansowa"}</c:f>
              <c:strCache>
                <c:ptCount val="1"/>
                <c:pt idx="0">
                  <c:v>Srebrna reguła bilansowa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'Analiza Wstępna'!$F$51:$H$51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Wstępna'!$P$53:$R$53</c:f>
              <c:numCache>
                <c:formatCode>General</c:formatCode>
                <c:ptCount val="3"/>
                <c:pt idx="0">
                  <c:v>1.9095785853246792</c:v>
                </c:pt>
                <c:pt idx="1">
                  <c:v>1.3975413940990189</c:v>
                </c:pt>
                <c:pt idx="2">
                  <c:v>1.0679437581647635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A-418A-8404-61ABD38A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226376"/>
        <c:axId val="791229448"/>
      </c:barChart>
      <c:catAx>
        <c:axId val="7912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1229448"/>
        <c:crosses val="autoZero"/>
        <c:auto val="1"/>
        <c:lblAlgn val="ctr"/>
        <c:lblOffset val="100"/>
        <c:noMultiLvlLbl val="0"/>
      </c:catAx>
      <c:valAx>
        <c:axId val="7912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122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Ogólne zadłużenie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płynności i zadłużenia'!$B$63:$D$63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'Analiza płynności i zadłużenia'!$B$64:$D$64</c:f>
              <c:numCache>
                <c:formatCode>0.00</c:formatCode>
                <c:ptCount val="3"/>
                <c:pt idx="0">
                  <c:v>21.001601262339694</c:v>
                </c:pt>
                <c:pt idx="1">
                  <c:v>31.973466703031715</c:v>
                </c:pt>
                <c:pt idx="2">
                  <c:v>31.254198059403425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7-4E69-83C4-230206BAA3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0140575"/>
        <c:axId val="190121375"/>
      </c:barChart>
      <c:catAx>
        <c:axId val="19014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21375"/>
        <c:crosses val="autoZero"/>
        <c:auto val="1"/>
        <c:lblAlgn val="ctr"/>
        <c:lblOffset val="100"/>
        <c:noMultiLvlLbl val="0"/>
      </c:catAx>
      <c:valAx>
        <c:axId val="1901213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01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Analiza p&#322;ynno&#347;ci i zad&#322;u&#380;enia'!A1"/><Relationship Id="rId2" Type="http://schemas.openxmlformats.org/officeDocument/2006/relationships/hyperlink" Target="#'Analiza Wst&#281;pna'!A1"/><Relationship Id="rId1" Type="http://schemas.openxmlformats.org/officeDocument/2006/relationships/hyperlink" Target="#Dane!A1"/><Relationship Id="rId6" Type="http://schemas.openxmlformats.org/officeDocument/2006/relationships/hyperlink" Target="#Wnioski!A1"/><Relationship Id="rId5" Type="http://schemas.openxmlformats.org/officeDocument/2006/relationships/hyperlink" Target="#Bilans!A1"/><Relationship Id="rId4" Type="http://schemas.openxmlformats.org/officeDocument/2006/relationships/hyperlink" Target="#'Analiza rentowno&#347;ci i sprawno&#347;c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B3C253D-9C03-1D44-9979-86B71E805BF3}" type="doc">
      <dgm:prSet loTypeId="urn:microsoft.com/office/officeart/2005/8/layout/process2" loCatId="" qsTypeId="urn:microsoft.com/office/officeart/2005/8/quickstyle/simple3" qsCatId="simple" csTypeId="urn:microsoft.com/office/officeart/2005/8/colors/accent6_2" csCatId="accent6" phldr="1"/>
      <dgm:spPr/>
    </dgm:pt>
    <dgm:pt modelId="{EDFCD076-801B-DA4C-9276-91F822EA5BC6}">
      <dgm:prSet phldrT="[Tekst]"/>
      <dgm:spPr/>
      <dgm:t>
        <a:bodyPr/>
        <a:lstStyle/>
        <a:p>
          <a:r>
            <a:rPr lang="pl-PL"/>
            <a:t>Dane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DFCF499D-CFA3-3D46-8D58-C9C274C1FA4F}" type="parTrans" cxnId="{4DE6C5D0-F88D-604C-92B7-91CA5E7E131D}">
      <dgm:prSet/>
      <dgm:spPr/>
      <dgm:t>
        <a:bodyPr/>
        <a:lstStyle/>
        <a:p>
          <a:endParaRPr lang="pl-PL"/>
        </a:p>
      </dgm:t>
    </dgm:pt>
    <dgm:pt modelId="{6A367492-23C4-424B-B6AE-B6ACC6915594}" type="sibTrans" cxnId="{4DE6C5D0-F88D-604C-92B7-91CA5E7E131D}">
      <dgm:prSet/>
      <dgm:spPr/>
      <dgm:t>
        <a:bodyPr/>
        <a:lstStyle/>
        <a:p>
          <a:endParaRPr lang="pl-PL"/>
        </a:p>
      </dgm:t>
    </dgm:pt>
    <dgm:pt modelId="{358CF649-63AF-5241-AA6C-9AE2A990E484}">
      <dgm:prSet phldrT="[Tekst]"/>
      <dgm:spPr/>
      <dgm:t>
        <a:bodyPr/>
        <a:lstStyle/>
        <a:p>
          <a:r>
            <a:rPr lang="pl-PL"/>
            <a:t>Analiza Wstępna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E1FB191E-C101-CD45-AF1C-351DA077CA4D}" type="parTrans" cxnId="{9909E2E6-78E6-4442-92F4-30D2A747E84D}">
      <dgm:prSet/>
      <dgm:spPr/>
      <dgm:t>
        <a:bodyPr/>
        <a:lstStyle/>
        <a:p>
          <a:endParaRPr lang="pl-PL"/>
        </a:p>
      </dgm:t>
    </dgm:pt>
    <dgm:pt modelId="{BA12DEAB-4983-FA49-88E8-2FF999FD5325}" type="sibTrans" cxnId="{9909E2E6-78E6-4442-92F4-30D2A747E84D}">
      <dgm:prSet/>
      <dgm:spPr/>
      <dgm:t>
        <a:bodyPr/>
        <a:lstStyle/>
        <a:p>
          <a:endParaRPr lang="pl-PL"/>
        </a:p>
      </dgm:t>
    </dgm:pt>
    <dgm:pt modelId="{14D79D95-3BF0-3041-8B8D-ECA666EFA114}">
      <dgm:prSet phldrT="[Tekst]"/>
      <dgm:spPr/>
      <dgm:t>
        <a:bodyPr/>
        <a:lstStyle/>
        <a:p>
          <a:r>
            <a:rPr lang="pl-PL"/>
            <a:t>Analiza płynnosci i zadłużenia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4BF1369E-9B77-984E-964D-8847F515B934}" type="parTrans" cxnId="{D0559863-AA5C-9C4E-A1E2-CF613A7EB668}">
      <dgm:prSet/>
      <dgm:spPr/>
      <dgm:t>
        <a:bodyPr/>
        <a:lstStyle/>
        <a:p>
          <a:endParaRPr lang="pl-PL"/>
        </a:p>
      </dgm:t>
    </dgm:pt>
    <dgm:pt modelId="{518AD71B-F8E8-5949-AAAB-11AB2C92FADC}" type="sibTrans" cxnId="{D0559863-AA5C-9C4E-A1E2-CF613A7EB668}">
      <dgm:prSet/>
      <dgm:spPr/>
      <dgm:t>
        <a:bodyPr/>
        <a:lstStyle/>
        <a:p>
          <a:endParaRPr lang="pl-PL"/>
        </a:p>
      </dgm:t>
    </dgm:pt>
    <dgm:pt modelId="{84501311-5DC4-8443-AB95-2EA4D6CA6CF7}">
      <dgm:prSet/>
      <dgm:spPr/>
      <dgm:t>
        <a:bodyPr/>
        <a:lstStyle/>
        <a:p>
          <a:r>
            <a:rPr lang="pl-PL"/>
            <a:t>Analiza rentowności i sprawności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274970C5-9FD1-D64F-8E5A-5FDF2497AAEF}" type="parTrans" cxnId="{4B458824-4381-3B40-833B-D18F5E5146A6}">
      <dgm:prSet/>
      <dgm:spPr/>
      <dgm:t>
        <a:bodyPr/>
        <a:lstStyle/>
        <a:p>
          <a:endParaRPr lang="pl-PL"/>
        </a:p>
      </dgm:t>
    </dgm:pt>
    <dgm:pt modelId="{B1F14482-5B74-C247-AEA2-947C7976BC33}" type="sibTrans" cxnId="{4B458824-4381-3B40-833B-D18F5E5146A6}">
      <dgm:prSet/>
      <dgm:spPr/>
      <dgm:t>
        <a:bodyPr/>
        <a:lstStyle/>
        <a:p>
          <a:endParaRPr lang="pl-PL"/>
        </a:p>
      </dgm:t>
    </dgm:pt>
    <dgm:pt modelId="{E03C59B6-2FA1-F442-8011-2B4C9CBFA520}">
      <dgm:prSet/>
      <dgm:spPr/>
      <dgm:t>
        <a:bodyPr/>
        <a:lstStyle/>
        <a:p>
          <a:r>
            <a:rPr lang="pl-PL"/>
            <a:t>Analiza Wskaźnikowa (plik)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D52BB118-5DDB-A742-A48C-90C793413522}" type="parTrans" cxnId="{C5C97B85-435E-B540-AA49-212AB625D5E3}">
      <dgm:prSet/>
      <dgm:spPr/>
      <dgm:t>
        <a:bodyPr/>
        <a:lstStyle/>
        <a:p>
          <a:endParaRPr lang="pl-PL"/>
        </a:p>
      </dgm:t>
    </dgm:pt>
    <dgm:pt modelId="{9A7DD915-6439-004B-A002-8A950D29609B}" type="sibTrans" cxnId="{C5C97B85-435E-B540-AA49-212AB625D5E3}">
      <dgm:prSet/>
      <dgm:spPr/>
      <dgm:t>
        <a:bodyPr/>
        <a:lstStyle/>
        <a:p>
          <a:endParaRPr lang="pl-PL"/>
        </a:p>
      </dgm:t>
    </dgm:pt>
    <dgm:pt modelId="{988E23B0-B4A8-4E49-984F-951598108667}">
      <dgm:prSet/>
      <dgm:spPr/>
      <dgm:t>
        <a:bodyPr/>
        <a:lstStyle/>
        <a:p>
          <a:r>
            <a:rPr lang="pl-PL"/>
            <a:t>Wnioski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40E608C3-6E72-ED45-B29A-1B0BDBEC6EE7}" type="parTrans" cxnId="{16A02817-F855-424F-B683-953F0D878044}">
      <dgm:prSet/>
      <dgm:spPr/>
      <dgm:t>
        <a:bodyPr/>
        <a:lstStyle/>
        <a:p>
          <a:endParaRPr lang="pl-PL"/>
        </a:p>
      </dgm:t>
    </dgm:pt>
    <dgm:pt modelId="{7E7B9965-CB81-6B4D-BAE4-119F0A37C25A}" type="sibTrans" cxnId="{16A02817-F855-424F-B683-953F0D878044}">
      <dgm:prSet/>
      <dgm:spPr/>
      <dgm:t>
        <a:bodyPr/>
        <a:lstStyle/>
        <a:p>
          <a:endParaRPr lang="pl-PL"/>
        </a:p>
      </dgm:t>
    </dgm:pt>
    <dgm:pt modelId="{2A3DFC23-268E-CC4E-8667-33D196C9B568}" type="pres">
      <dgm:prSet presAssocID="{8B3C253D-9C03-1D44-9979-86B71E805BF3}" presName="linearFlow" presStyleCnt="0">
        <dgm:presLayoutVars>
          <dgm:resizeHandles val="exact"/>
        </dgm:presLayoutVars>
      </dgm:prSet>
      <dgm:spPr/>
    </dgm:pt>
    <dgm:pt modelId="{F7E8C091-58D2-4249-8016-A5133F62E9E9}" type="pres">
      <dgm:prSet presAssocID="{EDFCD076-801B-DA4C-9276-91F822EA5BC6}" presName="node" presStyleLbl="node1" presStyleIdx="0" presStyleCnt="6">
        <dgm:presLayoutVars>
          <dgm:bulletEnabled val="1"/>
        </dgm:presLayoutVars>
      </dgm:prSet>
      <dgm:spPr/>
    </dgm:pt>
    <dgm:pt modelId="{7A56544D-8ED6-2F4F-B825-FC9BB741A12D}" type="pres">
      <dgm:prSet presAssocID="{6A367492-23C4-424B-B6AE-B6ACC6915594}" presName="sibTrans" presStyleLbl="sibTrans2D1" presStyleIdx="0" presStyleCnt="5"/>
      <dgm:spPr/>
    </dgm:pt>
    <dgm:pt modelId="{05E134F0-1BB2-5648-B462-78104B641B3A}" type="pres">
      <dgm:prSet presAssocID="{6A367492-23C4-424B-B6AE-B6ACC6915594}" presName="connectorText" presStyleLbl="sibTrans2D1" presStyleIdx="0" presStyleCnt="5"/>
      <dgm:spPr/>
    </dgm:pt>
    <dgm:pt modelId="{889BD426-C08A-7544-B7A9-31EA6BA70CF1}" type="pres">
      <dgm:prSet presAssocID="{358CF649-63AF-5241-AA6C-9AE2A990E484}" presName="node" presStyleLbl="node1" presStyleIdx="1" presStyleCnt="6">
        <dgm:presLayoutVars>
          <dgm:bulletEnabled val="1"/>
        </dgm:presLayoutVars>
      </dgm:prSet>
      <dgm:spPr/>
    </dgm:pt>
    <dgm:pt modelId="{0B03CC1F-34DF-E84D-BBBB-6A65986FF6D6}" type="pres">
      <dgm:prSet presAssocID="{BA12DEAB-4983-FA49-88E8-2FF999FD5325}" presName="sibTrans" presStyleLbl="sibTrans2D1" presStyleIdx="1" presStyleCnt="5"/>
      <dgm:spPr/>
    </dgm:pt>
    <dgm:pt modelId="{7079481F-6AC2-694A-983E-5249CF5ABC2A}" type="pres">
      <dgm:prSet presAssocID="{BA12DEAB-4983-FA49-88E8-2FF999FD5325}" presName="connectorText" presStyleLbl="sibTrans2D1" presStyleIdx="1" presStyleCnt="5"/>
      <dgm:spPr/>
    </dgm:pt>
    <dgm:pt modelId="{A866B297-9A8B-F147-A9A2-258F53CAB383}" type="pres">
      <dgm:prSet presAssocID="{14D79D95-3BF0-3041-8B8D-ECA666EFA114}" presName="node" presStyleLbl="node1" presStyleIdx="2" presStyleCnt="6">
        <dgm:presLayoutVars>
          <dgm:bulletEnabled val="1"/>
        </dgm:presLayoutVars>
      </dgm:prSet>
      <dgm:spPr/>
    </dgm:pt>
    <dgm:pt modelId="{0263FF7F-DF3E-F149-BF62-EA72C5A22772}" type="pres">
      <dgm:prSet presAssocID="{518AD71B-F8E8-5949-AAAB-11AB2C92FADC}" presName="sibTrans" presStyleLbl="sibTrans2D1" presStyleIdx="2" presStyleCnt="5"/>
      <dgm:spPr/>
    </dgm:pt>
    <dgm:pt modelId="{9C21B569-2464-124B-85CB-B4E48580D22C}" type="pres">
      <dgm:prSet presAssocID="{518AD71B-F8E8-5949-AAAB-11AB2C92FADC}" presName="connectorText" presStyleLbl="sibTrans2D1" presStyleIdx="2" presStyleCnt="5"/>
      <dgm:spPr/>
    </dgm:pt>
    <dgm:pt modelId="{36B3E4F3-8650-D94A-BAAB-76950A546C6C}" type="pres">
      <dgm:prSet presAssocID="{84501311-5DC4-8443-AB95-2EA4D6CA6CF7}" presName="node" presStyleLbl="node1" presStyleIdx="3" presStyleCnt="6">
        <dgm:presLayoutVars>
          <dgm:bulletEnabled val="1"/>
        </dgm:presLayoutVars>
      </dgm:prSet>
      <dgm:spPr/>
    </dgm:pt>
    <dgm:pt modelId="{07E3D48F-85DE-494D-82AE-352083A4F186}" type="pres">
      <dgm:prSet presAssocID="{B1F14482-5B74-C247-AEA2-947C7976BC33}" presName="sibTrans" presStyleLbl="sibTrans2D1" presStyleIdx="3" presStyleCnt="5"/>
      <dgm:spPr/>
    </dgm:pt>
    <dgm:pt modelId="{E5F49357-78BB-C54D-8050-330C4CC3AF3A}" type="pres">
      <dgm:prSet presAssocID="{B1F14482-5B74-C247-AEA2-947C7976BC33}" presName="connectorText" presStyleLbl="sibTrans2D1" presStyleIdx="3" presStyleCnt="5"/>
      <dgm:spPr/>
    </dgm:pt>
    <dgm:pt modelId="{B64AFD84-6FE9-844B-9971-D6AD7CB39FEB}" type="pres">
      <dgm:prSet presAssocID="{E03C59B6-2FA1-F442-8011-2B4C9CBFA520}" presName="node" presStyleLbl="node1" presStyleIdx="4" presStyleCnt="6">
        <dgm:presLayoutVars>
          <dgm:bulletEnabled val="1"/>
        </dgm:presLayoutVars>
      </dgm:prSet>
      <dgm:spPr/>
    </dgm:pt>
    <dgm:pt modelId="{F882AB95-D640-F841-BEB1-CA68C1D86B65}" type="pres">
      <dgm:prSet presAssocID="{9A7DD915-6439-004B-A002-8A950D29609B}" presName="sibTrans" presStyleLbl="sibTrans2D1" presStyleIdx="4" presStyleCnt="5"/>
      <dgm:spPr/>
    </dgm:pt>
    <dgm:pt modelId="{38E17D7B-1853-0849-A306-B4824C209623}" type="pres">
      <dgm:prSet presAssocID="{9A7DD915-6439-004B-A002-8A950D29609B}" presName="connectorText" presStyleLbl="sibTrans2D1" presStyleIdx="4" presStyleCnt="5"/>
      <dgm:spPr/>
    </dgm:pt>
    <dgm:pt modelId="{F926FFBC-5008-3C4C-9983-8624829137E5}" type="pres">
      <dgm:prSet presAssocID="{988E23B0-B4A8-4E49-984F-951598108667}" presName="node" presStyleLbl="node1" presStyleIdx="5" presStyleCnt="6">
        <dgm:presLayoutVars>
          <dgm:bulletEnabled val="1"/>
        </dgm:presLayoutVars>
      </dgm:prSet>
      <dgm:spPr/>
    </dgm:pt>
  </dgm:ptLst>
  <dgm:cxnLst>
    <dgm:cxn modelId="{7435A203-84E5-3A44-AB53-8898BAD6BA3F}" type="presOf" srcId="{988E23B0-B4A8-4E49-984F-951598108667}" destId="{F926FFBC-5008-3C4C-9983-8624829137E5}" srcOrd="0" destOrd="0" presId="urn:microsoft.com/office/officeart/2005/8/layout/process2"/>
    <dgm:cxn modelId="{F6D8EA05-4F43-F14D-B68B-A2DB52F30D75}" type="presOf" srcId="{BA12DEAB-4983-FA49-88E8-2FF999FD5325}" destId="{0B03CC1F-34DF-E84D-BBBB-6A65986FF6D6}" srcOrd="0" destOrd="0" presId="urn:microsoft.com/office/officeart/2005/8/layout/process2"/>
    <dgm:cxn modelId="{B2A5C406-3ED0-A24D-9E70-DCA8508C45B1}" type="presOf" srcId="{8B3C253D-9C03-1D44-9979-86B71E805BF3}" destId="{2A3DFC23-268E-CC4E-8667-33D196C9B568}" srcOrd="0" destOrd="0" presId="urn:microsoft.com/office/officeart/2005/8/layout/process2"/>
    <dgm:cxn modelId="{F5EC770C-E66E-FC4A-8497-813A0805070E}" type="presOf" srcId="{9A7DD915-6439-004B-A002-8A950D29609B}" destId="{F882AB95-D640-F841-BEB1-CA68C1D86B65}" srcOrd="0" destOrd="0" presId="urn:microsoft.com/office/officeart/2005/8/layout/process2"/>
    <dgm:cxn modelId="{2A094415-9F8E-C042-B209-CF6A6622D0C9}" type="presOf" srcId="{518AD71B-F8E8-5949-AAAB-11AB2C92FADC}" destId="{9C21B569-2464-124B-85CB-B4E48580D22C}" srcOrd="1" destOrd="0" presId="urn:microsoft.com/office/officeart/2005/8/layout/process2"/>
    <dgm:cxn modelId="{16A02817-F855-424F-B683-953F0D878044}" srcId="{8B3C253D-9C03-1D44-9979-86B71E805BF3}" destId="{988E23B0-B4A8-4E49-984F-951598108667}" srcOrd="5" destOrd="0" parTransId="{40E608C3-6E72-ED45-B29A-1B0BDBEC6EE7}" sibTransId="{7E7B9965-CB81-6B4D-BAE4-119F0A37C25A}"/>
    <dgm:cxn modelId="{21A5491E-D781-464F-AF96-AB4DFDA9FC3F}" type="presOf" srcId="{9A7DD915-6439-004B-A002-8A950D29609B}" destId="{38E17D7B-1853-0849-A306-B4824C209623}" srcOrd="1" destOrd="0" presId="urn:microsoft.com/office/officeart/2005/8/layout/process2"/>
    <dgm:cxn modelId="{4B458824-4381-3B40-833B-D18F5E5146A6}" srcId="{8B3C253D-9C03-1D44-9979-86B71E805BF3}" destId="{84501311-5DC4-8443-AB95-2EA4D6CA6CF7}" srcOrd="3" destOrd="0" parTransId="{274970C5-9FD1-D64F-8E5A-5FDF2497AAEF}" sibTransId="{B1F14482-5B74-C247-AEA2-947C7976BC33}"/>
    <dgm:cxn modelId="{F0A7F62B-0F6B-7E4D-B592-7E143DBB2274}" type="presOf" srcId="{358CF649-63AF-5241-AA6C-9AE2A990E484}" destId="{889BD426-C08A-7544-B7A9-31EA6BA70CF1}" srcOrd="0" destOrd="0" presId="urn:microsoft.com/office/officeart/2005/8/layout/process2"/>
    <dgm:cxn modelId="{C84DB536-4B1A-E54C-A03F-CB533DEAF24F}" type="presOf" srcId="{E03C59B6-2FA1-F442-8011-2B4C9CBFA520}" destId="{B64AFD84-6FE9-844B-9971-D6AD7CB39FEB}" srcOrd="0" destOrd="0" presId="urn:microsoft.com/office/officeart/2005/8/layout/process2"/>
    <dgm:cxn modelId="{F93A6C47-7A0F-A14C-A16E-B9F9E766D51C}" type="presOf" srcId="{B1F14482-5B74-C247-AEA2-947C7976BC33}" destId="{E5F49357-78BB-C54D-8050-330C4CC3AF3A}" srcOrd="1" destOrd="0" presId="urn:microsoft.com/office/officeart/2005/8/layout/process2"/>
    <dgm:cxn modelId="{D0559863-AA5C-9C4E-A1E2-CF613A7EB668}" srcId="{8B3C253D-9C03-1D44-9979-86B71E805BF3}" destId="{14D79D95-3BF0-3041-8B8D-ECA666EFA114}" srcOrd="2" destOrd="0" parTransId="{4BF1369E-9B77-984E-964D-8847F515B934}" sibTransId="{518AD71B-F8E8-5949-AAAB-11AB2C92FADC}"/>
    <dgm:cxn modelId="{82359566-AE69-CE4C-9773-8BCBC89ED75A}" type="presOf" srcId="{BA12DEAB-4983-FA49-88E8-2FF999FD5325}" destId="{7079481F-6AC2-694A-983E-5249CF5ABC2A}" srcOrd="1" destOrd="0" presId="urn:microsoft.com/office/officeart/2005/8/layout/process2"/>
    <dgm:cxn modelId="{C2BD6483-3AEF-D649-BB1E-5251522BC6AC}" type="presOf" srcId="{6A367492-23C4-424B-B6AE-B6ACC6915594}" destId="{7A56544D-8ED6-2F4F-B825-FC9BB741A12D}" srcOrd="0" destOrd="0" presId="urn:microsoft.com/office/officeart/2005/8/layout/process2"/>
    <dgm:cxn modelId="{2D10A684-00D5-7240-88A4-226693EF8AA1}" type="presOf" srcId="{EDFCD076-801B-DA4C-9276-91F822EA5BC6}" destId="{F7E8C091-58D2-4249-8016-A5133F62E9E9}" srcOrd="0" destOrd="0" presId="urn:microsoft.com/office/officeart/2005/8/layout/process2"/>
    <dgm:cxn modelId="{C5C97B85-435E-B540-AA49-212AB625D5E3}" srcId="{8B3C253D-9C03-1D44-9979-86B71E805BF3}" destId="{E03C59B6-2FA1-F442-8011-2B4C9CBFA520}" srcOrd="4" destOrd="0" parTransId="{D52BB118-5DDB-A742-A48C-90C793413522}" sibTransId="{9A7DD915-6439-004B-A002-8A950D29609B}"/>
    <dgm:cxn modelId="{3F5737D0-6AD7-7C4E-9590-274DAF936A85}" type="presOf" srcId="{6A367492-23C4-424B-B6AE-B6ACC6915594}" destId="{05E134F0-1BB2-5648-B462-78104B641B3A}" srcOrd="1" destOrd="0" presId="urn:microsoft.com/office/officeart/2005/8/layout/process2"/>
    <dgm:cxn modelId="{4DE6C5D0-F88D-604C-92B7-91CA5E7E131D}" srcId="{8B3C253D-9C03-1D44-9979-86B71E805BF3}" destId="{EDFCD076-801B-DA4C-9276-91F822EA5BC6}" srcOrd="0" destOrd="0" parTransId="{DFCF499D-CFA3-3D46-8D58-C9C274C1FA4F}" sibTransId="{6A367492-23C4-424B-B6AE-B6ACC6915594}"/>
    <dgm:cxn modelId="{FF9540D2-BE62-7344-A356-BC5A1E123E50}" type="presOf" srcId="{14D79D95-3BF0-3041-8B8D-ECA666EFA114}" destId="{A866B297-9A8B-F147-A9A2-258F53CAB383}" srcOrd="0" destOrd="0" presId="urn:microsoft.com/office/officeart/2005/8/layout/process2"/>
    <dgm:cxn modelId="{9909E2E6-78E6-4442-92F4-30D2A747E84D}" srcId="{8B3C253D-9C03-1D44-9979-86B71E805BF3}" destId="{358CF649-63AF-5241-AA6C-9AE2A990E484}" srcOrd="1" destOrd="0" parTransId="{E1FB191E-C101-CD45-AF1C-351DA077CA4D}" sibTransId="{BA12DEAB-4983-FA49-88E8-2FF999FD5325}"/>
    <dgm:cxn modelId="{3914A4ED-00A5-834C-82BB-0DE7D18BE8CB}" type="presOf" srcId="{84501311-5DC4-8443-AB95-2EA4D6CA6CF7}" destId="{36B3E4F3-8650-D94A-BAAB-76950A546C6C}" srcOrd="0" destOrd="0" presId="urn:microsoft.com/office/officeart/2005/8/layout/process2"/>
    <dgm:cxn modelId="{C45727EF-2F4D-8448-97F3-8C0789BAD12A}" type="presOf" srcId="{B1F14482-5B74-C247-AEA2-947C7976BC33}" destId="{07E3D48F-85DE-494D-82AE-352083A4F186}" srcOrd="0" destOrd="0" presId="urn:microsoft.com/office/officeart/2005/8/layout/process2"/>
    <dgm:cxn modelId="{F259C7F4-23B4-FF44-973C-8F80770D5729}" type="presOf" srcId="{518AD71B-F8E8-5949-AAAB-11AB2C92FADC}" destId="{0263FF7F-DF3E-F149-BF62-EA72C5A22772}" srcOrd="0" destOrd="0" presId="urn:microsoft.com/office/officeart/2005/8/layout/process2"/>
    <dgm:cxn modelId="{B159E0F5-7580-A448-86E1-A6000CC160B2}" type="presParOf" srcId="{2A3DFC23-268E-CC4E-8667-33D196C9B568}" destId="{F7E8C091-58D2-4249-8016-A5133F62E9E9}" srcOrd="0" destOrd="0" presId="urn:microsoft.com/office/officeart/2005/8/layout/process2"/>
    <dgm:cxn modelId="{0C7BDBF5-113D-8B45-BFBE-C6C95C71ED4B}" type="presParOf" srcId="{2A3DFC23-268E-CC4E-8667-33D196C9B568}" destId="{7A56544D-8ED6-2F4F-B825-FC9BB741A12D}" srcOrd="1" destOrd="0" presId="urn:microsoft.com/office/officeart/2005/8/layout/process2"/>
    <dgm:cxn modelId="{550429B4-3D01-5548-858F-DC816AFCAB84}" type="presParOf" srcId="{7A56544D-8ED6-2F4F-B825-FC9BB741A12D}" destId="{05E134F0-1BB2-5648-B462-78104B641B3A}" srcOrd="0" destOrd="0" presId="urn:microsoft.com/office/officeart/2005/8/layout/process2"/>
    <dgm:cxn modelId="{3DA63BDD-4494-B348-BFB6-A932E56813E0}" type="presParOf" srcId="{2A3DFC23-268E-CC4E-8667-33D196C9B568}" destId="{889BD426-C08A-7544-B7A9-31EA6BA70CF1}" srcOrd="2" destOrd="0" presId="urn:microsoft.com/office/officeart/2005/8/layout/process2"/>
    <dgm:cxn modelId="{1555B88C-22A7-AA46-824E-7A5CB1CABAD8}" type="presParOf" srcId="{2A3DFC23-268E-CC4E-8667-33D196C9B568}" destId="{0B03CC1F-34DF-E84D-BBBB-6A65986FF6D6}" srcOrd="3" destOrd="0" presId="urn:microsoft.com/office/officeart/2005/8/layout/process2"/>
    <dgm:cxn modelId="{5A4A072C-8292-1546-9CEF-0F660DB068F1}" type="presParOf" srcId="{0B03CC1F-34DF-E84D-BBBB-6A65986FF6D6}" destId="{7079481F-6AC2-694A-983E-5249CF5ABC2A}" srcOrd="0" destOrd="0" presId="urn:microsoft.com/office/officeart/2005/8/layout/process2"/>
    <dgm:cxn modelId="{B15D6472-872A-2647-B055-C696AF5D247A}" type="presParOf" srcId="{2A3DFC23-268E-CC4E-8667-33D196C9B568}" destId="{A866B297-9A8B-F147-A9A2-258F53CAB383}" srcOrd="4" destOrd="0" presId="urn:microsoft.com/office/officeart/2005/8/layout/process2"/>
    <dgm:cxn modelId="{2AA7DD93-05E2-EB46-8CAF-B57FD93944C7}" type="presParOf" srcId="{2A3DFC23-268E-CC4E-8667-33D196C9B568}" destId="{0263FF7F-DF3E-F149-BF62-EA72C5A22772}" srcOrd="5" destOrd="0" presId="urn:microsoft.com/office/officeart/2005/8/layout/process2"/>
    <dgm:cxn modelId="{4903D55F-B1ED-704C-A8F4-50D12B4CD488}" type="presParOf" srcId="{0263FF7F-DF3E-F149-BF62-EA72C5A22772}" destId="{9C21B569-2464-124B-85CB-B4E48580D22C}" srcOrd="0" destOrd="0" presId="urn:microsoft.com/office/officeart/2005/8/layout/process2"/>
    <dgm:cxn modelId="{DFA8ABBD-C0E8-D04A-A587-264F153F5C24}" type="presParOf" srcId="{2A3DFC23-268E-CC4E-8667-33D196C9B568}" destId="{36B3E4F3-8650-D94A-BAAB-76950A546C6C}" srcOrd="6" destOrd="0" presId="urn:microsoft.com/office/officeart/2005/8/layout/process2"/>
    <dgm:cxn modelId="{CFFAB20A-FF24-4843-B765-9D6DAF5E66E4}" type="presParOf" srcId="{2A3DFC23-268E-CC4E-8667-33D196C9B568}" destId="{07E3D48F-85DE-494D-82AE-352083A4F186}" srcOrd="7" destOrd="0" presId="urn:microsoft.com/office/officeart/2005/8/layout/process2"/>
    <dgm:cxn modelId="{1856B839-6484-DC46-9665-590EF0347827}" type="presParOf" srcId="{07E3D48F-85DE-494D-82AE-352083A4F186}" destId="{E5F49357-78BB-C54D-8050-330C4CC3AF3A}" srcOrd="0" destOrd="0" presId="urn:microsoft.com/office/officeart/2005/8/layout/process2"/>
    <dgm:cxn modelId="{76E39CC9-5477-C846-9977-A479C5CFBE0B}" type="presParOf" srcId="{2A3DFC23-268E-CC4E-8667-33D196C9B568}" destId="{B64AFD84-6FE9-844B-9971-D6AD7CB39FEB}" srcOrd="8" destOrd="0" presId="urn:microsoft.com/office/officeart/2005/8/layout/process2"/>
    <dgm:cxn modelId="{701ACAB0-05CB-6446-A8F2-B2020E63A93E}" type="presParOf" srcId="{2A3DFC23-268E-CC4E-8667-33D196C9B568}" destId="{F882AB95-D640-F841-BEB1-CA68C1D86B65}" srcOrd="9" destOrd="0" presId="urn:microsoft.com/office/officeart/2005/8/layout/process2"/>
    <dgm:cxn modelId="{37BB22C9-D90A-0C43-8D69-5D0535AA4312}" type="presParOf" srcId="{F882AB95-D640-F841-BEB1-CA68C1D86B65}" destId="{38E17D7B-1853-0849-A306-B4824C209623}" srcOrd="0" destOrd="0" presId="urn:microsoft.com/office/officeart/2005/8/layout/process2"/>
    <dgm:cxn modelId="{2FB7CE1D-DEC1-1A4D-A12F-84D09FB36D80}" type="presParOf" srcId="{2A3DFC23-268E-CC4E-8667-33D196C9B568}" destId="{F926FFBC-5008-3C4C-9983-8624829137E5}" srcOrd="10" destOrd="0" presId="urn:microsoft.com/office/officeart/2005/8/layout/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E8C091-58D2-4249-8016-A5133F62E9E9}">
      <dsp:nvSpPr>
        <dsp:cNvPr id="0" name=""/>
        <dsp:cNvSpPr/>
      </dsp:nvSpPr>
      <dsp:spPr>
        <a:xfrm>
          <a:off x="832610" y="1687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Dane</a:t>
          </a:r>
        </a:p>
      </dsp:txBody>
      <dsp:txXfrm>
        <a:off x="847258" y="16335"/>
        <a:ext cx="1429683" cy="470836"/>
      </dsp:txXfrm>
    </dsp:sp>
    <dsp:sp modelId="{7A56544D-8ED6-2F4F-B825-FC9BB741A12D}">
      <dsp:nvSpPr>
        <dsp:cNvPr id="0" name=""/>
        <dsp:cNvSpPr/>
      </dsp:nvSpPr>
      <dsp:spPr>
        <a:xfrm rot="5400000">
          <a:off x="1468325" y="514323"/>
          <a:ext cx="187549" cy="22505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6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900" kern="1200"/>
        </a:p>
      </dsp:txBody>
      <dsp:txXfrm rot="-5400000">
        <a:off x="1494583" y="533078"/>
        <a:ext cx="135035" cy="131284"/>
      </dsp:txXfrm>
    </dsp:sp>
    <dsp:sp modelId="{889BD426-C08A-7544-B7A9-31EA6BA70CF1}">
      <dsp:nvSpPr>
        <dsp:cNvPr id="0" name=""/>
        <dsp:cNvSpPr/>
      </dsp:nvSpPr>
      <dsp:spPr>
        <a:xfrm>
          <a:off x="832610" y="751886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Analiza Wstępna</a:t>
          </a:r>
        </a:p>
      </dsp:txBody>
      <dsp:txXfrm>
        <a:off x="847258" y="766534"/>
        <a:ext cx="1429683" cy="470836"/>
      </dsp:txXfrm>
    </dsp:sp>
    <dsp:sp modelId="{0B03CC1F-34DF-E84D-BBBB-6A65986FF6D6}">
      <dsp:nvSpPr>
        <dsp:cNvPr id="0" name=""/>
        <dsp:cNvSpPr/>
      </dsp:nvSpPr>
      <dsp:spPr>
        <a:xfrm rot="5400000">
          <a:off x="1468325" y="1264521"/>
          <a:ext cx="187549" cy="22505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6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900" kern="1200"/>
        </a:p>
      </dsp:txBody>
      <dsp:txXfrm rot="-5400000">
        <a:off x="1494583" y="1283276"/>
        <a:ext cx="135035" cy="131284"/>
      </dsp:txXfrm>
    </dsp:sp>
    <dsp:sp modelId="{A866B297-9A8B-F147-A9A2-258F53CAB383}">
      <dsp:nvSpPr>
        <dsp:cNvPr id="0" name=""/>
        <dsp:cNvSpPr/>
      </dsp:nvSpPr>
      <dsp:spPr>
        <a:xfrm>
          <a:off x="832610" y="1502084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Analiza płynnosci i zadłużenia</a:t>
          </a:r>
        </a:p>
      </dsp:txBody>
      <dsp:txXfrm>
        <a:off x="847258" y="1516732"/>
        <a:ext cx="1429683" cy="470836"/>
      </dsp:txXfrm>
    </dsp:sp>
    <dsp:sp modelId="{0263FF7F-DF3E-F149-BF62-EA72C5A22772}">
      <dsp:nvSpPr>
        <dsp:cNvPr id="0" name=""/>
        <dsp:cNvSpPr/>
      </dsp:nvSpPr>
      <dsp:spPr>
        <a:xfrm rot="5400000">
          <a:off x="1468325" y="2014720"/>
          <a:ext cx="187549" cy="22505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6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900" kern="1200"/>
        </a:p>
      </dsp:txBody>
      <dsp:txXfrm rot="-5400000">
        <a:off x="1494583" y="2033475"/>
        <a:ext cx="135035" cy="131284"/>
      </dsp:txXfrm>
    </dsp:sp>
    <dsp:sp modelId="{36B3E4F3-8650-D94A-BAAB-76950A546C6C}">
      <dsp:nvSpPr>
        <dsp:cNvPr id="0" name=""/>
        <dsp:cNvSpPr/>
      </dsp:nvSpPr>
      <dsp:spPr>
        <a:xfrm>
          <a:off x="832610" y="2252283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Analiza rentowności i sprawności</a:t>
          </a:r>
        </a:p>
      </dsp:txBody>
      <dsp:txXfrm>
        <a:off x="847258" y="2266931"/>
        <a:ext cx="1429683" cy="470836"/>
      </dsp:txXfrm>
    </dsp:sp>
    <dsp:sp modelId="{07E3D48F-85DE-494D-82AE-352083A4F186}">
      <dsp:nvSpPr>
        <dsp:cNvPr id="0" name=""/>
        <dsp:cNvSpPr/>
      </dsp:nvSpPr>
      <dsp:spPr>
        <a:xfrm rot="5400000">
          <a:off x="1468325" y="2764918"/>
          <a:ext cx="187549" cy="22505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6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900" kern="1200"/>
        </a:p>
      </dsp:txBody>
      <dsp:txXfrm rot="-5400000">
        <a:off x="1494583" y="2783673"/>
        <a:ext cx="135035" cy="131284"/>
      </dsp:txXfrm>
    </dsp:sp>
    <dsp:sp modelId="{B64AFD84-6FE9-844B-9971-D6AD7CB39FEB}">
      <dsp:nvSpPr>
        <dsp:cNvPr id="0" name=""/>
        <dsp:cNvSpPr/>
      </dsp:nvSpPr>
      <dsp:spPr>
        <a:xfrm>
          <a:off x="832610" y="3002481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Analiza Wskaźnikowa (plik)</a:t>
          </a:r>
        </a:p>
      </dsp:txBody>
      <dsp:txXfrm>
        <a:off x="847258" y="3017129"/>
        <a:ext cx="1429683" cy="470836"/>
      </dsp:txXfrm>
    </dsp:sp>
    <dsp:sp modelId="{F882AB95-D640-F841-BEB1-CA68C1D86B65}">
      <dsp:nvSpPr>
        <dsp:cNvPr id="0" name=""/>
        <dsp:cNvSpPr/>
      </dsp:nvSpPr>
      <dsp:spPr>
        <a:xfrm rot="5400000">
          <a:off x="1468325" y="3515117"/>
          <a:ext cx="187549" cy="22505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6">
                <a:tint val="60000"/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tint val="60000"/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l-PL" sz="900" kern="1200"/>
        </a:p>
      </dsp:txBody>
      <dsp:txXfrm rot="-5400000">
        <a:off x="1494583" y="3533872"/>
        <a:ext cx="135035" cy="131284"/>
      </dsp:txXfrm>
    </dsp:sp>
    <dsp:sp modelId="{F926FFBC-5008-3C4C-9983-8624829137E5}">
      <dsp:nvSpPr>
        <dsp:cNvPr id="0" name=""/>
        <dsp:cNvSpPr/>
      </dsp:nvSpPr>
      <dsp:spPr>
        <a:xfrm>
          <a:off x="832610" y="3752679"/>
          <a:ext cx="1458979" cy="5001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300" kern="1200"/>
            <a:t>Wnioski</a:t>
          </a:r>
        </a:p>
      </dsp:txBody>
      <dsp:txXfrm>
        <a:off x="847258" y="3767327"/>
        <a:ext cx="1429683" cy="4708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2">
  <dgm:title val=""/>
  <dgm:desc val=""/>
  <dgm:catLst>
    <dgm:cat type="process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resizeHandles val="exact"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h" for="ch" ptType="node" refType="h"/>
      <dgm:constr type="h" for="ch" ptType="sibTrans" refType="h" refFor="ch" refPtType="node" fact="0.5"/>
      <dgm:constr type="w" for="ch" ptType="node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choose name="Name0">
          <dgm:if name="Name1" axis="root des" ptType="all node" func="maxDepth" op="gt" val="1">
            <dgm:alg type="tx">
              <dgm:param type="parTxLTRAlign" val="l"/>
              <dgm:param type="parTxRTLAlign" val="r"/>
              <dgm:param type="txAnchorVertCh" val="mid"/>
            </dgm:alg>
          </dgm:if>
          <dgm:else name="Name2">
            <dgm:alg type="tx"/>
          </dgm:else>
        </dgm:choose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w" refType="h" fact="1.8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w" val="NaN" fact="4" max="NaN"/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w" refType="h" fact="0.9"/>
            <dgm:constr type="connDist"/>
            <dgm:constr type="wArH" refType="w" fact="0.5"/>
            <dgm:constr type="hArH" refType="w"/>
            <dgm:constr type="stemThick" refType="w" fact="0.6"/>
            <dgm:constr type="begPad" refType="connDist" fact="0.125"/>
            <dgm:constr type="endPad" refType="connDist" fact="0.125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Analiza Wst&#281;pna'!A1"/><Relationship Id="rId1" Type="http://schemas.openxmlformats.org/officeDocument/2006/relationships/hyperlink" Target="#Wst&#281;p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hyperlink" Target="#'Analiza p&#322;ynno&#347;ci i zad&#322;u&#380;enia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Wst&#281;p!A1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Wst&#281;p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Analiza rentowno&#347;ci i sprawno&#347;c'!A1"/><Relationship Id="rId2" Type="http://schemas.openxmlformats.org/officeDocument/2006/relationships/hyperlink" Target="#Wst&#281;p!A1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hyperlink" Target="#Bilans!A1"/><Relationship Id="rId1" Type="http://schemas.openxmlformats.org/officeDocument/2006/relationships/hyperlink" Target="#Wst&#281;p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Wnioski!A1"/><Relationship Id="rId2" Type="http://schemas.openxmlformats.org/officeDocument/2006/relationships/hyperlink" Target="#Wst&#281;p!A1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9</xdr:row>
      <xdr:rowOff>111125</xdr:rowOff>
    </xdr:from>
    <xdr:to>
      <xdr:col>4</xdr:col>
      <xdr:colOff>409575</xdr:colOff>
      <xdr:row>30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4BDAD3-45BF-072F-2DB6-9533DED9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2249715</xdr:colOff>
      <xdr:row>50</xdr:row>
      <xdr:rowOff>54430</xdr:rowOff>
    </xdr:from>
    <xdr:to>
      <xdr:col>1</xdr:col>
      <xdr:colOff>852714</xdr:colOff>
      <xdr:row>54</xdr:row>
      <xdr:rowOff>54429</xdr:rowOff>
    </xdr:to>
    <xdr:sp macro="" textlink="">
      <xdr:nvSpPr>
        <xdr:cNvPr id="2" name="Prostoką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7CA23-9C09-BD0D-D4E9-7103488899D0}"/>
            </a:ext>
          </a:extLst>
        </xdr:cNvPr>
        <xdr:cNvSpPr/>
      </xdr:nvSpPr>
      <xdr:spPr>
        <a:xfrm>
          <a:off x="2249715" y="12700001"/>
          <a:ext cx="1904999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13</xdr:col>
      <xdr:colOff>526144</xdr:colOff>
      <xdr:row>49</xdr:row>
      <xdr:rowOff>90714</xdr:rowOff>
    </xdr:from>
    <xdr:to>
      <xdr:col>14</xdr:col>
      <xdr:colOff>1034143</xdr:colOff>
      <xdr:row>53</xdr:row>
      <xdr:rowOff>90713</xdr:rowOff>
    </xdr:to>
    <xdr:sp macro="" textlink="">
      <xdr:nvSpPr>
        <xdr:cNvPr id="3" name="Prostoką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64185E-DD51-D843-84B7-F1E794526EFE}"/>
            </a:ext>
          </a:extLst>
        </xdr:cNvPr>
        <xdr:cNvSpPr/>
      </xdr:nvSpPr>
      <xdr:spPr>
        <a:xfrm>
          <a:off x="22497144" y="12536714"/>
          <a:ext cx="1705428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DALEJ</a:t>
          </a:r>
        </a:p>
        <a:p>
          <a:pPr algn="l"/>
          <a:endParaRPr lang="pl-PL" sz="4800" kern="120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20</xdr:row>
      <xdr:rowOff>194347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9937279-117C-446A-0E7E-2C8ED9FA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2583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190500</xdr:rowOff>
    </xdr:from>
    <xdr:to>
      <xdr:col>9</xdr:col>
      <xdr:colOff>342900</xdr:colOff>
      <xdr:row>42</xdr:row>
      <xdr:rowOff>93597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8706A87-BD2B-0C9C-828E-00BB8DA0F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54500"/>
          <a:ext cx="7772400" cy="43734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1199029</xdr:colOff>
      <xdr:row>65</xdr:row>
      <xdr:rowOff>22039</xdr:rowOff>
    </xdr:from>
    <xdr:to>
      <xdr:col>15</xdr:col>
      <xdr:colOff>75079</xdr:colOff>
      <xdr:row>78</xdr:row>
      <xdr:rowOff>168089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8B124E-4577-0354-4AAE-4AC23B8B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1197535</xdr:colOff>
      <xdr:row>79</xdr:row>
      <xdr:rowOff>33243</xdr:rowOff>
    </xdr:from>
    <xdr:to>
      <xdr:col>16</xdr:col>
      <xdr:colOff>472873</xdr:colOff>
      <xdr:row>97</xdr:row>
      <xdr:rowOff>108085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76B3E05-1955-1846-1082-C387FED68224}"/>
            </a:ext>
            <a:ext uri="{147F2762-F138-4A5C-976F-8EAC2B608ADB}">
              <a16:predDERef xmlns:a16="http://schemas.microsoft.com/office/drawing/2014/main" pred="{AA8B124E-4577-0354-4AAE-4AC23B8B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448583</xdr:colOff>
      <xdr:row>63</xdr:row>
      <xdr:rowOff>203121</xdr:rowOff>
    </xdr:from>
    <xdr:to>
      <xdr:col>31</xdr:col>
      <xdr:colOff>236765</xdr:colOff>
      <xdr:row>77</xdr:row>
      <xdr:rowOff>145971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CEB1F91-6711-03F0-D459-929AF73E56C9}"/>
            </a:ext>
            <a:ext uri="{147F2762-F138-4A5C-976F-8EAC2B608ADB}">
              <a16:predDERef xmlns:a16="http://schemas.microsoft.com/office/drawing/2014/main" pred="{076B3E05-1955-1846-1082-C387FED6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588571</xdr:colOff>
      <xdr:row>10</xdr:row>
      <xdr:rowOff>91495</xdr:rowOff>
    </xdr:from>
    <xdr:to>
      <xdr:col>22</xdr:col>
      <xdr:colOff>267257</xdr:colOff>
      <xdr:row>28</xdr:row>
      <xdr:rowOff>38648</xdr:rowOff>
    </xdr:to>
    <xdr:graphicFrame macro="">
      <xdr:nvGraphicFramePr>
        <xdr:cNvPr id="17" name="Wykres 5">
          <a:extLst>
            <a:ext uri="{FF2B5EF4-FFF2-40B4-BE49-F238E27FC236}">
              <a16:creationId xmlns:a16="http://schemas.microsoft.com/office/drawing/2014/main" id="{08239826-68CE-C4EE-C712-8E42888BA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389444</xdr:colOff>
      <xdr:row>28</xdr:row>
      <xdr:rowOff>3106</xdr:rowOff>
    </xdr:from>
    <xdr:to>
      <xdr:col>22</xdr:col>
      <xdr:colOff>567446</xdr:colOff>
      <xdr:row>47</xdr:row>
      <xdr:rowOff>175637</xdr:rowOff>
    </xdr:to>
    <xdr:graphicFrame macro="">
      <xdr:nvGraphicFramePr>
        <xdr:cNvPr id="14" name="Wykres 6">
          <a:extLst>
            <a:ext uri="{FF2B5EF4-FFF2-40B4-BE49-F238E27FC236}">
              <a16:creationId xmlns:a16="http://schemas.microsoft.com/office/drawing/2014/main" id="{84EB24CB-991A-4CAB-A605-45804111C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78153</xdr:colOff>
      <xdr:row>2</xdr:row>
      <xdr:rowOff>175846</xdr:rowOff>
    </xdr:from>
    <xdr:to>
      <xdr:col>26</xdr:col>
      <xdr:colOff>654537</xdr:colOff>
      <xdr:row>6</xdr:row>
      <xdr:rowOff>192593</xdr:rowOff>
    </xdr:to>
    <xdr:sp macro="" textlink="">
      <xdr:nvSpPr>
        <xdr:cNvPr id="3" name="Prostokąt 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C6B698E-045B-2847-8E97-15F0479C8509}"/>
            </a:ext>
          </a:extLst>
        </xdr:cNvPr>
        <xdr:cNvSpPr/>
      </xdr:nvSpPr>
      <xdr:spPr>
        <a:xfrm>
          <a:off x="16236461" y="722923"/>
          <a:ext cx="1904999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24</xdr:col>
      <xdr:colOff>-1</xdr:colOff>
      <xdr:row>16</xdr:row>
      <xdr:rowOff>0</xdr:rowOff>
    </xdr:from>
    <xdr:to>
      <xdr:col>26</xdr:col>
      <xdr:colOff>429845</xdr:colOff>
      <xdr:row>19</xdr:row>
      <xdr:rowOff>156308</xdr:rowOff>
    </xdr:to>
    <xdr:sp macro="" textlink="">
      <xdr:nvSpPr>
        <xdr:cNvPr id="7" name="Prostokąt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E0B739-3A27-9D43-A806-A38040C1DE73}"/>
            </a:ext>
          </a:extLst>
        </xdr:cNvPr>
        <xdr:cNvSpPr/>
      </xdr:nvSpPr>
      <xdr:spPr>
        <a:xfrm>
          <a:off x="16158307" y="3282462"/>
          <a:ext cx="1758461" cy="74246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DALEJ</a:t>
          </a:r>
        </a:p>
        <a:p>
          <a:pPr algn="l"/>
          <a:endParaRPr lang="pl-PL" sz="4800" kern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15087</xdr:colOff>
      <xdr:row>41</xdr:row>
      <xdr:rowOff>108379</xdr:rowOff>
    </xdr:from>
    <xdr:to>
      <xdr:col>31</xdr:col>
      <xdr:colOff>477307</xdr:colOff>
      <xdr:row>61</xdr:row>
      <xdr:rowOff>47853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76232B9-8F5F-0E62-2A9B-6655176F7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624595</xdr:colOff>
      <xdr:row>56</xdr:row>
      <xdr:rowOff>65888</xdr:rowOff>
    </xdr:from>
    <xdr:to>
      <xdr:col>22</xdr:col>
      <xdr:colOff>513470</xdr:colOff>
      <xdr:row>69</xdr:row>
      <xdr:rowOff>155695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1F9D8FF-A3B7-CEB6-18C0-9B88B8D17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29</xdr:row>
      <xdr:rowOff>0</xdr:rowOff>
    </xdr:from>
    <xdr:to>
      <xdr:col>2</xdr:col>
      <xdr:colOff>253999</xdr:colOff>
      <xdr:row>32</xdr:row>
      <xdr:rowOff>188685</xdr:rowOff>
    </xdr:to>
    <xdr:sp macro="" textlink="">
      <xdr:nvSpPr>
        <xdr:cNvPr id="2" name="Prostoką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C0880-69FE-3B4D-9C0F-2A14863347B1}"/>
            </a:ext>
          </a:extLst>
        </xdr:cNvPr>
        <xdr:cNvSpPr/>
      </xdr:nvSpPr>
      <xdr:spPr>
        <a:xfrm>
          <a:off x="25400" y="5892800"/>
          <a:ext cx="1904999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7</xdr:col>
      <xdr:colOff>771525</xdr:colOff>
      <xdr:row>6</xdr:row>
      <xdr:rowOff>177800</xdr:rowOff>
    </xdr:from>
    <xdr:to>
      <xdr:col>13</xdr:col>
      <xdr:colOff>281668</xdr:colOff>
      <xdr:row>16</xdr:row>
      <xdr:rowOff>50800</xdr:rowOff>
    </xdr:to>
    <xdr:graphicFrame macro="">
      <xdr:nvGraphicFramePr>
        <xdr:cNvPr id="5" name="Wykres 2">
          <a:extLst>
            <a:ext uri="{FF2B5EF4-FFF2-40B4-BE49-F238E27FC236}">
              <a16:creationId xmlns:a16="http://schemas.microsoft.com/office/drawing/2014/main" id="{F12AB6AC-8F53-449E-807E-63D459F268A9}"/>
            </a:ext>
            <a:ext uri="{147F2762-F138-4A5C-976F-8EAC2B608ADB}">
              <a16:predDERef xmlns:a16="http://schemas.microsoft.com/office/drawing/2014/main" pred="{3E3C0880-69FE-3B4D-9C0F-2A148633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60403</xdr:colOff>
      <xdr:row>67</xdr:row>
      <xdr:rowOff>112054</xdr:rowOff>
    </xdr:from>
    <xdr:to>
      <xdr:col>1</xdr:col>
      <xdr:colOff>976584</xdr:colOff>
      <xdr:row>81</xdr:row>
      <xdr:rowOff>97031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CC702C-15B1-C82E-F0FD-AC1ACD31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939180</xdr:colOff>
      <xdr:row>72</xdr:row>
      <xdr:rowOff>13009</xdr:rowOff>
    </xdr:from>
    <xdr:to>
      <xdr:col>4</xdr:col>
      <xdr:colOff>1215792</xdr:colOff>
      <xdr:row>76</xdr:row>
      <xdr:rowOff>4070</xdr:rowOff>
    </xdr:to>
    <xdr:sp macro="" textlink="">
      <xdr:nvSpPr>
        <xdr:cNvPr id="5" name="Prostokąt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A3855-4E65-8E4C-B5F2-3F737DCE2B2C}"/>
            </a:ext>
          </a:extLst>
        </xdr:cNvPr>
        <xdr:cNvSpPr/>
      </xdr:nvSpPr>
      <xdr:spPr>
        <a:xfrm>
          <a:off x="9844668" y="8670692"/>
          <a:ext cx="1902831" cy="79642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4</xdr:col>
      <xdr:colOff>1729058</xdr:colOff>
      <xdr:row>72</xdr:row>
      <xdr:rowOff>179040</xdr:rowOff>
    </xdr:from>
    <xdr:to>
      <xdr:col>5</xdr:col>
      <xdr:colOff>1356952</xdr:colOff>
      <xdr:row>76</xdr:row>
      <xdr:rowOff>175676</xdr:rowOff>
    </xdr:to>
    <xdr:sp macro="" textlink="">
      <xdr:nvSpPr>
        <xdr:cNvPr id="6" name="Prostokąt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0A77A0-3F09-C447-8832-828E1C50D95C}"/>
            </a:ext>
          </a:extLst>
        </xdr:cNvPr>
        <xdr:cNvSpPr/>
      </xdr:nvSpPr>
      <xdr:spPr>
        <a:xfrm>
          <a:off x="12260765" y="8836723"/>
          <a:ext cx="1703260" cy="80200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DALEJ</a:t>
          </a:r>
        </a:p>
        <a:p>
          <a:pPr algn="l"/>
          <a:endParaRPr lang="pl-PL" sz="4800" kern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1487665</xdr:colOff>
      <xdr:row>34</xdr:row>
      <xdr:rowOff>176310</xdr:rowOff>
    </xdr:from>
    <xdr:to>
      <xdr:col>7</xdr:col>
      <xdr:colOff>250715</xdr:colOff>
      <xdr:row>42</xdr:row>
      <xdr:rowOff>177148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57F6D44-3D1C-A4C5-E24A-E7C23D53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1090575</xdr:colOff>
      <xdr:row>71</xdr:row>
      <xdr:rowOff>53311</xdr:rowOff>
    </xdr:from>
    <xdr:to>
      <xdr:col>3</xdr:col>
      <xdr:colOff>404775</xdr:colOff>
      <xdr:row>85</xdr:row>
      <xdr:rowOff>99386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ACF11E-4FBB-1683-91A0-A26C0682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664521</xdr:colOff>
      <xdr:row>47</xdr:row>
      <xdr:rowOff>31738</xdr:rowOff>
    </xdr:from>
    <xdr:to>
      <xdr:col>7</xdr:col>
      <xdr:colOff>428395</xdr:colOff>
      <xdr:row>52</xdr:row>
      <xdr:rowOff>3762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E8BFF56-B604-6D0E-BE11-1BD1BDAB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372241</xdr:colOff>
      <xdr:row>13</xdr:row>
      <xdr:rowOff>284655</xdr:rowOff>
    </xdr:from>
    <xdr:to>
      <xdr:col>21</xdr:col>
      <xdr:colOff>613102</xdr:colOff>
      <xdr:row>15</xdr:row>
      <xdr:rowOff>338457</xdr:rowOff>
    </xdr:to>
    <xdr:sp macro="" textlink="">
      <xdr:nvSpPr>
        <xdr:cNvPr id="2" name="Prostoką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7F366C-D099-CA4A-AFFD-870C0A78238C}"/>
            </a:ext>
          </a:extLst>
        </xdr:cNvPr>
        <xdr:cNvSpPr/>
      </xdr:nvSpPr>
      <xdr:spPr>
        <a:xfrm>
          <a:off x="14167069" y="5123793"/>
          <a:ext cx="1904999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19</xdr:col>
      <xdr:colOff>372241</xdr:colOff>
      <xdr:row>17</xdr:row>
      <xdr:rowOff>21896</xdr:rowOff>
    </xdr:from>
    <xdr:to>
      <xdr:col>21</xdr:col>
      <xdr:colOff>413531</xdr:colOff>
      <xdr:row>19</xdr:row>
      <xdr:rowOff>75698</xdr:rowOff>
    </xdr:to>
    <xdr:sp macro="" textlink="">
      <xdr:nvSpPr>
        <xdr:cNvPr id="4" name="Prostoką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372943-3D5E-D546-AFB9-5486BDA3AF2F}"/>
            </a:ext>
          </a:extLst>
        </xdr:cNvPr>
        <xdr:cNvSpPr/>
      </xdr:nvSpPr>
      <xdr:spPr>
        <a:xfrm>
          <a:off x="14167069" y="6349999"/>
          <a:ext cx="1705428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DALEJ</a:t>
          </a:r>
        </a:p>
        <a:p>
          <a:pPr algn="l"/>
          <a:endParaRPr lang="pl-PL" sz="4800" kern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1562107</xdr:colOff>
      <xdr:row>1</xdr:row>
      <xdr:rowOff>86194</xdr:rowOff>
    </xdr:from>
    <xdr:to>
      <xdr:col>40</xdr:col>
      <xdr:colOff>729900</xdr:colOff>
      <xdr:row>15</xdr:row>
      <xdr:rowOff>323976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454125A-2116-232B-FF73-E67D5473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386548</xdr:colOff>
      <xdr:row>27</xdr:row>
      <xdr:rowOff>140032</xdr:rowOff>
    </xdr:from>
    <xdr:to>
      <xdr:col>12</xdr:col>
      <xdr:colOff>218881</xdr:colOff>
      <xdr:row>82</xdr:row>
      <xdr:rowOff>153401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10BAD62-04FD-30E4-FAF0-F7791F66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593" y="5595259"/>
          <a:ext cx="9660402" cy="11125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323272</xdr:colOff>
      <xdr:row>46</xdr:row>
      <xdr:rowOff>184728</xdr:rowOff>
    </xdr:from>
    <xdr:to>
      <xdr:col>8</xdr:col>
      <xdr:colOff>2228271</xdr:colOff>
      <xdr:row>50</xdr:row>
      <xdr:rowOff>151740</xdr:rowOff>
    </xdr:to>
    <xdr:sp macro="" textlink="">
      <xdr:nvSpPr>
        <xdr:cNvPr id="4" name="Prostoką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DBE5B4-7228-EF45-96C8-5A03338968BA}"/>
            </a:ext>
          </a:extLst>
        </xdr:cNvPr>
        <xdr:cNvSpPr/>
      </xdr:nvSpPr>
      <xdr:spPr>
        <a:xfrm>
          <a:off x="12122727" y="9744364"/>
          <a:ext cx="1904999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WSTĘP</a:t>
          </a:r>
        </a:p>
      </xdr:txBody>
    </xdr:sp>
    <xdr:clientData/>
  </xdr:twoCellAnchor>
  <xdr:twoCellAnchor>
    <xdr:from>
      <xdr:col>9</xdr:col>
      <xdr:colOff>0</xdr:colOff>
      <xdr:row>47</xdr:row>
      <xdr:rowOff>0</xdr:rowOff>
    </xdr:from>
    <xdr:to>
      <xdr:col>10</xdr:col>
      <xdr:colOff>798286</xdr:colOff>
      <xdr:row>50</xdr:row>
      <xdr:rowOff>185964</xdr:rowOff>
    </xdr:to>
    <xdr:sp macro="" textlink="">
      <xdr:nvSpPr>
        <xdr:cNvPr id="5" name="Prostokąt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943DB3-FCB0-5F43-9049-3199E3B4681D}"/>
            </a:ext>
          </a:extLst>
        </xdr:cNvPr>
        <xdr:cNvSpPr/>
      </xdr:nvSpPr>
      <xdr:spPr>
        <a:xfrm>
          <a:off x="4785179" y="9593036"/>
          <a:ext cx="1705428" cy="79828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800" kern="1200" baseline="0">
              <a:solidFill>
                <a:schemeClr val="tx1"/>
              </a:solidFill>
            </a:rPr>
            <a:t>DALEJ</a:t>
          </a:r>
        </a:p>
        <a:p>
          <a:pPr algn="l"/>
          <a:endParaRPr lang="pl-PL" sz="4800" kern="1200" baseline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773042</xdr:colOff>
      <xdr:row>1</xdr:row>
      <xdr:rowOff>69022</xdr:rowOff>
    </xdr:from>
    <xdr:to>
      <xdr:col>30</xdr:col>
      <xdr:colOff>418859</xdr:colOff>
      <xdr:row>15</xdr:row>
      <xdr:rowOff>27608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128FDAA-6151-5E2C-A61C-222780BF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05868" y="276087"/>
          <a:ext cx="13960925" cy="2857499"/>
        </a:xfrm>
        <a:prstGeom prst="rect">
          <a:avLst/>
        </a:prstGeom>
      </xdr:spPr>
    </xdr:pic>
    <xdr:clientData/>
  </xdr:twoCellAnchor>
  <xdr:twoCellAnchor editAs="oneCell">
    <xdr:from>
      <xdr:col>14</xdr:col>
      <xdr:colOff>108601</xdr:colOff>
      <xdr:row>14</xdr:row>
      <xdr:rowOff>165652</xdr:rowOff>
    </xdr:from>
    <xdr:to>
      <xdr:col>30</xdr:col>
      <xdr:colOff>416714</xdr:colOff>
      <xdr:row>27</xdr:row>
      <xdr:rowOff>110435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5E701DE-E296-8498-054F-C60CABD2C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83492" y="3064565"/>
          <a:ext cx="13781156" cy="2636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ney.pl/gielda/raporty/raport,plmobrk00013,7021208772638337.html" TargetMode="External"/><Relationship Id="rId7" Type="http://schemas.openxmlformats.org/officeDocument/2006/relationships/hyperlink" Target="https://mobruk.pl/wp-content/uploads/2024/08/Prezentacja1H24PL.pdf" TargetMode="External"/><Relationship Id="rId2" Type="http://schemas.openxmlformats.org/officeDocument/2006/relationships/hyperlink" Target="https://www.money.pl/gielda/raporty/raport,plmobrk00013,7021208772638337.html" TargetMode="External"/><Relationship Id="rId1" Type="http://schemas.openxmlformats.org/officeDocument/2006/relationships/hyperlink" Target="https://www.money.pl/gielda/raporty/raport,plmobrk00013,7021208772638337.html" TargetMode="External"/><Relationship Id="rId6" Type="http://schemas.openxmlformats.org/officeDocument/2006/relationships/hyperlink" Target="https://mobruk.pl/wp-content/uploads/2024/05/PrezentacjaIkwartal224PLfinal.pdf" TargetMode="External"/><Relationship Id="rId5" Type="http://schemas.openxmlformats.org/officeDocument/2006/relationships/hyperlink" Target="https://www.money.pl/gielda/raporty/raport,plmobrk00013,6715010386101889.html" TargetMode="External"/><Relationship Id="rId4" Type="http://schemas.openxmlformats.org/officeDocument/2006/relationships/hyperlink" Target="https://www.money.pl/gielda/raporty/raport,plmobrk00013,6933241588225665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A789-37E9-47F3-82EF-1C0B0EA62116}">
  <sheetPr codeName="Arkusz1"/>
  <dimension ref="A1:N22"/>
  <sheetViews>
    <sheetView workbookViewId="0">
      <selection activeCell="J9" sqref="J9:N9"/>
    </sheetView>
  </sheetViews>
  <sheetFormatPr baseColWidth="10" defaultColWidth="11" defaultRowHeight="16" x14ac:dyDescent="0.2"/>
  <cols>
    <col min="1" max="1" width="18.5" customWidth="1"/>
    <col min="5" max="5" width="14.1640625" customWidth="1"/>
  </cols>
  <sheetData>
    <row r="1" spans="1:14" ht="16" customHeight="1" x14ac:dyDescent="0.2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4" ht="16" customHeigh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4" ht="16" customHeight="1" x14ac:dyDescent="0.2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4" ht="16" customHeight="1" x14ac:dyDescent="0.2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4" ht="16" customHeight="1" thickBot="1" x14ac:dyDescent="0.25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4" ht="16" customHeight="1" thickBot="1" x14ac:dyDescent="0.25">
      <c r="A6" s="48" t="s">
        <v>164</v>
      </c>
      <c r="B6" s="92" t="s">
        <v>165</v>
      </c>
      <c r="C6" s="93"/>
      <c r="D6" s="93"/>
      <c r="E6" s="93"/>
      <c r="F6" s="93"/>
      <c r="G6" s="93"/>
      <c r="H6" s="94"/>
    </row>
    <row r="7" spans="1:14" ht="16" customHeight="1" x14ac:dyDescent="0.2">
      <c r="A7" s="91" t="s">
        <v>1</v>
      </c>
      <c r="B7" s="99" t="s">
        <v>181</v>
      </c>
      <c r="C7" s="99"/>
      <c r="D7" s="99"/>
      <c r="E7" s="99"/>
      <c r="F7" s="99"/>
      <c r="G7" s="99"/>
      <c r="H7" s="99"/>
    </row>
    <row r="8" spans="1:14" ht="16" customHeight="1" x14ac:dyDescent="0.2">
      <c r="A8" s="91"/>
      <c r="B8" s="99"/>
      <c r="C8" s="99"/>
      <c r="D8" s="99"/>
      <c r="E8" s="99"/>
      <c r="F8" s="99"/>
      <c r="G8" s="99"/>
      <c r="H8" s="99"/>
    </row>
    <row r="9" spans="1:14" ht="84.75" customHeight="1" x14ac:dyDescent="0.2">
      <c r="A9" s="91"/>
      <c r="B9" s="99"/>
      <c r="C9" s="99"/>
      <c r="D9" s="99"/>
      <c r="E9" s="99"/>
      <c r="F9" s="99"/>
      <c r="G9" s="99"/>
      <c r="H9" s="99"/>
      <c r="J9" s="152" t="s">
        <v>190</v>
      </c>
      <c r="K9" s="152"/>
      <c r="L9" s="152"/>
      <c r="M9" s="152"/>
      <c r="N9" s="152"/>
    </row>
    <row r="10" spans="1:14" ht="20" x14ac:dyDescent="0.25">
      <c r="A10" s="31" t="s">
        <v>2</v>
      </c>
      <c r="E10" s="50" t="s">
        <v>166</v>
      </c>
      <c r="F10" s="98" t="s">
        <v>167</v>
      </c>
      <c r="G10" s="98"/>
      <c r="H10" s="98"/>
    </row>
    <row r="11" spans="1:14" x14ac:dyDescent="0.2">
      <c r="F11" s="98" t="s">
        <v>168</v>
      </c>
      <c r="G11" s="98"/>
      <c r="H11" s="98"/>
    </row>
    <row r="12" spans="1:14" x14ac:dyDescent="0.2">
      <c r="F12" s="98" t="s">
        <v>169</v>
      </c>
      <c r="G12" s="98"/>
      <c r="H12" s="98"/>
    </row>
    <row r="13" spans="1:14" x14ac:dyDescent="0.2">
      <c r="F13" s="53" t="s">
        <v>170</v>
      </c>
    </row>
    <row r="14" spans="1:14" x14ac:dyDescent="0.2">
      <c r="F14" s="53" t="s">
        <v>171</v>
      </c>
    </row>
    <row r="21" spans="2:3" x14ac:dyDescent="0.2">
      <c r="B21" s="97"/>
      <c r="C21" s="97"/>
    </row>
    <row r="22" spans="2:3" x14ac:dyDescent="0.2">
      <c r="B22" s="97"/>
      <c r="C22" s="97"/>
    </row>
  </sheetData>
  <mergeCells count="9">
    <mergeCell ref="A7:A9"/>
    <mergeCell ref="B6:H6"/>
    <mergeCell ref="A1:L5"/>
    <mergeCell ref="B21:C22"/>
    <mergeCell ref="F10:H10"/>
    <mergeCell ref="F11:H11"/>
    <mergeCell ref="F12:H12"/>
    <mergeCell ref="B7:H9"/>
    <mergeCell ref="J9:N9"/>
  </mergeCells>
  <hyperlinks>
    <hyperlink ref="F10" r:id="rId1" xr:uid="{098F11FF-D1FA-422F-BE82-DA3604F4A5CA}"/>
    <hyperlink ref="F11" r:id="rId2" display="Sprawozdanie finansowe za 2023 r." xr:uid="{C31D933D-1AF7-41D8-AE49-619FDE3235E4}"/>
    <hyperlink ref="F12" r:id="rId3" display="Sprawozdanie finansowe za 2023 r." xr:uid="{71AF1875-A7BB-4D2F-8169-3A461B5794BC}"/>
    <hyperlink ref="F11:H11" r:id="rId4" display="Sprawozdanie finansowe za 2022 r." xr:uid="{9863B9C0-CB5E-4DCE-A63E-BD11DB13691C}"/>
    <hyperlink ref="F12:H12" r:id="rId5" display="Sprawozdanie finansowe za 2021 r." xr:uid="{EFA9D997-4E20-4513-9612-9EDA2F1C9AFC}"/>
    <hyperlink ref="F13" r:id="rId6" xr:uid="{57CDC6B2-113A-2741-954A-503D5F1FFDA8}"/>
    <hyperlink ref="F14" r:id="rId7" xr:uid="{FC2B76CB-2432-B545-8393-EA95176C28B5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F816-44B1-4469-97A6-697DEA0C6A00}">
  <sheetPr codeName="Arkusz8"/>
  <dimension ref="A1:Q49"/>
  <sheetViews>
    <sheetView zoomScale="61" zoomScaleNormal="40" workbookViewId="0">
      <selection activeCell="I21" sqref="I21"/>
    </sheetView>
  </sheetViews>
  <sheetFormatPr baseColWidth="10" defaultColWidth="8.83203125" defaultRowHeight="16" x14ac:dyDescent="0.2"/>
  <cols>
    <col min="1" max="1" width="43.33203125" customWidth="1"/>
    <col min="2" max="2" width="24" customWidth="1"/>
    <col min="3" max="3" width="19.5" customWidth="1"/>
    <col min="4" max="4" width="18.33203125" customWidth="1"/>
    <col min="5" max="5" width="19.83203125" customWidth="1"/>
    <col min="7" max="7" width="44.6640625" customWidth="1"/>
    <col min="8" max="8" width="19.33203125" customWidth="1"/>
    <col min="9" max="9" width="23.1640625" customWidth="1"/>
    <col min="10" max="10" width="18.6640625" customWidth="1"/>
    <col min="11" max="11" width="20.33203125" customWidth="1"/>
    <col min="13" max="13" width="52.5" customWidth="1"/>
    <col min="14" max="14" width="20.6640625" customWidth="1"/>
    <col min="15" max="15" width="23" customWidth="1"/>
    <col min="16" max="16" width="19.5" customWidth="1"/>
    <col min="17" max="17" width="17.6640625" customWidth="1"/>
  </cols>
  <sheetData>
    <row r="1" spans="1:17" ht="20" customHeight="1" x14ac:dyDescent="0.2">
      <c r="A1" s="101" t="s">
        <v>3</v>
      </c>
      <c r="B1" s="101"/>
      <c r="C1" s="101"/>
      <c r="D1" s="101"/>
      <c r="E1" s="101"/>
      <c r="G1" s="103" t="s">
        <v>64</v>
      </c>
      <c r="H1" s="103"/>
      <c r="I1" s="103"/>
      <c r="J1" s="103"/>
      <c r="K1" s="103"/>
      <c r="M1" s="101" t="s">
        <v>90</v>
      </c>
      <c r="N1" s="101"/>
      <c r="O1" s="101"/>
      <c r="P1" s="101"/>
      <c r="Q1" s="101"/>
    </row>
    <row r="2" spans="1:17" ht="20" customHeight="1" x14ac:dyDescent="0.2">
      <c r="A2" s="101"/>
      <c r="B2" s="101"/>
      <c r="C2" s="101"/>
      <c r="D2" s="101"/>
      <c r="E2" s="101"/>
      <c r="G2" s="103"/>
      <c r="H2" s="103"/>
      <c r="I2" s="103"/>
      <c r="J2" s="103"/>
      <c r="K2" s="103"/>
      <c r="M2" s="101"/>
      <c r="N2" s="101"/>
      <c r="O2" s="101"/>
      <c r="P2" s="101"/>
      <c r="Q2" s="101"/>
    </row>
    <row r="3" spans="1:17" ht="20" customHeight="1" x14ac:dyDescent="0.2">
      <c r="A3" s="101"/>
      <c r="B3" s="101"/>
      <c r="C3" s="101"/>
      <c r="D3" s="101"/>
      <c r="E3" s="101"/>
      <c r="G3" s="103"/>
      <c r="H3" s="103"/>
      <c r="I3" s="103"/>
      <c r="J3" s="103"/>
      <c r="K3" s="103"/>
      <c r="M3" s="101"/>
      <c r="N3" s="101"/>
      <c r="O3" s="101"/>
      <c r="P3" s="101"/>
      <c r="Q3" s="101"/>
    </row>
    <row r="4" spans="1:17" ht="20" customHeight="1" x14ac:dyDescent="0.2">
      <c r="A4" s="8"/>
      <c r="B4" s="32">
        <v>44196</v>
      </c>
      <c r="C4" s="9">
        <v>2021</v>
      </c>
      <c r="D4" s="8">
        <v>2022</v>
      </c>
      <c r="E4" s="8">
        <v>2023</v>
      </c>
      <c r="G4" s="21"/>
      <c r="H4" s="28">
        <v>2020</v>
      </c>
      <c r="I4" s="18">
        <v>2021</v>
      </c>
      <c r="J4" s="19">
        <v>2022</v>
      </c>
      <c r="K4" s="19">
        <v>2023</v>
      </c>
      <c r="M4" s="16"/>
      <c r="N4" s="49">
        <v>2020</v>
      </c>
      <c r="O4" s="18">
        <v>2021</v>
      </c>
      <c r="P4" s="19">
        <v>2022</v>
      </c>
      <c r="Q4" s="19">
        <v>2023</v>
      </c>
    </row>
    <row r="5" spans="1:17" ht="20" customHeight="1" x14ac:dyDescent="0.2">
      <c r="A5" s="8" t="s">
        <v>11</v>
      </c>
      <c r="B5" s="20">
        <f>SUM(B6:B9)</f>
        <v>117715190</v>
      </c>
      <c r="C5" s="12">
        <v>113596044</v>
      </c>
      <c r="D5" s="13">
        <v>138018948</v>
      </c>
      <c r="E5" s="13">
        <v>230462892</v>
      </c>
      <c r="G5" s="10" t="s">
        <v>65</v>
      </c>
      <c r="H5" s="11"/>
      <c r="I5" s="10"/>
      <c r="J5" s="10"/>
      <c r="K5" s="10"/>
      <c r="M5" s="100" t="s">
        <v>91</v>
      </c>
      <c r="N5" s="100"/>
      <c r="O5" s="100"/>
      <c r="P5" s="100"/>
      <c r="Q5" s="100"/>
    </row>
    <row r="6" spans="1:17" ht="20" customHeight="1" x14ac:dyDescent="0.2">
      <c r="A6" s="10" t="s">
        <v>12</v>
      </c>
      <c r="B6" s="11">
        <v>113080120</v>
      </c>
      <c r="C6" s="14">
        <v>108411078</v>
      </c>
      <c r="D6" s="15">
        <v>134591726</v>
      </c>
      <c r="E6" s="15">
        <v>166970001</v>
      </c>
      <c r="G6" s="10" t="s">
        <v>66</v>
      </c>
      <c r="H6" s="11">
        <v>156424763</v>
      </c>
      <c r="I6" s="22">
        <v>236659013</v>
      </c>
      <c r="J6" s="22">
        <v>213019187</v>
      </c>
      <c r="K6" s="22">
        <v>198986253</v>
      </c>
      <c r="M6" s="10" t="s">
        <v>92</v>
      </c>
      <c r="N6" s="11">
        <v>86859307</v>
      </c>
      <c r="O6" s="15">
        <v>136210477</v>
      </c>
      <c r="P6" s="15">
        <v>110884168</v>
      </c>
      <c r="Q6" s="15">
        <v>88850795</v>
      </c>
    </row>
    <row r="7" spans="1:17" ht="20" customHeight="1" x14ac:dyDescent="0.2">
      <c r="A7" s="10" t="s">
        <v>13</v>
      </c>
      <c r="B7" s="11">
        <v>637656</v>
      </c>
      <c r="C7" s="14">
        <v>613190</v>
      </c>
      <c r="D7" s="15">
        <v>607253</v>
      </c>
      <c r="E7" s="15">
        <v>1471501</v>
      </c>
      <c r="G7" s="10" t="s">
        <v>67</v>
      </c>
      <c r="H7" s="11">
        <v>66590056</v>
      </c>
      <c r="I7" s="22">
        <v>89869322</v>
      </c>
      <c r="J7" s="22">
        <v>107630765</v>
      </c>
      <c r="K7" s="22">
        <v>110471899</v>
      </c>
      <c r="M7" s="10" t="s">
        <v>93</v>
      </c>
      <c r="N7" s="11">
        <v>-21314451</v>
      </c>
      <c r="O7" s="15">
        <v>12404601</v>
      </c>
      <c r="P7" s="15">
        <v>-15269549</v>
      </c>
      <c r="Q7" s="15">
        <v>-25389560</v>
      </c>
    </row>
    <row r="8" spans="1:17" ht="20" customHeight="1" x14ac:dyDescent="0.2">
      <c r="A8" s="10" t="s">
        <v>14</v>
      </c>
      <c r="B8" s="11">
        <v>1628599</v>
      </c>
      <c r="C8" s="14">
        <v>1628599</v>
      </c>
      <c r="D8" s="15">
        <v>1628599</v>
      </c>
      <c r="E8" s="15">
        <v>58382096</v>
      </c>
      <c r="G8" s="21" t="s">
        <v>68</v>
      </c>
      <c r="H8" s="29">
        <f>H6-H7</f>
        <v>89834707</v>
      </c>
      <c r="I8" s="23">
        <v>146789692</v>
      </c>
      <c r="J8" s="23">
        <v>105388422</v>
      </c>
      <c r="K8" s="23">
        <v>88514354</v>
      </c>
      <c r="M8" s="10" t="s">
        <v>94</v>
      </c>
      <c r="N8" s="11">
        <v>5559569</v>
      </c>
      <c r="O8" s="15">
        <v>4971645</v>
      </c>
      <c r="P8" s="15">
        <v>5051596</v>
      </c>
      <c r="Q8" s="15">
        <v>12319743</v>
      </c>
    </row>
    <row r="9" spans="1:17" ht="20" customHeight="1" x14ac:dyDescent="0.2">
      <c r="A9" s="10" t="s">
        <v>15</v>
      </c>
      <c r="B9" s="11">
        <v>2368815</v>
      </c>
      <c r="C9" s="14">
        <v>2943177</v>
      </c>
      <c r="D9" s="15">
        <v>1191370</v>
      </c>
      <c r="E9" s="15">
        <v>623438</v>
      </c>
      <c r="G9" s="10" t="s">
        <v>69</v>
      </c>
      <c r="H9" s="11">
        <v>1837371</v>
      </c>
      <c r="I9" s="22">
        <v>2131982</v>
      </c>
      <c r="J9" s="22">
        <v>2460858</v>
      </c>
      <c r="K9" s="22">
        <v>3746402</v>
      </c>
      <c r="M9" s="10" t="s">
        <v>95</v>
      </c>
      <c r="N9" s="11"/>
      <c r="O9" s="15" t="s">
        <v>37</v>
      </c>
      <c r="P9" s="15">
        <v>-2287820</v>
      </c>
      <c r="Q9" s="15">
        <v>-3188235</v>
      </c>
    </row>
    <row r="10" spans="1:17" ht="20" customHeight="1" x14ac:dyDescent="0.2">
      <c r="A10" s="10" t="s">
        <v>16</v>
      </c>
      <c r="B10" s="11"/>
      <c r="C10" s="15"/>
      <c r="D10" s="15"/>
      <c r="E10" s="15">
        <v>3015856</v>
      </c>
      <c r="G10" s="10" t="s">
        <v>70</v>
      </c>
      <c r="H10" s="11">
        <v>5828067</v>
      </c>
      <c r="I10" s="22">
        <v>5486395</v>
      </c>
      <c r="J10" s="22">
        <v>6348888</v>
      </c>
      <c r="K10" s="22">
        <v>11332373</v>
      </c>
      <c r="M10" s="10" t="s">
        <v>96</v>
      </c>
      <c r="N10" s="11">
        <v>259394</v>
      </c>
      <c r="O10" s="15">
        <v>7371</v>
      </c>
      <c r="P10" s="15">
        <v>1327</v>
      </c>
      <c r="Q10" s="15">
        <v>240206</v>
      </c>
    </row>
    <row r="11" spans="1:17" ht="20" customHeight="1" x14ac:dyDescent="0.2">
      <c r="A11" s="8" t="s">
        <v>17</v>
      </c>
      <c r="B11" s="20">
        <f>SUM(B12:B18)</f>
        <v>75847219</v>
      </c>
      <c r="C11" s="12">
        <v>125330451</v>
      </c>
      <c r="D11" s="13">
        <v>112734662</v>
      </c>
      <c r="E11" s="13">
        <v>58569464</v>
      </c>
      <c r="G11" s="10" t="s">
        <v>71</v>
      </c>
      <c r="H11" s="11">
        <v>3326119</v>
      </c>
      <c r="I11" s="22">
        <v>592577</v>
      </c>
      <c r="J11" s="22">
        <v>4544552</v>
      </c>
      <c r="K11" s="22">
        <v>3660486</v>
      </c>
      <c r="M11" s="10" t="s">
        <v>97</v>
      </c>
      <c r="N11" s="11">
        <v>-1837555</v>
      </c>
      <c r="O11" s="15">
        <v>-9767132</v>
      </c>
      <c r="P11" s="15">
        <v>-14027460</v>
      </c>
      <c r="Q11" s="15">
        <v>-13695174</v>
      </c>
    </row>
    <row r="12" spans="1:17" ht="20" customHeight="1" x14ac:dyDescent="0.2">
      <c r="A12" s="10" t="s">
        <v>18</v>
      </c>
      <c r="B12" s="11">
        <v>719797</v>
      </c>
      <c r="C12" s="14">
        <v>808042</v>
      </c>
      <c r="D12" s="15">
        <v>1073791</v>
      </c>
      <c r="E12" s="15">
        <v>786974</v>
      </c>
      <c r="G12" s="10" t="s">
        <v>72</v>
      </c>
      <c r="H12" s="11">
        <v>407230</v>
      </c>
      <c r="I12" s="22">
        <v>11164129</v>
      </c>
      <c r="J12" s="22">
        <v>6134897</v>
      </c>
      <c r="K12" s="22">
        <v>3454980</v>
      </c>
      <c r="M12" s="10" t="s">
        <v>98</v>
      </c>
      <c r="N12" s="11">
        <v>-1993785</v>
      </c>
      <c r="O12" s="15">
        <v>-94428</v>
      </c>
      <c r="P12" s="15">
        <v>-526094</v>
      </c>
      <c r="Q12" s="15">
        <v>-112302</v>
      </c>
    </row>
    <row r="13" spans="1:17" ht="20" customHeight="1" x14ac:dyDescent="0.2">
      <c r="A13" s="10" t="s">
        <v>19</v>
      </c>
      <c r="B13" s="11">
        <v>16672070</v>
      </c>
      <c r="C13" s="14">
        <v>19351568</v>
      </c>
      <c r="D13" s="15">
        <v>19071495</v>
      </c>
      <c r="E13" s="15">
        <v>21404560</v>
      </c>
      <c r="G13" s="21" t="s">
        <v>73</v>
      </c>
      <c r="H13" s="29">
        <f>H8+H11-H9-H10-H12</f>
        <v>85088158</v>
      </c>
      <c r="I13" s="23">
        <v>128599763</v>
      </c>
      <c r="J13" s="23">
        <v>94988331</v>
      </c>
      <c r="K13" s="23">
        <v>73641085</v>
      </c>
      <c r="M13" s="10" t="s">
        <v>99</v>
      </c>
      <c r="N13" s="11"/>
      <c r="O13" s="15" t="s">
        <v>37</v>
      </c>
      <c r="P13" s="15">
        <v>-5616934</v>
      </c>
      <c r="Q13" s="15">
        <v>-27894001</v>
      </c>
    </row>
    <row r="14" spans="1:17" ht="20" customHeight="1" x14ac:dyDescent="0.2">
      <c r="A14" s="10" t="s">
        <v>20</v>
      </c>
      <c r="B14" s="11">
        <v>12046317</v>
      </c>
      <c r="C14" s="14">
        <v>3829278</v>
      </c>
      <c r="D14" s="15">
        <v>12385625</v>
      </c>
      <c r="E14" s="15">
        <v>28812663</v>
      </c>
      <c r="G14" s="10" t="s">
        <v>74</v>
      </c>
      <c r="H14" s="11">
        <v>2198057</v>
      </c>
      <c r="I14" s="22">
        <v>9818845</v>
      </c>
      <c r="J14" s="22">
        <v>16337304</v>
      </c>
      <c r="K14" s="22">
        <v>16687697</v>
      </c>
      <c r="M14" s="10" t="s">
        <v>100</v>
      </c>
      <c r="N14" s="11">
        <v>-9610802</v>
      </c>
      <c r="O14" s="15">
        <v>15087489</v>
      </c>
      <c r="P14" s="15">
        <v>-3275346</v>
      </c>
      <c r="Q14" s="15">
        <v>1238100</v>
      </c>
    </row>
    <row r="15" spans="1:17" ht="20" customHeight="1" x14ac:dyDescent="0.2">
      <c r="A15" s="10" t="s">
        <v>21</v>
      </c>
      <c r="B15" s="11">
        <v>4995200</v>
      </c>
      <c r="C15" s="14"/>
      <c r="D15" s="15"/>
      <c r="E15" s="15"/>
      <c r="G15" s="10" t="s">
        <v>75</v>
      </c>
      <c r="H15" s="11">
        <v>426907</v>
      </c>
      <c r="I15" s="22">
        <v>2208130</v>
      </c>
      <c r="J15" s="22">
        <v>441467</v>
      </c>
      <c r="K15" s="22">
        <v>1477987</v>
      </c>
      <c r="M15" s="10" t="s">
        <v>101</v>
      </c>
      <c r="N15" s="11">
        <v>15046</v>
      </c>
      <c r="O15" s="15">
        <v>9453343</v>
      </c>
      <c r="P15" s="15">
        <v>-265750</v>
      </c>
      <c r="Q15" s="15">
        <v>286817</v>
      </c>
    </row>
    <row r="16" spans="1:17" ht="20" customHeight="1" x14ac:dyDescent="0.2">
      <c r="A16" s="10" t="s">
        <v>22</v>
      </c>
      <c r="B16" s="11">
        <v>40315528</v>
      </c>
      <c r="C16" s="14">
        <v>101180151</v>
      </c>
      <c r="D16" s="15">
        <v>79321256</v>
      </c>
      <c r="E16" s="15">
        <v>6635799</v>
      </c>
      <c r="G16" s="21" t="s">
        <v>76</v>
      </c>
      <c r="H16" s="29">
        <f>H13+H14-H15</f>
        <v>86859308</v>
      </c>
      <c r="I16" s="23">
        <v>136210477</v>
      </c>
      <c r="J16" s="23">
        <v>110884168</v>
      </c>
      <c r="K16" s="23">
        <v>88850795</v>
      </c>
      <c r="M16" s="10" t="s">
        <v>102</v>
      </c>
      <c r="N16" s="11">
        <v>254904</v>
      </c>
      <c r="O16" s="15">
        <v>-88245</v>
      </c>
      <c r="P16" s="15">
        <v>-6524466</v>
      </c>
      <c r="Q16" s="15">
        <v>-18192171</v>
      </c>
    </row>
    <row r="17" spans="1:17" ht="20" customHeight="1" x14ac:dyDescent="0.2">
      <c r="A17" s="10" t="s">
        <v>23</v>
      </c>
      <c r="B17" s="11">
        <v>174227</v>
      </c>
      <c r="C17" s="14">
        <v>161412</v>
      </c>
      <c r="D17" s="15">
        <v>882495</v>
      </c>
      <c r="E17" s="15">
        <v>929468</v>
      </c>
      <c r="G17" s="10" t="s">
        <v>77</v>
      </c>
      <c r="H17" s="11">
        <v>16063627</v>
      </c>
      <c r="I17" s="22">
        <v>25483923</v>
      </c>
      <c r="J17" s="22">
        <v>18397408</v>
      </c>
      <c r="K17" s="22">
        <v>14467476</v>
      </c>
      <c r="M17" s="10" t="s">
        <v>103</v>
      </c>
      <c r="N17" s="11">
        <v>-7157142</v>
      </c>
      <c r="O17" s="15">
        <v>4963294</v>
      </c>
      <c r="P17" s="15">
        <v>7426270</v>
      </c>
      <c r="Q17" s="15">
        <v>-3777274</v>
      </c>
    </row>
    <row r="18" spans="1:17" ht="20" customHeight="1" x14ac:dyDescent="0.2">
      <c r="A18" s="10" t="s">
        <v>24</v>
      </c>
      <c r="B18" s="11">
        <v>924080</v>
      </c>
      <c r="C18" s="14"/>
      <c r="D18" s="15"/>
      <c r="E18" s="15"/>
      <c r="G18" s="21" t="s">
        <v>78</v>
      </c>
      <c r="H18" s="29">
        <f>H16-H17</f>
        <v>70795681</v>
      </c>
      <c r="I18" s="23">
        <v>110726554</v>
      </c>
      <c r="J18" s="23">
        <v>92486760</v>
      </c>
      <c r="K18" s="23">
        <v>92486760</v>
      </c>
      <c r="M18" s="10" t="s">
        <v>104</v>
      </c>
      <c r="N18" s="11">
        <v>762741</v>
      </c>
      <c r="O18" s="15">
        <v>3066488</v>
      </c>
      <c r="P18" s="15">
        <v>-721084</v>
      </c>
      <c r="Q18" s="15">
        <v>-46973</v>
      </c>
    </row>
    <row r="19" spans="1:17" ht="20" customHeight="1" x14ac:dyDescent="0.2">
      <c r="A19" s="8" t="s">
        <v>25</v>
      </c>
      <c r="B19" s="20">
        <f>SUM(B12:B18,B6:B9)</f>
        <v>193562409</v>
      </c>
      <c r="C19" s="12">
        <v>238926496</v>
      </c>
      <c r="D19" s="13">
        <v>250753610</v>
      </c>
      <c r="E19" s="13">
        <v>289032356</v>
      </c>
      <c r="G19" s="10" t="s">
        <v>79</v>
      </c>
      <c r="H19" s="11">
        <v>70795680</v>
      </c>
      <c r="I19" s="24" t="s">
        <v>37</v>
      </c>
      <c r="J19" s="24" t="s">
        <v>37</v>
      </c>
      <c r="K19" s="24" t="s">
        <v>37</v>
      </c>
      <c r="M19" s="10" t="s">
        <v>105</v>
      </c>
      <c r="N19" s="11">
        <v>-3486351</v>
      </c>
      <c r="O19" s="15">
        <v>-2307391</v>
      </c>
      <c r="P19" s="15">
        <v>-2256558</v>
      </c>
      <c r="Q19" s="15">
        <v>-7402500</v>
      </c>
    </row>
    <row r="20" spans="1:17" ht="20" customHeight="1" x14ac:dyDescent="0.2">
      <c r="A20" s="102"/>
      <c r="B20" s="102"/>
      <c r="C20" s="102"/>
      <c r="D20" s="102"/>
      <c r="E20" s="102"/>
      <c r="G20" s="10" t="s">
        <v>80</v>
      </c>
      <c r="H20" s="11">
        <f>H6+H11+H14</f>
        <v>161948939</v>
      </c>
      <c r="I20" s="11">
        <f>I6+I11+I14</f>
        <v>247070435</v>
      </c>
      <c r="J20" s="11">
        <f t="shared" ref="J20:K20" si="0">J6+J11+J14</f>
        <v>233901043</v>
      </c>
      <c r="K20" s="11">
        <f t="shared" si="0"/>
        <v>219334436</v>
      </c>
      <c r="M20" s="10" t="s">
        <v>106</v>
      </c>
      <c r="N20" s="11">
        <v>2414401</v>
      </c>
      <c r="O20" s="15">
        <v>2199656</v>
      </c>
      <c r="P20" s="15">
        <v>2135836</v>
      </c>
      <c r="Q20" s="15">
        <v>6940203</v>
      </c>
    </row>
    <row r="21" spans="1:17" ht="20" customHeight="1" x14ac:dyDescent="0.2">
      <c r="A21" s="8" t="s">
        <v>26</v>
      </c>
      <c r="B21" s="20">
        <f>SUM(B22:B27)</f>
        <v>148806184</v>
      </c>
      <c r="C21" s="12">
        <v>188748106</v>
      </c>
      <c r="D21" s="13">
        <v>170578988</v>
      </c>
      <c r="E21" s="13">
        <v>198697611</v>
      </c>
      <c r="G21" s="21" t="s">
        <v>81</v>
      </c>
      <c r="H21" s="29">
        <f>H19</f>
        <v>70795680</v>
      </c>
      <c r="I21" s="23">
        <v>110726554</v>
      </c>
      <c r="J21" s="23">
        <v>74383319</v>
      </c>
      <c r="K21" s="23">
        <v>92486760</v>
      </c>
      <c r="M21" s="10" t="s">
        <v>107</v>
      </c>
      <c r="N21" s="11">
        <v>81650529</v>
      </c>
      <c r="O21" s="15">
        <v>148615078</v>
      </c>
      <c r="P21" s="15">
        <v>95614619</v>
      </c>
      <c r="Q21" s="15">
        <v>63461235</v>
      </c>
    </row>
    <row r="22" spans="1:17" ht="20" customHeight="1" x14ac:dyDescent="0.2">
      <c r="A22" s="10" t="s">
        <v>27</v>
      </c>
      <c r="B22" s="11">
        <v>35128850</v>
      </c>
      <c r="C22" s="14">
        <v>35128850</v>
      </c>
      <c r="D22" s="15">
        <v>35128850</v>
      </c>
      <c r="E22" s="15">
        <v>35128850</v>
      </c>
      <c r="G22" s="10"/>
      <c r="H22" s="11"/>
      <c r="I22" s="10"/>
      <c r="J22" s="10"/>
      <c r="K22" s="10"/>
      <c r="M22" s="10" t="s">
        <v>108</v>
      </c>
      <c r="N22" s="11">
        <v>-16105673</v>
      </c>
      <c r="O22" s="15">
        <v>-26238060</v>
      </c>
      <c r="P22" s="15">
        <v>-17849843</v>
      </c>
      <c r="Q22" s="15">
        <v>-15351067</v>
      </c>
    </row>
    <row r="23" spans="1:17" ht="20" customHeight="1" x14ac:dyDescent="0.25">
      <c r="A23" s="10" t="s">
        <v>28</v>
      </c>
      <c r="B23" s="11">
        <v>25573479</v>
      </c>
      <c r="C23" s="14">
        <v>25573479</v>
      </c>
      <c r="D23" s="15">
        <v>25573479</v>
      </c>
      <c r="E23" s="15">
        <v>25573479</v>
      </c>
      <c r="G23" s="104" t="s">
        <v>82</v>
      </c>
      <c r="H23" s="104"/>
      <c r="I23" s="104"/>
      <c r="J23" s="104"/>
      <c r="K23" s="104"/>
      <c r="M23" s="10" t="s">
        <v>109</v>
      </c>
      <c r="N23" s="11">
        <v>65544856</v>
      </c>
      <c r="O23" s="15">
        <v>122377018</v>
      </c>
      <c r="P23" s="15">
        <v>77764776</v>
      </c>
      <c r="Q23" s="15">
        <v>48110168</v>
      </c>
    </row>
    <row r="24" spans="1:17" ht="20" customHeight="1" x14ac:dyDescent="0.2">
      <c r="A24" s="10" t="s">
        <v>29</v>
      </c>
      <c r="B24" s="11">
        <v>3407079</v>
      </c>
      <c r="C24" s="14">
        <v>3418127</v>
      </c>
      <c r="D24" s="15">
        <v>3488803</v>
      </c>
      <c r="E24" s="15">
        <v>49710867</v>
      </c>
      <c r="G24" s="21" t="s">
        <v>83</v>
      </c>
      <c r="H24" s="21"/>
      <c r="I24" s="21"/>
      <c r="J24" s="21"/>
      <c r="K24" s="21"/>
      <c r="M24" s="100" t="s">
        <v>110</v>
      </c>
      <c r="N24" s="100"/>
      <c r="O24" s="100"/>
      <c r="P24" s="100"/>
      <c r="Q24" s="100"/>
    </row>
    <row r="25" spans="1:17" ht="20" customHeight="1" x14ac:dyDescent="0.2">
      <c r="A25" s="10" t="s">
        <v>30</v>
      </c>
      <c r="B25" s="11">
        <v>985000</v>
      </c>
      <c r="C25" s="14">
        <v>985000</v>
      </c>
      <c r="D25" s="15">
        <v>985000</v>
      </c>
      <c r="E25" s="15">
        <v>985000</v>
      </c>
      <c r="G25" s="10" t="s">
        <v>84</v>
      </c>
      <c r="H25" s="11">
        <v>19.89</v>
      </c>
      <c r="I25" s="25">
        <v>31.52</v>
      </c>
      <c r="J25" s="25">
        <v>26.33</v>
      </c>
      <c r="K25" s="25">
        <v>21.17</v>
      </c>
      <c r="M25" s="10" t="s">
        <v>111</v>
      </c>
      <c r="N25" s="11">
        <v>1837555</v>
      </c>
      <c r="O25" s="11">
        <v>9767132</v>
      </c>
      <c r="P25" s="11">
        <v>14027460</v>
      </c>
      <c r="Q25" s="11">
        <v>13695174</v>
      </c>
    </row>
    <row r="26" spans="1:17" ht="20" customHeight="1" x14ac:dyDescent="0.2">
      <c r="A26" s="10" t="s">
        <v>31</v>
      </c>
      <c r="B26" s="11">
        <v>12916096</v>
      </c>
      <c r="C26" s="14">
        <v>12916096</v>
      </c>
      <c r="D26" s="15">
        <v>12916096</v>
      </c>
      <c r="E26" s="15">
        <v>12916096</v>
      </c>
      <c r="G26" s="10" t="s">
        <v>85</v>
      </c>
      <c r="H26" s="11">
        <f>H25</f>
        <v>19.89</v>
      </c>
      <c r="I26" s="25">
        <v>31.52</v>
      </c>
      <c r="J26" s="25">
        <v>26.33</v>
      </c>
      <c r="K26" s="25">
        <v>21.17</v>
      </c>
      <c r="M26" s="10" t="s">
        <v>112</v>
      </c>
      <c r="N26" s="11">
        <v>-4995200</v>
      </c>
      <c r="O26" s="11"/>
      <c r="P26" s="11"/>
      <c r="Q26" s="11"/>
    </row>
    <row r="27" spans="1:17" ht="20" customHeight="1" x14ac:dyDescent="0.2">
      <c r="A27" s="10" t="s">
        <v>32</v>
      </c>
      <c r="B27" s="11">
        <v>70795680</v>
      </c>
      <c r="C27" s="14">
        <v>110726554</v>
      </c>
      <c r="D27" s="15">
        <v>92486760</v>
      </c>
      <c r="E27" s="15">
        <v>74383319</v>
      </c>
      <c r="G27" s="21" t="s">
        <v>86</v>
      </c>
      <c r="H27" s="29"/>
      <c r="I27" s="26"/>
      <c r="J27" s="26"/>
      <c r="K27" s="26"/>
      <c r="M27" s="10" t="s">
        <v>113</v>
      </c>
      <c r="N27" s="11">
        <v>-1478297</v>
      </c>
      <c r="O27" s="11">
        <v>-1476795</v>
      </c>
      <c r="P27" s="11">
        <v>-5793096</v>
      </c>
      <c r="Q27" s="11">
        <v>-60053307</v>
      </c>
    </row>
    <row r="28" spans="1:17" ht="20" customHeight="1" x14ac:dyDescent="0.2">
      <c r="A28" s="8" t="s">
        <v>33</v>
      </c>
      <c r="B28" s="20">
        <f>SUM(B29:B34)</f>
        <v>26632996</v>
      </c>
      <c r="C28" s="12">
        <v>28172467</v>
      </c>
      <c r="D28" s="13">
        <v>22308205</v>
      </c>
      <c r="E28" s="13">
        <v>47423796</v>
      </c>
      <c r="G28" s="10" t="s">
        <v>84</v>
      </c>
      <c r="H28" s="11">
        <f>H26</f>
        <v>19.89</v>
      </c>
      <c r="I28" s="25">
        <v>31.52</v>
      </c>
      <c r="J28" s="25">
        <v>26.33</v>
      </c>
      <c r="K28" s="25">
        <v>21.17</v>
      </c>
      <c r="M28" s="10" t="s">
        <v>114</v>
      </c>
      <c r="N28" s="11" t="s">
        <v>37</v>
      </c>
      <c r="O28" s="11"/>
      <c r="P28" s="17"/>
      <c r="Q28" s="11">
        <v>-29295050</v>
      </c>
    </row>
    <row r="29" spans="1:17" ht="20" customHeight="1" x14ac:dyDescent="0.2">
      <c r="A29" s="10" t="s">
        <v>34</v>
      </c>
      <c r="B29" s="11">
        <v>6143218</v>
      </c>
      <c r="C29" s="14">
        <v>5389081</v>
      </c>
      <c r="D29" s="15">
        <v>6251498</v>
      </c>
      <c r="E29" s="15">
        <v>5395232</v>
      </c>
      <c r="G29" s="10" t="s">
        <v>85</v>
      </c>
      <c r="H29" s="11">
        <f>H28</f>
        <v>19.89</v>
      </c>
      <c r="I29" s="25">
        <v>31.52</v>
      </c>
      <c r="J29" s="25">
        <v>26.33</v>
      </c>
      <c r="K29" s="25">
        <v>21.17</v>
      </c>
      <c r="M29" s="10" t="s">
        <v>115</v>
      </c>
      <c r="N29" s="11" t="s">
        <v>37</v>
      </c>
      <c r="O29" s="11" t="s">
        <v>37</v>
      </c>
      <c r="P29" s="17" t="s">
        <v>37</v>
      </c>
      <c r="Q29" s="11">
        <v>-3000000</v>
      </c>
    </row>
    <row r="30" spans="1:17" ht="20" customHeight="1" x14ac:dyDescent="0.2">
      <c r="A30" s="10" t="s">
        <v>35</v>
      </c>
      <c r="B30" s="11">
        <v>69712</v>
      </c>
      <c r="C30" s="14">
        <v>63867</v>
      </c>
      <c r="D30" s="15">
        <v>112607</v>
      </c>
      <c r="E30" s="15">
        <v>254867</v>
      </c>
      <c r="G30" s="10"/>
      <c r="H30" s="11"/>
      <c r="I30" s="10"/>
      <c r="J30" s="10"/>
      <c r="K30" s="10"/>
      <c r="M30" s="10" t="s">
        <v>116</v>
      </c>
      <c r="N30" s="11" t="s">
        <v>37</v>
      </c>
      <c r="O30" s="11" t="s">
        <v>37</v>
      </c>
      <c r="P30" s="11">
        <v>2287819</v>
      </c>
      <c r="Q30" s="11">
        <v>3172380</v>
      </c>
    </row>
    <row r="31" spans="1:17" ht="20" customHeight="1" x14ac:dyDescent="0.25">
      <c r="A31" s="10" t="s">
        <v>36</v>
      </c>
      <c r="B31" s="11" t="s">
        <v>37</v>
      </c>
      <c r="C31" s="14">
        <v>4684000</v>
      </c>
      <c r="D31" s="15"/>
      <c r="E31" s="15"/>
      <c r="G31" s="104" t="s">
        <v>87</v>
      </c>
      <c r="H31" s="104"/>
      <c r="I31" s="104"/>
      <c r="J31" s="104"/>
      <c r="K31" s="104"/>
      <c r="M31" s="10" t="s">
        <v>117</v>
      </c>
      <c r="N31" s="11">
        <v>12154334</v>
      </c>
      <c r="O31" s="11">
        <v>409178</v>
      </c>
      <c r="P31" s="11">
        <v>863028</v>
      </c>
      <c r="Q31" s="11">
        <v>2999298</v>
      </c>
    </row>
    <row r="32" spans="1:17" ht="20" customHeight="1" x14ac:dyDescent="0.2">
      <c r="A32" s="10" t="s">
        <v>38</v>
      </c>
      <c r="B32" s="11">
        <v>61714</v>
      </c>
      <c r="C32" s="14">
        <v>15429</v>
      </c>
      <c r="D32" s="15"/>
      <c r="E32" s="15"/>
      <c r="G32" s="8" t="s">
        <v>81</v>
      </c>
      <c r="H32" s="20">
        <v>70795680</v>
      </c>
      <c r="I32" s="23">
        <v>110726554</v>
      </c>
      <c r="J32" s="23">
        <v>92486760</v>
      </c>
      <c r="K32" s="23">
        <v>74383319</v>
      </c>
      <c r="M32" s="10" t="s">
        <v>118</v>
      </c>
      <c r="N32" s="11"/>
      <c r="O32" s="11">
        <v>5000000</v>
      </c>
      <c r="P32" s="11" t="s">
        <v>37</v>
      </c>
      <c r="Q32" s="11" t="s">
        <v>37</v>
      </c>
    </row>
    <row r="33" spans="1:17" ht="20" customHeight="1" x14ac:dyDescent="0.2">
      <c r="A33" s="10" t="s">
        <v>39</v>
      </c>
      <c r="B33" s="11">
        <v>1168430</v>
      </c>
      <c r="C33" s="14">
        <v>1091321</v>
      </c>
      <c r="D33" s="15">
        <v>1256236</v>
      </c>
      <c r="E33" s="15">
        <v>34921537</v>
      </c>
      <c r="G33" s="10" t="s">
        <v>88</v>
      </c>
      <c r="H33" s="11"/>
      <c r="I33" s="22">
        <f>-'Analiza płynności i zadłużenia'!P27</f>
        <v>0</v>
      </c>
      <c r="J33" s="24" t="s">
        <v>37</v>
      </c>
      <c r="K33" s="24" t="s">
        <v>37</v>
      </c>
      <c r="M33" s="8" t="s">
        <v>119</v>
      </c>
      <c r="N33" s="20">
        <f>SUM(N25:N32)</f>
        <v>7518392</v>
      </c>
      <c r="O33" s="20">
        <v>13699515</v>
      </c>
      <c r="P33" s="20">
        <v>11385211</v>
      </c>
      <c r="Q33" s="20">
        <v>-72481505</v>
      </c>
    </row>
    <row r="34" spans="1:17" ht="20" customHeight="1" x14ac:dyDescent="0.2">
      <c r="A34" s="10" t="s">
        <v>40</v>
      </c>
      <c r="B34" s="11">
        <v>19189922</v>
      </c>
      <c r="C34" s="14">
        <v>16928770</v>
      </c>
      <c r="D34" s="15">
        <v>14687864</v>
      </c>
      <c r="E34" s="15">
        <v>6852160</v>
      </c>
      <c r="G34" s="8" t="s">
        <v>89</v>
      </c>
      <c r="H34" s="20">
        <f>H32</f>
        <v>70795680</v>
      </c>
      <c r="I34" s="23">
        <v>110726554</v>
      </c>
      <c r="J34" s="23">
        <v>92486760</v>
      </c>
      <c r="K34" s="23">
        <v>74383319</v>
      </c>
      <c r="M34" s="100" t="s">
        <v>120</v>
      </c>
      <c r="N34" s="100"/>
      <c r="O34" s="100"/>
      <c r="P34" s="100"/>
      <c r="Q34" s="100"/>
    </row>
    <row r="35" spans="1:17" ht="20" customHeight="1" x14ac:dyDescent="0.2">
      <c r="A35" s="8" t="s">
        <v>41</v>
      </c>
      <c r="B35" s="20">
        <f>SUM(B36:B43)</f>
        <v>18123229</v>
      </c>
      <c r="C35" s="12">
        <v>22005923</v>
      </c>
      <c r="D35" s="13">
        <v>57866417</v>
      </c>
      <c r="E35" s="13">
        <v>42910949</v>
      </c>
      <c r="G35" s="8"/>
      <c r="H35" s="20"/>
      <c r="I35" s="23"/>
      <c r="J35" s="23"/>
      <c r="K35" s="23"/>
      <c r="M35" s="10" t="s">
        <v>121</v>
      </c>
      <c r="N35" s="11">
        <v>176400</v>
      </c>
      <c r="O35" s="10"/>
      <c r="P35" s="10"/>
      <c r="Q35" s="10"/>
    </row>
    <row r="36" spans="1:17" ht="20" customHeight="1" x14ac:dyDescent="0.2">
      <c r="A36" s="10" t="s">
        <v>38</v>
      </c>
      <c r="B36" s="11">
        <v>4321620</v>
      </c>
      <c r="C36" s="14">
        <v>46286</v>
      </c>
      <c r="D36" s="15">
        <v>15730</v>
      </c>
      <c r="E36" s="15"/>
      <c r="M36" s="10" t="s">
        <v>122</v>
      </c>
      <c r="N36" s="11">
        <v>-4000</v>
      </c>
      <c r="O36" s="11"/>
      <c r="P36" s="11"/>
      <c r="Q36" s="11"/>
    </row>
    <row r="37" spans="1:17" ht="20" customHeight="1" x14ac:dyDescent="0.2">
      <c r="A37" s="10" t="s">
        <v>39</v>
      </c>
      <c r="B37" s="11">
        <v>141858</v>
      </c>
      <c r="C37" s="14">
        <v>203031</v>
      </c>
      <c r="D37" s="15">
        <v>201835</v>
      </c>
      <c r="E37" s="15">
        <v>851190</v>
      </c>
      <c r="M37" s="10" t="s">
        <v>123</v>
      </c>
      <c r="N37" s="11">
        <v>-8689448</v>
      </c>
      <c r="O37" s="11">
        <v>-4321620</v>
      </c>
      <c r="P37" s="11">
        <v>-45984</v>
      </c>
      <c r="Q37" s="11">
        <v>-15730</v>
      </c>
    </row>
    <row r="38" spans="1:17" ht="20" customHeight="1" x14ac:dyDescent="0.2">
      <c r="A38" s="10" t="s">
        <v>42</v>
      </c>
      <c r="B38" s="11">
        <v>5518424</v>
      </c>
      <c r="C38" s="14">
        <v>10342249</v>
      </c>
      <c r="D38" s="15">
        <v>11636224</v>
      </c>
      <c r="E38" s="15">
        <v>11193801</v>
      </c>
      <c r="M38" s="10" t="s">
        <v>124</v>
      </c>
      <c r="N38" s="11">
        <v>-316275</v>
      </c>
      <c r="O38" s="11">
        <v>-93486</v>
      </c>
      <c r="P38" s="11">
        <v>-305693</v>
      </c>
      <c r="Q38" s="11">
        <v>-1793489</v>
      </c>
    </row>
    <row r="39" spans="1:17" ht="20" customHeight="1" x14ac:dyDescent="0.2">
      <c r="A39" s="10" t="s">
        <v>43</v>
      </c>
      <c r="B39" s="11">
        <v>2628546</v>
      </c>
      <c r="C39" s="14">
        <v>1277956</v>
      </c>
      <c r="D39" s="15">
        <v>963104</v>
      </c>
      <c r="E39" s="15">
        <v>935779</v>
      </c>
      <c r="M39" s="10" t="s">
        <v>125</v>
      </c>
      <c r="N39" s="11">
        <v>-48337298</v>
      </c>
      <c r="O39" s="11">
        <v>-70784633</v>
      </c>
      <c r="P39" s="11">
        <v>-110655878</v>
      </c>
      <c r="Q39" s="11">
        <v>-46264695</v>
      </c>
    </row>
    <row r="40" spans="1:17" ht="20" customHeight="1" x14ac:dyDescent="0.2">
      <c r="A40" s="10" t="s">
        <v>44</v>
      </c>
      <c r="B40" s="11">
        <v>462329</v>
      </c>
      <c r="C40" s="14">
        <v>482591</v>
      </c>
      <c r="D40" s="15">
        <v>514030</v>
      </c>
      <c r="E40" s="15">
        <v>809832</v>
      </c>
      <c r="M40" s="10" t="s">
        <v>126</v>
      </c>
      <c r="N40" s="11">
        <v>-259394</v>
      </c>
      <c r="O40" s="11">
        <v>-12171</v>
      </c>
      <c r="P40" s="11">
        <v>-1327</v>
      </c>
      <c r="Q40" s="11">
        <v>-240206</v>
      </c>
    </row>
    <row r="41" spans="1:17" ht="20" customHeight="1" x14ac:dyDescent="0.2">
      <c r="A41" s="10" t="s">
        <v>45</v>
      </c>
      <c r="B41" s="11">
        <v>51000</v>
      </c>
      <c r="C41" s="14">
        <v>4805927</v>
      </c>
      <c r="D41" s="15">
        <v>6134401</v>
      </c>
      <c r="E41" s="15">
        <v>6934439</v>
      </c>
      <c r="M41" s="8" t="s">
        <v>127</v>
      </c>
      <c r="N41" s="20">
        <f>SUM(N35:N40)</f>
        <v>-57430015</v>
      </c>
      <c r="O41" s="20">
        <v>-75211909</v>
      </c>
      <c r="P41" s="20">
        <v>-111008882</v>
      </c>
      <c r="Q41" s="20">
        <v>-48314120</v>
      </c>
    </row>
    <row r="42" spans="1:17" ht="20" customHeight="1" x14ac:dyDescent="0.2">
      <c r="A42" s="10" t="s">
        <v>46</v>
      </c>
      <c r="B42" s="11">
        <v>2796546</v>
      </c>
      <c r="C42" s="14">
        <v>2704032</v>
      </c>
      <c r="D42" s="15">
        <v>36272894</v>
      </c>
      <c r="E42" s="15">
        <v>19624505</v>
      </c>
      <c r="M42" s="21" t="s">
        <v>128</v>
      </c>
      <c r="N42" s="29">
        <v>15633233</v>
      </c>
      <c r="O42" s="20">
        <v>60864623</v>
      </c>
      <c r="P42" s="20">
        <v>-21858895</v>
      </c>
      <c r="Q42" s="20">
        <v>-72685457</v>
      </c>
    </row>
    <row r="43" spans="1:17" ht="20" customHeight="1" x14ac:dyDescent="0.2">
      <c r="A43" s="10" t="s">
        <v>47</v>
      </c>
      <c r="B43" s="11">
        <v>2202906</v>
      </c>
      <c r="C43" s="14">
        <v>2143851</v>
      </c>
      <c r="D43" s="15">
        <v>2128199</v>
      </c>
      <c r="E43" s="15">
        <v>2561403</v>
      </c>
      <c r="M43" s="8" t="s">
        <v>129</v>
      </c>
      <c r="N43" s="20">
        <v>15633233</v>
      </c>
      <c r="O43" s="20">
        <v>60864623</v>
      </c>
      <c r="P43" s="20">
        <v>-21858895</v>
      </c>
      <c r="Q43" s="20">
        <v>-72685457</v>
      </c>
    </row>
    <row r="44" spans="1:17" ht="20" customHeight="1" x14ac:dyDescent="0.2">
      <c r="A44" s="8" t="s">
        <v>48</v>
      </c>
      <c r="B44" s="20">
        <f>SUM(B35,B28,B21)</f>
        <v>193562409</v>
      </c>
      <c r="C44" s="13">
        <v>238926496</v>
      </c>
      <c r="D44" s="13">
        <v>250753610</v>
      </c>
      <c r="E44" s="13">
        <v>289032356</v>
      </c>
      <c r="M44" s="8" t="s">
        <v>130</v>
      </c>
      <c r="N44" s="20">
        <v>24682296</v>
      </c>
      <c r="O44" s="20">
        <v>40315528</v>
      </c>
      <c r="P44" s="20">
        <v>101180151</v>
      </c>
      <c r="Q44" s="20">
        <v>79321256</v>
      </c>
    </row>
    <row r="45" spans="1:17" ht="20" customHeight="1" x14ac:dyDescent="0.2">
      <c r="M45" s="8" t="s">
        <v>131</v>
      </c>
      <c r="N45" s="20">
        <v>40315529</v>
      </c>
      <c r="O45" s="20">
        <v>101180151</v>
      </c>
      <c r="P45" s="20">
        <v>79321256</v>
      </c>
      <c r="Q45" s="20">
        <v>6635799</v>
      </c>
    </row>
    <row r="46" spans="1:17" ht="20" customHeight="1" x14ac:dyDescent="0.2">
      <c r="M46" s="10" t="s">
        <v>132</v>
      </c>
      <c r="N46" s="11">
        <v>320931</v>
      </c>
      <c r="O46" s="11">
        <v>5279874</v>
      </c>
      <c r="P46" s="11">
        <v>4049937</v>
      </c>
      <c r="Q46" s="11">
        <v>6268542</v>
      </c>
    </row>
    <row r="47" spans="1:17" ht="20" customHeight="1" x14ac:dyDescent="0.2"/>
    <row r="48" spans="1:17" ht="20" customHeight="1" x14ac:dyDescent="0.2"/>
    <row r="49" ht="20" customHeight="1" x14ac:dyDescent="0.2"/>
  </sheetData>
  <mergeCells count="9">
    <mergeCell ref="M34:Q34"/>
    <mergeCell ref="M5:Q5"/>
    <mergeCell ref="M1:Q3"/>
    <mergeCell ref="A1:E3"/>
    <mergeCell ref="A20:E20"/>
    <mergeCell ref="G1:K3"/>
    <mergeCell ref="G31:K31"/>
    <mergeCell ref="G23:K23"/>
    <mergeCell ref="M24:Q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2552-CED0-F543-994C-389D9DA96548}">
  <dimension ref="K3:O26"/>
  <sheetViews>
    <sheetView workbookViewId="0">
      <selection activeCell="K24" sqref="K24:O26"/>
    </sheetView>
  </sheetViews>
  <sheetFormatPr baseColWidth="10" defaultColWidth="10.6640625" defaultRowHeight="16" x14ac:dyDescent="0.2"/>
  <sheetData>
    <row r="3" spans="11:15" x14ac:dyDescent="0.2">
      <c r="K3" s="105" t="s">
        <v>172</v>
      </c>
      <c r="L3" s="105"/>
      <c r="M3" s="105"/>
      <c r="N3" s="105"/>
      <c r="O3" s="105"/>
    </row>
    <row r="4" spans="11:15" x14ac:dyDescent="0.2">
      <c r="K4" s="105"/>
      <c r="L4" s="105"/>
      <c r="M4" s="105"/>
      <c r="N4" s="105"/>
      <c r="O4" s="105"/>
    </row>
    <row r="5" spans="11:15" x14ac:dyDescent="0.2">
      <c r="K5" s="105"/>
      <c r="L5" s="105"/>
      <c r="M5" s="105"/>
      <c r="N5" s="105"/>
      <c r="O5" s="105"/>
    </row>
    <row r="24" spans="11:15" x14ac:dyDescent="0.2">
      <c r="K24" s="105" t="s">
        <v>173</v>
      </c>
      <c r="L24" s="105"/>
      <c r="M24" s="105"/>
      <c r="N24" s="105"/>
      <c r="O24" s="105"/>
    </row>
    <row r="25" spans="11:15" x14ac:dyDescent="0.2">
      <c r="K25" s="105"/>
      <c r="L25" s="105"/>
      <c r="M25" s="105"/>
      <c r="N25" s="105"/>
      <c r="O25" s="105"/>
    </row>
    <row r="26" spans="11:15" x14ac:dyDescent="0.2">
      <c r="K26" s="105"/>
      <c r="L26" s="105"/>
      <c r="M26" s="105"/>
      <c r="N26" s="105"/>
      <c r="O26" s="105"/>
    </row>
  </sheetData>
  <mergeCells count="2">
    <mergeCell ref="K3:O5"/>
    <mergeCell ref="K24:O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EB0F-F912-4223-8C3A-8E316DDD0C8D}">
  <sheetPr codeName="Arkusz2"/>
  <dimension ref="A1:V109"/>
  <sheetViews>
    <sheetView topLeftCell="A29" zoomScale="58" zoomScaleNormal="40" workbookViewId="0">
      <selection activeCell="O49" sqref="O49"/>
    </sheetView>
  </sheetViews>
  <sheetFormatPr baseColWidth="10" defaultColWidth="8.83203125" defaultRowHeight="16" x14ac:dyDescent="0.2"/>
  <cols>
    <col min="1" max="1" width="45" customWidth="1"/>
    <col min="2" max="2" width="18.33203125" customWidth="1"/>
    <col min="3" max="6" width="15.83203125" customWidth="1"/>
    <col min="7" max="7" width="14.83203125" customWidth="1"/>
    <col min="8" max="9" width="15.83203125" customWidth="1"/>
    <col min="10" max="10" width="13.33203125" style="34" customWidth="1"/>
    <col min="11" max="11" width="15.1640625" style="34" customWidth="1"/>
    <col min="12" max="12" width="10.5" style="34" customWidth="1"/>
    <col min="13" max="13" width="12" customWidth="1"/>
    <col min="14" max="14" width="11.1640625" customWidth="1"/>
  </cols>
  <sheetData>
    <row r="1" spans="1:21" ht="21" customHeight="1" x14ac:dyDescent="0.2">
      <c r="A1" s="111" t="s">
        <v>3</v>
      </c>
      <c r="B1" s="112"/>
      <c r="C1" s="112"/>
      <c r="D1" s="112"/>
      <c r="E1" s="112"/>
      <c r="F1" s="109" t="s">
        <v>4</v>
      </c>
      <c r="G1" s="109"/>
      <c r="H1" s="109"/>
      <c r="I1" s="109"/>
      <c r="J1" s="109"/>
      <c r="K1" s="109"/>
      <c r="L1" s="109"/>
      <c r="M1" s="109"/>
      <c r="N1" s="109"/>
    </row>
    <row r="2" spans="1:21" ht="21" customHeight="1" x14ac:dyDescent="0.2">
      <c r="A2" s="113"/>
      <c r="B2" s="114"/>
      <c r="C2" s="114"/>
      <c r="D2" s="114"/>
      <c r="E2" s="114"/>
      <c r="F2" s="109"/>
      <c r="G2" s="109"/>
      <c r="H2" s="109"/>
      <c r="I2" s="109"/>
      <c r="J2" s="109"/>
      <c r="K2" s="109"/>
      <c r="L2" s="109"/>
      <c r="M2" s="109"/>
      <c r="N2" s="109"/>
    </row>
    <row r="3" spans="1:21" ht="15.75" customHeight="1" x14ac:dyDescent="0.2">
      <c r="A3" s="115"/>
      <c r="B3" s="116"/>
      <c r="C3" s="116"/>
      <c r="D3" s="116"/>
      <c r="E3" s="116"/>
      <c r="F3" s="110" t="s">
        <v>5</v>
      </c>
      <c r="G3" s="110"/>
      <c r="H3" s="110"/>
      <c r="I3" s="110" t="s">
        <v>6</v>
      </c>
      <c r="J3" s="110"/>
      <c r="K3" s="110"/>
      <c r="L3" s="110" t="s">
        <v>139</v>
      </c>
      <c r="M3" s="110"/>
      <c r="N3" s="110"/>
      <c r="P3" s="120" t="s">
        <v>7</v>
      </c>
      <c r="Q3" s="120"/>
      <c r="R3" s="120"/>
      <c r="S3" s="120"/>
      <c r="T3" s="120"/>
      <c r="U3" s="120"/>
    </row>
    <row r="4" spans="1:21" x14ac:dyDescent="0.2">
      <c r="A4" s="8"/>
      <c r="B4" s="32">
        <v>2020</v>
      </c>
      <c r="C4" s="9">
        <v>2021</v>
      </c>
      <c r="D4" s="8">
        <v>2022</v>
      </c>
      <c r="E4" s="64">
        <v>2023</v>
      </c>
      <c r="F4" s="65" t="s">
        <v>8</v>
      </c>
      <c r="G4" s="65" t="s">
        <v>9</v>
      </c>
      <c r="H4" s="65" t="s">
        <v>10</v>
      </c>
      <c r="I4" s="65" t="s">
        <v>8</v>
      </c>
      <c r="J4" s="66" t="s">
        <v>9</v>
      </c>
      <c r="K4" s="66" t="s">
        <v>10</v>
      </c>
      <c r="L4" s="65" t="s">
        <v>8</v>
      </c>
      <c r="M4" s="66" t="s">
        <v>9</v>
      </c>
      <c r="N4" s="66" t="s">
        <v>10</v>
      </c>
      <c r="P4" s="120"/>
      <c r="Q4" s="120"/>
      <c r="R4" s="120"/>
      <c r="S4" s="120"/>
      <c r="T4" s="120"/>
      <c r="U4" s="120"/>
    </row>
    <row r="5" spans="1:21" x14ac:dyDescent="0.2">
      <c r="A5" s="8" t="s">
        <v>11</v>
      </c>
      <c r="B5" s="23">
        <f>SUM(B6:B9)</f>
        <v>117715190</v>
      </c>
      <c r="C5" s="12">
        <v>113596044</v>
      </c>
      <c r="D5" s="13">
        <v>138018948</v>
      </c>
      <c r="E5" s="35">
        <v>230462892</v>
      </c>
      <c r="F5" s="15">
        <f>C5-B5</f>
        <v>-4119146</v>
      </c>
      <c r="G5" s="15">
        <f>D5-C5</f>
        <v>24422904</v>
      </c>
      <c r="H5" s="15">
        <f>E5-D5</f>
        <v>92443944</v>
      </c>
      <c r="I5" s="67">
        <f>F5/B5</f>
        <v>-3.4992476332068957E-2</v>
      </c>
      <c r="J5" s="67">
        <f>G5/C5</f>
        <v>0.21499783918531529</v>
      </c>
      <c r="K5" s="67">
        <f>H5/D5</f>
        <v>0.66979168686316892</v>
      </c>
      <c r="L5" s="67">
        <f>C5/B5</f>
        <v>0.96500752366793108</v>
      </c>
      <c r="M5" s="67">
        <f>D5/C5</f>
        <v>1.2149978391853153</v>
      </c>
      <c r="N5" s="67">
        <f t="shared" ref="M5:N9" si="0">E5/D5</f>
        <v>1.669791686863169</v>
      </c>
      <c r="P5" s="120"/>
      <c r="Q5" s="120"/>
      <c r="R5" s="120"/>
      <c r="S5" s="120"/>
      <c r="T5" s="120"/>
      <c r="U5" s="120"/>
    </row>
    <row r="6" spans="1:21" x14ac:dyDescent="0.2">
      <c r="A6" s="10" t="s">
        <v>12</v>
      </c>
      <c r="B6" s="22">
        <v>113080120</v>
      </c>
      <c r="C6" s="14">
        <v>108411078</v>
      </c>
      <c r="D6" s="15">
        <v>134591726</v>
      </c>
      <c r="E6" s="36">
        <v>166970001</v>
      </c>
      <c r="F6" s="15">
        <f t="shared" ref="F6:F44" si="1">C6-B6</f>
        <v>-4669042</v>
      </c>
      <c r="G6" s="15">
        <f t="shared" ref="G6:G19" si="2">D6-C6</f>
        <v>26180648</v>
      </c>
      <c r="H6" s="15">
        <f t="shared" ref="H6:H19" si="3">E6-D6</f>
        <v>32378275</v>
      </c>
      <c r="I6" s="67">
        <f t="shared" ref="I6:I44" si="4">F6/B6</f>
        <v>-4.1289680272712834E-2</v>
      </c>
      <c r="J6" s="67">
        <f t="shared" ref="J6:J44" si="5">G6/C6</f>
        <v>0.24149421334967261</v>
      </c>
      <c r="K6" s="67">
        <f t="shared" ref="K6:K44" si="6">H6/D6</f>
        <v>0.24056660808406602</v>
      </c>
      <c r="L6" s="67">
        <f t="shared" ref="L6:L11" si="7">C6/B6</f>
        <v>0.95871031972728715</v>
      </c>
      <c r="M6" s="67">
        <f t="shared" si="0"/>
        <v>1.2414942133496727</v>
      </c>
      <c r="N6" s="67">
        <f t="shared" si="0"/>
        <v>1.240566608084066</v>
      </c>
      <c r="P6" s="120"/>
      <c r="Q6" s="120"/>
      <c r="R6" s="120"/>
      <c r="S6" s="120"/>
      <c r="T6" s="120"/>
      <c r="U6" s="120"/>
    </row>
    <row r="7" spans="1:21" x14ac:dyDescent="0.2">
      <c r="A7" s="10" t="s">
        <v>13</v>
      </c>
      <c r="B7" s="22">
        <v>637656</v>
      </c>
      <c r="C7" s="14">
        <v>613190</v>
      </c>
      <c r="D7" s="15">
        <v>607253</v>
      </c>
      <c r="E7" s="36">
        <v>1471501</v>
      </c>
      <c r="F7" s="15">
        <f t="shared" si="1"/>
        <v>-24466</v>
      </c>
      <c r="G7" s="15">
        <f t="shared" si="2"/>
        <v>-5937</v>
      </c>
      <c r="H7" s="15">
        <f t="shared" si="3"/>
        <v>864248</v>
      </c>
      <c r="I7" s="67">
        <f t="shared" si="4"/>
        <v>-3.8368650181288974E-2</v>
      </c>
      <c r="J7" s="67">
        <f t="shared" si="5"/>
        <v>-9.6821539816370136E-3</v>
      </c>
      <c r="K7" s="67">
        <f t="shared" si="6"/>
        <v>1.4232091072419568</v>
      </c>
      <c r="L7" s="67">
        <f t="shared" si="7"/>
        <v>0.96163134981871101</v>
      </c>
      <c r="M7" s="67">
        <f t="shared" si="0"/>
        <v>0.99031784601836303</v>
      </c>
      <c r="N7" s="67">
        <f t="shared" si="0"/>
        <v>2.4232091072419566</v>
      </c>
      <c r="P7" s="120"/>
      <c r="Q7" s="120"/>
      <c r="R7" s="120"/>
      <c r="S7" s="120"/>
      <c r="T7" s="120"/>
      <c r="U7" s="120"/>
    </row>
    <row r="8" spans="1:21" x14ac:dyDescent="0.2">
      <c r="A8" s="10" t="s">
        <v>14</v>
      </c>
      <c r="B8" s="22">
        <v>1628599</v>
      </c>
      <c r="C8" s="14">
        <v>1628599</v>
      </c>
      <c r="D8" s="15">
        <v>1628599</v>
      </c>
      <c r="E8" s="36">
        <v>58382096</v>
      </c>
      <c r="F8" s="15">
        <f t="shared" si="1"/>
        <v>0</v>
      </c>
      <c r="G8" s="15">
        <f t="shared" si="2"/>
        <v>0</v>
      </c>
      <c r="H8" s="15">
        <f t="shared" si="3"/>
        <v>56753497</v>
      </c>
      <c r="I8" s="67">
        <f t="shared" si="4"/>
        <v>0</v>
      </c>
      <c r="J8" s="67">
        <f t="shared" si="5"/>
        <v>0</v>
      </c>
      <c r="K8" s="67">
        <f t="shared" si="6"/>
        <v>34.848048537423885</v>
      </c>
      <c r="L8" s="67">
        <f t="shared" si="7"/>
        <v>1</v>
      </c>
      <c r="M8" s="67">
        <f t="shared" si="0"/>
        <v>1</v>
      </c>
      <c r="N8" s="67">
        <f t="shared" si="0"/>
        <v>35.848048537423885</v>
      </c>
      <c r="P8" s="120"/>
      <c r="Q8" s="120"/>
      <c r="R8" s="120"/>
      <c r="S8" s="120"/>
      <c r="T8" s="120"/>
      <c r="U8" s="120"/>
    </row>
    <row r="9" spans="1:21" x14ac:dyDescent="0.2">
      <c r="A9" s="10" t="s">
        <v>15</v>
      </c>
      <c r="B9" s="22">
        <v>2368815</v>
      </c>
      <c r="C9" s="14">
        <v>2943177</v>
      </c>
      <c r="D9" s="15">
        <v>1191370</v>
      </c>
      <c r="E9" s="36">
        <v>623438</v>
      </c>
      <c r="F9" s="15">
        <f t="shared" si="1"/>
        <v>574362</v>
      </c>
      <c r="G9" s="15">
        <f t="shared" si="2"/>
        <v>-1751807</v>
      </c>
      <c r="H9" s="15">
        <f t="shared" si="3"/>
        <v>-567932</v>
      </c>
      <c r="I9" s="67">
        <f t="shared" si="4"/>
        <v>0.24246806947777685</v>
      </c>
      <c r="J9" s="67">
        <f t="shared" si="5"/>
        <v>-0.59520953038162505</v>
      </c>
      <c r="K9" s="67">
        <f t="shared" si="6"/>
        <v>-0.47670496990859262</v>
      </c>
      <c r="L9" s="67">
        <f t="shared" si="7"/>
        <v>1.2424680694777768</v>
      </c>
      <c r="M9" s="67">
        <f t="shared" si="0"/>
        <v>0.40479046961837495</v>
      </c>
      <c r="N9" s="67">
        <f t="shared" si="0"/>
        <v>0.52329503009140732</v>
      </c>
      <c r="P9" s="120"/>
      <c r="Q9" s="120"/>
      <c r="R9" s="120"/>
      <c r="S9" s="120"/>
      <c r="T9" s="120"/>
      <c r="U9" s="120"/>
    </row>
    <row r="10" spans="1:21" x14ac:dyDescent="0.2">
      <c r="A10" s="10" t="s">
        <v>16</v>
      </c>
      <c r="B10" s="22"/>
      <c r="C10" s="15"/>
      <c r="D10" s="15"/>
      <c r="E10" s="36">
        <v>3015856</v>
      </c>
      <c r="F10" s="15">
        <f t="shared" si="1"/>
        <v>0</v>
      </c>
      <c r="G10" s="15">
        <f t="shared" si="2"/>
        <v>0</v>
      </c>
      <c r="H10" s="15">
        <f t="shared" si="3"/>
        <v>3015856</v>
      </c>
      <c r="I10" s="15">
        <v>0</v>
      </c>
      <c r="J10" s="15">
        <v>0</v>
      </c>
      <c r="K10" s="15">
        <v>0</v>
      </c>
      <c r="L10" s="67">
        <v>0</v>
      </c>
      <c r="M10" s="67">
        <v>0</v>
      </c>
      <c r="N10" s="67">
        <v>0</v>
      </c>
      <c r="P10" s="120"/>
      <c r="Q10" s="120"/>
      <c r="R10" s="120"/>
      <c r="S10" s="120"/>
      <c r="T10" s="120"/>
      <c r="U10" s="120"/>
    </row>
    <row r="11" spans="1:21" x14ac:dyDescent="0.2">
      <c r="A11" s="8" t="s">
        <v>17</v>
      </c>
      <c r="B11" s="23">
        <f>SUM(B12:B18)</f>
        <v>75847219</v>
      </c>
      <c r="C11" s="12">
        <v>125330451</v>
      </c>
      <c r="D11" s="13">
        <v>112734662</v>
      </c>
      <c r="E11" s="35">
        <v>58569464</v>
      </c>
      <c r="F11" s="15">
        <f t="shared" si="1"/>
        <v>49483232</v>
      </c>
      <c r="G11" s="15">
        <f t="shared" si="2"/>
        <v>-12595789</v>
      </c>
      <c r="H11" s="15">
        <f t="shared" si="3"/>
        <v>-54165198</v>
      </c>
      <c r="I11" s="67">
        <f t="shared" si="4"/>
        <v>0.65240667558292409</v>
      </c>
      <c r="J11" s="67">
        <f t="shared" si="5"/>
        <v>-0.10050062773651074</v>
      </c>
      <c r="K11" s="67">
        <f t="shared" si="6"/>
        <v>-0.48046622963219598</v>
      </c>
      <c r="L11" s="67">
        <f t="shared" si="7"/>
        <v>1.6524066755829241</v>
      </c>
      <c r="M11" s="67">
        <f t="shared" ref="M11:N14" si="8">D11/C11</f>
        <v>0.89949937226348931</v>
      </c>
      <c r="N11" s="67">
        <f t="shared" si="8"/>
        <v>0.51953377036780402</v>
      </c>
    </row>
    <row r="12" spans="1:21" x14ac:dyDescent="0.2">
      <c r="A12" s="10" t="s">
        <v>18</v>
      </c>
      <c r="B12" s="22">
        <v>719797</v>
      </c>
      <c r="C12" s="14">
        <v>808042</v>
      </c>
      <c r="D12" s="15">
        <v>1073791</v>
      </c>
      <c r="E12" s="36">
        <v>786974</v>
      </c>
      <c r="F12" s="15">
        <f t="shared" si="1"/>
        <v>88245</v>
      </c>
      <c r="G12" s="15">
        <f t="shared" si="2"/>
        <v>265749</v>
      </c>
      <c r="H12" s="15">
        <f t="shared" si="3"/>
        <v>-286817</v>
      </c>
      <c r="I12" s="67">
        <f t="shared" si="4"/>
        <v>0.12259706556154026</v>
      </c>
      <c r="J12" s="67">
        <f t="shared" si="5"/>
        <v>0.32888018197073915</v>
      </c>
      <c r="K12" s="67">
        <f t="shared" si="6"/>
        <v>-0.26710691372902173</v>
      </c>
      <c r="L12" s="67">
        <f>C12/B12</f>
        <v>1.1225970655615403</v>
      </c>
      <c r="M12" s="67">
        <f t="shared" si="8"/>
        <v>1.3288801819707392</v>
      </c>
      <c r="N12" s="67">
        <f t="shared" si="8"/>
        <v>0.73289308627097827</v>
      </c>
    </row>
    <row r="13" spans="1:21" x14ac:dyDescent="0.2">
      <c r="A13" s="10" t="s">
        <v>19</v>
      </c>
      <c r="B13" s="22">
        <v>16672070</v>
      </c>
      <c r="C13" s="14">
        <v>19351568</v>
      </c>
      <c r="D13" s="15">
        <v>19071495</v>
      </c>
      <c r="E13" s="36">
        <v>21404560</v>
      </c>
      <c r="F13" s="15">
        <f t="shared" si="1"/>
        <v>2679498</v>
      </c>
      <c r="G13" s="15">
        <f t="shared" si="2"/>
        <v>-280073</v>
      </c>
      <c r="H13" s="15">
        <f t="shared" si="3"/>
        <v>2333065</v>
      </c>
      <c r="I13" s="67">
        <f t="shared" si="4"/>
        <v>0.16071777529724862</v>
      </c>
      <c r="J13" s="67">
        <f t="shared" si="5"/>
        <v>-1.4472884057767308E-2</v>
      </c>
      <c r="K13" s="67">
        <f t="shared" si="6"/>
        <v>0.12233257015247101</v>
      </c>
      <c r="L13" s="67">
        <f t="shared" ref="L13:L44" si="9">C13/B13</f>
        <v>1.1607177752972486</v>
      </c>
      <c r="M13" s="67">
        <f t="shared" si="8"/>
        <v>0.98552711594223275</v>
      </c>
      <c r="N13" s="67">
        <f>E13/D13</f>
        <v>1.1223325701524709</v>
      </c>
    </row>
    <row r="14" spans="1:21" x14ac:dyDescent="0.2">
      <c r="A14" s="10" t="s">
        <v>20</v>
      </c>
      <c r="B14" s="22">
        <v>12046317</v>
      </c>
      <c r="C14" s="14">
        <v>3829278</v>
      </c>
      <c r="D14" s="15">
        <v>12385625</v>
      </c>
      <c r="E14" s="36">
        <v>28812663</v>
      </c>
      <c r="F14" s="15">
        <f t="shared" si="1"/>
        <v>-8217039</v>
      </c>
      <c r="G14" s="15">
        <f t="shared" si="2"/>
        <v>8556347</v>
      </c>
      <c r="H14" s="15">
        <f t="shared" si="3"/>
        <v>16427038</v>
      </c>
      <c r="I14" s="67">
        <f t="shared" si="4"/>
        <v>-0.68212043564850566</v>
      </c>
      <c r="J14" s="67">
        <f t="shared" si="5"/>
        <v>2.2344543801729726</v>
      </c>
      <c r="K14" s="67">
        <f t="shared" si="6"/>
        <v>1.3262986728566382</v>
      </c>
      <c r="L14" s="67">
        <f t="shared" si="9"/>
        <v>0.31787956435149434</v>
      </c>
      <c r="M14" s="67">
        <f t="shared" si="8"/>
        <v>3.2344543801729726</v>
      </c>
      <c r="N14" s="67">
        <f t="shared" si="8"/>
        <v>2.3262986728566384</v>
      </c>
    </row>
    <row r="15" spans="1:21" x14ac:dyDescent="0.2">
      <c r="A15" s="10" t="s">
        <v>21</v>
      </c>
      <c r="B15" s="22">
        <v>4995200</v>
      </c>
      <c r="C15" s="14"/>
      <c r="D15" s="15"/>
      <c r="E15" s="36"/>
      <c r="F15" s="15">
        <f t="shared" si="1"/>
        <v>-4995200</v>
      </c>
      <c r="G15" s="15">
        <f t="shared" si="2"/>
        <v>0</v>
      </c>
      <c r="H15" s="15">
        <f t="shared" si="3"/>
        <v>0</v>
      </c>
      <c r="I15" s="67">
        <f>F15/B15</f>
        <v>-1</v>
      </c>
      <c r="J15" s="15">
        <f>G15-E15</f>
        <v>0</v>
      </c>
      <c r="K15" s="15">
        <f t="shared" ref="K15" si="10">H15-G15</f>
        <v>0</v>
      </c>
      <c r="L15" s="67">
        <f t="shared" si="9"/>
        <v>0</v>
      </c>
      <c r="M15" s="67">
        <v>0</v>
      </c>
      <c r="N15" s="67">
        <v>0</v>
      </c>
    </row>
    <row r="16" spans="1:21" x14ac:dyDescent="0.2">
      <c r="A16" s="10" t="s">
        <v>22</v>
      </c>
      <c r="B16" s="22">
        <v>40315528</v>
      </c>
      <c r="C16" s="14">
        <v>101180151</v>
      </c>
      <c r="D16" s="15">
        <v>79321256</v>
      </c>
      <c r="E16" s="36">
        <v>6635799</v>
      </c>
      <c r="F16" s="15">
        <f t="shared" si="1"/>
        <v>60864623</v>
      </c>
      <c r="G16" s="15">
        <f t="shared" si="2"/>
        <v>-21858895</v>
      </c>
      <c r="H16" s="15">
        <f t="shared" si="3"/>
        <v>-72685457</v>
      </c>
      <c r="I16" s="67">
        <f t="shared" si="4"/>
        <v>1.5097067065573344</v>
      </c>
      <c r="J16" s="67">
        <f t="shared" si="5"/>
        <v>-0.21603935934035126</v>
      </c>
      <c r="K16" s="67">
        <f t="shared" si="6"/>
        <v>-0.91634273920221332</v>
      </c>
      <c r="L16" s="67">
        <f t="shared" si="9"/>
        <v>2.5097067065573344</v>
      </c>
      <c r="M16" s="67">
        <f>D16/C16</f>
        <v>0.78396064065964877</v>
      </c>
      <c r="N16" s="67">
        <f>E16/D16</f>
        <v>8.3657260797786667E-2</v>
      </c>
    </row>
    <row r="17" spans="1:17" x14ac:dyDescent="0.2">
      <c r="A17" s="10" t="s">
        <v>23</v>
      </c>
      <c r="B17" s="22">
        <v>174227</v>
      </c>
      <c r="C17" s="14">
        <v>161412</v>
      </c>
      <c r="D17" s="15">
        <v>882495</v>
      </c>
      <c r="E17" s="36">
        <v>929468</v>
      </c>
      <c r="F17" s="15">
        <f t="shared" si="1"/>
        <v>-12815</v>
      </c>
      <c r="G17" s="15">
        <f t="shared" si="2"/>
        <v>721083</v>
      </c>
      <c r="H17" s="15">
        <f t="shared" si="3"/>
        <v>46973</v>
      </c>
      <c r="I17" s="67">
        <f t="shared" si="4"/>
        <v>-7.355346760261039E-2</v>
      </c>
      <c r="J17" s="67">
        <f t="shared" si="5"/>
        <v>4.4673444353579663</v>
      </c>
      <c r="K17" s="67">
        <f t="shared" si="6"/>
        <v>5.3227497039643287E-2</v>
      </c>
      <c r="L17" s="67">
        <f t="shared" si="9"/>
        <v>0.92644653239738961</v>
      </c>
      <c r="M17" s="67">
        <f>D17/C17</f>
        <v>5.4673444353579663</v>
      </c>
      <c r="N17" s="67">
        <f>E17/D17</f>
        <v>1.0532274970396434</v>
      </c>
    </row>
    <row r="18" spans="1:17" x14ac:dyDescent="0.2">
      <c r="A18" s="10" t="s">
        <v>24</v>
      </c>
      <c r="B18" s="22">
        <v>924080</v>
      </c>
      <c r="C18" s="14"/>
      <c r="D18" s="15"/>
      <c r="E18" s="36"/>
      <c r="F18" s="15">
        <f t="shared" si="1"/>
        <v>-924080</v>
      </c>
      <c r="G18" s="15">
        <f t="shared" si="2"/>
        <v>0</v>
      </c>
      <c r="H18" s="15">
        <f t="shared" si="3"/>
        <v>0</v>
      </c>
      <c r="I18" s="67">
        <f t="shared" si="4"/>
        <v>-1</v>
      </c>
      <c r="J18" s="15">
        <f>G18-E18</f>
        <v>0</v>
      </c>
      <c r="K18" s="15">
        <f t="shared" ref="K18" si="11">H18-G18</f>
        <v>0</v>
      </c>
      <c r="L18" s="67">
        <f t="shared" si="9"/>
        <v>0</v>
      </c>
      <c r="M18" s="67">
        <v>0</v>
      </c>
      <c r="N18" s="67">
        <v>0</v>
      </c>
    </row>
    <row r="19" spans="1:17" x14ac:dyDescent="0.2">
      <c r="A19" s="8" t="s">
        <v>25</v>
      </c>
      <c r="B19" s="23">
        <f>SUM(B12:B18,B6:B9)</f>
        <v>193562409</v>
      </c>
      <c r="C19" s="12">
        <v>238926496</v>
      </c>
      <c r="D19" s="13">
        <v>250753610</v>
      </c>
      <c r="E19" s="35">
        <v>289032356</v>
      </c>
      <c r="F19" s="15">
        <f t="shared" si="1"/>
        <v>45364087</v>
      </c>
      <c r="G19" s="15">
        <f t="shared" si="2"/>
        <v>11827114</v>
      </c>
      <c r="H19" s="15">
        <f t="shared" si="3"/>
        <v>38278746</v>
      </c>
      <c r="I19" s="67">
        <f t="shared" si="4"/>
        <v>0.2343641373051934</v>
      </c>
      <c r="J19" s="67">
        <f t="shared" si="5"/>
        <v>4.9501056592735536E-2</v>
      </c>
      <c r="K19" s="67">
        <f t="shared" si="6"/>
        <v>0.1526548152188118</v>
      </c>
      <c r="L19" s="67">
        <f t="shared" si="9"/>
        <v>1.2343641373051935</v>
      </c>
      <c r="M19" s="67">
        <f>D19/C19</f>
        <v>1.0495010565927356</v>
      </c>
      <c r="N19" s="67">
        <f>E19/D19</f>
        <v>1.1526548152188119</v>
      </c>
    </row>
    <row r="20" spans="1:17" x14ac:dyDescent="0.2">
      <c r="A20" s="117"/>
      <c r="B20" s="118"/>
      <c r="C20" s="118"/>
      <c r="D20" s="118"/>
      <c r="E20" s="118"/>
      <c r="F20" s="15">
        <f t="shared" si="1"/>
        <v>0</v>
      </c>
      <c r="G20" s="15"/>
      <c r="H20" s="15"/>
      <c r="I20" s="67"/>
      <c r="J20" s="15"/>
      <c r="K20" s="15"/>
      <c r="L20" s="67"/>
      <c r="M20" s="67"/>
      <c r="N20" s="67"/>
    </row>
    <row r="21" spans="1:17" x14ac:dyDescent="0.2">
      <c r="A21" s="8" t="s">
        <v>26</v>
      </c>
      <c r="B21" s="23">
        <f>SUM(B22:B27)</f>
        <v>148806184</v>
      </c>
      <c r="C21" s="12">
        <v>188748106</v>
      </c>
      <c r="D21" s="13">
        <v>170578988</v>
      </c>
      <c r="E21" s="35">
        <v>198697611</v>
      </c>
      <c r="F21" s="15">
        <f t="shared" si="1"/>
        <v>39941922</v>
      </c>
      <c r="G21" s="15">
        <f t="shared" ref="G21:G30" si="12">D21-C21</f>
        <v>-18169118</v>
      </c>
      <c r="H21" s="15">
        <f t="shared" ref="H21:H30" si="13">E21-D21</f>
        <v>28118623</v>
      </c>
      <c r="I21" s="67">
        <f t="shared" si="4"/>
        <v>0.26841574003402979</v>
      </c>
      <c r="J21" s="67">
        <f t="shared" si="5"/>
        <v>-9.626119374146197E-2</v>
      </c>
      <c r="K21" s="67">
        <f t="shared" si="6"/>
        <v>0.16484224305516457</v>
      </c>
      <c r="L21" s="67">
        <f t="shared" si="9"/>
        <v>1.2684157400340297</v>
      </c>
      <c r="M21" s="67">
        <f t="shared" ref="M21:M30" si="14">D21/C21</f>
        <v>0.90373880625853809</v>
      </c>
      <c r="N21" s="67">
        <f t="shared" ref="N21:N30" si="15">E21/D21</f>
        <v>1.1648422430551646</v>
      </c>
    </row>
    <row r="22" spans="1:17" x14ac:dyDescent="0.2">
      <c r="A22" s="10" t="s">
        <v>27</v>
      </c>
      <c r="B22" s="22">
        <v>35128850</v>
      </c>
      <c r="C22" s="14">
        <v>35128850</v>
      </c>
      <c r="D22" s="15">
        <v>35128850</v>
      </c>
      <c r="E22" s="36">
        <v>35128850</v>
      </c>
      <c r="F22" s="15">
        <f t="shared" si="1"/>
        <v>0</v>
      </c>
      <c r="G22" s="15">
        <f t="shared" si="12"/>
        <v>0</v>
      </c>
      <c r="H22" s="15">
        <f t="shared" si="13"/>
        <v>0</v>
      </c>
      <c r="I22" s="67">
        <f t="shared" si="4"/>
        <v>0</v>
      </c>
      <c r="J22" s="67">
        <f t="shared" si="5"/>
        <v>0</v>
      </c>
      <c r="K22" s="67">
        <f t="shared" si="6"/>
        <v>0</v>
      </c>
      <c r="L22" s="67">
        <f t="shared" si="9"/>
        <v>1</v>
      </c>
      <c r="M22" s="67">
        <f t="shared" si="14"/>
        <v>1</v>
      </c>
      <c r="N22" s="67">
        <f t="shared" si="15"/>
        <v>1</v>
      </c>
    </row>
    <row r="23" spans="1:17" x14ac:dyDescent="0.2">
      <c r="A23" s="10" t="s">
        <v>28</v>
      </c>
      <c r="B23" s="22">
        <v>25573479</v>
      </c>
      <c r="C23" s="14">
        <v>25573479</v>
      </c>
      <c r="D23" s="15">
        <v>25573479</v>
      </c>
      <c r="E23" s="36">
        <v>25573479</v>
      </c>
      <c r="F23" s="15">
        <f t="shared" si="1"/>
        <v>0</v>
      </c>
      <c r="G23" s="15">
        <f t="shared" si="12"/>
        <v>0</v>
      </c>
      <c r="H23" s="15">
        <f t="shared" si="13"/>
        <v>0</v>
      </c>
      <c r="I23" s="67">
        <f t="shared" si="4"/>
        <v>0</v>
      </c>
      <c r="J23" s="67">
        <f t="shared" si="5"/>
        <v>0</v>
      </c>
      <c r="K23" s="67">
        <f t="shared" si="6"/>
        <v>0</v>
      </c>
      <c r="L23" s="67">
        <f t="shared" si="9"/>
        <v>1</v>
      </c>
      <c r="M23" s="67">
        <f t="shared" si="14"/>
        <v>1</v>
      </c>
      <c r="N23" s="67">
        <f t="shared" si="15"/>
        <v>1</v>
      </c>
    </row>
    <row r="24" spans="1:17" x14ac:dyDescent="0.2">
      <c r="A24" s="10" t="s">
        <v>29</v>
      </c>
      <c r="B24" s="22">
        <v>3407079</v>
      </c>
      <c r="C24" s="14">
        <v>3418127</v>
      </c>
      <c r="D24" s="15">
        <v>3488803</v>
      </c>
      <c r="E24" s="36">
        <v>49710867</v>
      </c>
      <c r="F24" s="15">
        <f t="shared" si="1"/>
        <v>11048</v>
      </c>
      <c r="G24" s="15">
        <f t="shared" si="12"/>
        <v>70676</v>
      </c>
      <c r="H24" s="15">
        <f t="shared" si="13"/>
        <v>46222064</v>
      </c>
      <c r="I24" s="67">
        <f>F24/B24</f>
        <v>3.2426603551018334E-3</v>
      </c>
      <c r="J24" s="67">
        <f>G24/C24</f>
        <v>2.0676820960719131E-2</v>
      </c>
      <c r="K24" s="67">
        <f>H24/D24</f>
        <v>13.248688447011769</v>
      </c>
      <c r="L24" s="67">
        <f t="shared" si="9"/>
        <v>1.0032426603551019</v>
      </c>
      <c r="M24" s="67">
        <f>D24/C24</f>
        <v>1.0206768209607191</v>
      </c>
      <c r="N24" s="67">
        <f>E24/D24</f>
        <v>14.248688447011769</v>
      </c>
    </row>
    <row r="25" spans="1:17" x14ac:dyDescent="0.2">
      <c r="A25" s="10" t="s">
        <v>30</v>
      </c>
      <c r="B25" s="22">
        <v>985000</v>
      </c>
      <c r="C25" s="14">
        <v>985000</v>
      </c>
      <c r="D25" s="15">
        <v>985000</v>
      </c>
      <c r="E25" s="36">
        <v>985000</v>
      </c>
      <c r="F25" s="15">
        <f t="shared" si="1"/>
        <v>0</v>
      </c>
      <c r="G25" s="15">
        <f t="shared" si="12"/>
        <v>0</v>
      </c>
      <c r="H25" s="15">
        <f t="shared" si="13"/>
        <v>0</v>
      </c>
      <c r="I25" s="67">
        <f t="shared" si="4"/>
        <v>0</v>
      </c>
      <c r="J25" s="67">
        <f t="shared" si="5"/>
        <v>0</v>
      </c>
      <c r="K25" s="67">
        <f t="shared" si="6"/>
        <v>0</v>
      </c>
      <c r="L25" s="67">
        <f t="shared" si="9"/>
        <v>1</v>
      </c>
      <c r="M25" s="67">
        <f t="shared" si="14"/>
        <v>1</v>
      </c>
      <c r="N25" s="67">
        <f t="shared" si="15"/>
        <v>1</v>
      </c>
    </row>
    <row r="26" spans="1:17" x14ac:dyDescent="0.2">
      <c r="A26" s="10" t="s">
        <v>31</v>
      </c>
      <c r="B26" s="22">
        <v>12916096</v>
      </c>
      <c r="C26" s="14">
        <v>12916096</v>
      </c>
      <c r="D26" s="15">
        <v>12916096</v>
      </c>
      <c r="E26" s="36">
        <v>12916096</v>
      </c>
      <c r="F26" s="15">
        <f t="shared" si="1"/>
        <v>0</v>
      </c>
      <c r="G26" s="15">
        <f t="shared" si="12"/>
        <v>0</v>
      </c>
      <c r="H26" s="15">
        <f t="shared" si="13"/>
        <v>0</v>
      </c>
      <c r="I26" s="67">
        <f t="shared" si="4"/>
        <v>0</v>
      </c>
      <c r="J26" s="67">
        <f t="shared" si="5"/>
        <v>0</v>
      </c>
      <c r="K26" s="67">
        <f t="shared" si="6"/>
        <v>0</v>
      </c>
      <c r="L26" s="67">
        <f t="shared" si="9"/>
        <v>1</v>
      </c>
      <c r="M26" s="67">
        <f t="shared" si="14"/>
        <v>1</v>
      </c>
      <c r="N26" s="67">
        <f t="shared" si="15"/>
        <v>1</v>
      </c>
    </row>
    <row r="27" spans="1:17" x14ac:dyDescent="0.2">
      <c r="A27" s="10" t="s">
        <v>32</v>
      </c>
      <c r="B27" s="22">
        <v>70795680</v>
      </c>
      <c r="C27" s="14">
        <v>110726554</v>
      </c>
      <c r="D27" s="15">
        <v>92486760</v>
      </c>
      <c r="E27" s="36">
        <v>74383319</v>
      </c>
      <c r="F27" s="15">
        <f t="shared" si="1"/>
        <v>39930874</v>
      </c>
      <c r="G27" s="15">
        <f t="shared" si="12"/>
        <v>-18239794</v>
      </c>
      <c r="H27" s="15">
        <f t="shared" si="13"/>
        <v>-18103441</v>
      </c>
      <c r="I27" s="67">
        <f t="shared" si="4"/>
        <v>0.56402981085851567</v>
      </c>
      <c r="J27" s="67">
        <f t="shared" si="5"/>
        <v>-0.16472827285855929</v>
      </c>
      <c r="K27" s="67">
        <f t="shared" si="6"/>
        <v>-0.19574089307485742</v>
      </c>
      <c r="L27" s="67">
        <f t="shared" si="9"/>
        <v>1.5640298108585156</v>
      </c>
      <c r="M27" s="67">
        <f t="shared" si="14"/>
        <v>0.83527172714144071</v>
      </c>
      <c r="N27" s="67">
        <f t="shared" si="15"/>
        <v>0.80425910692514258</v>
      </c>
    </row>
    <row r="28" spans="1:17" x14ac:dyDescent="0.2">
      <c r="A28" s="8" t="s">
        <v>33</v>
      </c>
      <c r="B28" s="23">
        <f>SUM(B29:B34)</f>
        <v>26632996</v>
      </c>
      <c r="C28" s="12">
        <v>28172467</v>
      </c>
      <c r="D28" s="13">
        <v>22308205</v>
      </c>
      <c r="E28" s="35">
        <v>47423796</v>
      </c>
      <c r="F28" s="15">
        <f t="shared" si="1"/>
        <v>1539471</v>
      </c>
      <c r="G28" s="15">
        <f t="shared" si="12"/>
        <v>-5864262</v>
      </c>
      <c r="H28" s="15">
        <f t="shared" si="13"/>
        <v>25115591</v>
      </c>
      <c r="I28" s="67">
        <f t="shared" si="4"/>
        <v>5.7803147644373165E-2</v>
      </c>
      <c r="J28" s="67">
        <f t="shared" si="5"/>
        <v>-0.20815578557603776</v>
      </c>
      <c r="K28" s="67">
        <f t="shared" si="6"/>
        <v>1.1258454456555336</v>
      </c>
      <c r="L28" s="67">
        <f t="shared" si="9"/>
        <v>1.0578031476443732</v>
      </c>
      <c r="M28" s="67">
        <f t="shared" si="14"/>
        <v>0.79184421442396224</v>
      </c>
      <c r="N28" s="67">
        <f t="shared" si="15"/>
        <v>2.1258454456555334</v>
      </c>
    </row>
    <row r="29" spans="1:17" x14ac:dyDescent="0.2">
      <c r="A29" s="10" t="s">
        <v>34</v>
      </c>
      <c r="B29" s="22">
        <v>6143218</v>
      </c>
      <c r="C29" s="14">
        <v>5389081</v>
      </c>
      <c r="D29" s="15">
        <v>6251498</v>
      </c>
      <c r="E29" s="36">
        <v>5395232</v>
      </c>
      <c r="F29" s="15">
        <f t="shared" si="1"/>
        <v>-754137</v>
      </c>
      <c r="G29" s="15">
        <f t="shared" si="12"/>
        <v>862417</v>
      </c>
      <c r="H29" s="15">
        <f t="shared" si="13"/>
        <v>-856266</v>
      </c>
      <c r="I29" s="67">
        <f t="shared" si="4"/>
        <v>-0.12275927697828727</v>
      </c>
      <c r="J29" s="67">
        <f t="shared" si="5"/>
        <v>0.1600304393272248</v>
      </c>
      <c r="K29" s="67">
        <f t="shared" si="6"/>
        <v>-0.13696973109485119</v>
      </c>
      <c r="L29" s="67">
        <f t="shared" si="9"/>
        <v>0.87724072302171274</v>
      </c>
      <c r="M29" s="67">
        <f t="shared" si="14"/>
        <v>1.1600304393272247</v>
      </c>
      <c r="N29" s="67">
        <f t="shared" si="15"/>
        <v>0.86303026890514878</v>
      </c>
    </row>
    <row r="30" spans="1:17" x14ac:dyDescent="0.2">
      <c r="A30" s="10" t="s">
        <v>35</v>
      </c>
      <c r="B30" s="22">
        <v>69712</v>
      </c>
      <c r="C30" s="14">
        <v>63867</v>
      </c>
      <c r="D30" s="15">
        <v>112607</v>
      </c>
      <c r="E30" s="36">
        <v>254867</v>
      </c>
      <c r="F30" s="15">
        <f t="shared" si="1"/>
        <v>-5845</v>
      </c>
      <c r="G30" s="15">
        <f t="shared" si="12"/>
        <v>48740</v>
      </c>
      <c r="H30" s="15">
        <f t="shared" si="13"/>
        <v>142260</v>
      </c>
      <c r="I30" s="67">
        <f t="shared" si="4"/>
        <v>-8.3844962129905901E-2</v>
      </c>
      <c r="J30" s="67">
        <f t="shared" si="5"/>
        <v>0.7631484178057526</v>
      </c>
      <c r="K30" s="67">
        <f t="shared" si="6"/>
        <v>1.2633317644551405</v>
      </c>
      <c r="L30" s="67">
        <f t="shared" si="9"/>
        <v>0.91615503787009411</v>
      </c>
      <c r="M30" s="67">
        <f t="shared" si="14"/>
        <v>1.7631484178057526</v>
      </c>
      <c r="N30" s="67">
        <f t="shared" si="15"/>
        <v>2.2633317644551405</v>
      </c>
    </row>
    <row r="31" spans="1:17" x14ac:dyDescent="0.2">
      <c r="A31" s="10" t="s">
        <v>36</v>
      </c>
      <c r="B31" s="22" t="s">
        <v>37</v>
      </c>
      <c r="C31" s="14">
        <v>4684000</v>
      </c>
      <c r="D31" s="15"/>
      <c r="E31" s="36"/>
      <c r="F31" s="15">
        <v>0</v>
      </c>
      <c r="G31" s="15">
        <f t="shared" ref="G31:G44" si="16">D31-C31</f>
        <v>-4684000</v>
      </c>
      <c r="H31" s="15">
        <v>0</v>
      </c>
      <c r="I31" s="67">
        <v>0</v>
      </c>
      <c r="J31" s="67">
        <f>G31/C31</f>
        <v>-1</v>
      </c>
      <c r="K31" s="67">
        <v>0</v>
      </c>
      <c r="L31" s="67">
        <v>0</v>
      </c>
      <c r="M31" s="67">
        <f t="shared" ref="M31:M44" si="17">D31/C31</f>
        <v>0</v>
      </c>
      <c r="N31" s="67">
        <v>0</v>
      </c>
      <c r="Q31" s="30"/>
    </row>
    <row r="32" spans="1:17" x14ac:dyDescent="0.2">
      <c r="A32" s="10" t="s">
        <v>38</v>
      </c>
      <c r="B32" s="22">
        <v>61714</v>
      </c>
      <c r="C32" s="14">
        <v>15429</v>
      </c>
      <c r="D32" s="15"/>
      <c r="E32" s="36"/>
      <c r="F32" s="15">
        <f t="shared" si="1"/>
        <v>-46285</v>
      </c>
      <c r="G32" s="15">
        <f t="shared" si="16"/>
        <v>-15429</v>
      </c>
      <c r="H32" s="15">
        <f t="shared" ref="H32:H44" si="18">E32-D32</f>
        <v>0</v>
      </c>
      <c r="I32" s="67">
        <f t="shared" si="4"/>
        <v>-0.74999189811063938</v>
      </c>
      <c r="J32" s="67">
        <f t="shared" si="5"/>
        <v>-1</v>
      </c>
      <c r="K32" s="67">
        <v>0</v>
      </c>
      <c r="L32" s="67">
        <f t="shared" si="9"/>
        <v>0.25000810188936062</v>
      </c>
      <c r="M32" s="67">
        <f t="shared" si="17"/>
        <v>0</v>
      </c>
      <c r="N32" s="67">
        <v>0</v>
      </c>
    </row>
    <row r="33" spans="1:14" x14ac:dyDescent="0.2">
      <c r="A33" s="10" t="s">
        <v>39</v>
      </c>
      <c r="B33" s="22">
        <v>1168430</v>
      </c>
      <c r="C33" s="14">
        <v>1091321</v>
      </c>
      <c r="D33" s="15">
        <v>1256236</v>
      </c>
      <c r="E33" s="36">
        <v>34921537</v>
      </c>
      <c r="F33" s="15">
        <f t="shared" si="1"/>
        <v>-77109</v>
      </c>
      <c r="G33" s="15">
        <f t="shared" si="16"/>
        <v>164915</v>
      </c>
      <c r="H33" s="15">
        <f t="shared" si="18"/>
        <v>33665301</v>
      </c>
      <c r="I33" s="67">
        <f t="shared" si="4"/>
        <v>-6.5993683832150832E-2</v>
      </c>
      <c r="J33" s="67">
        <f t="shared" si="5"/>
        <v>0.15111502481854561</v>
      </c>
      <c r="K33" s="67">
        <f t="shared" si="6"/>
        <v>26.798548202726238</v>
      </c>
      <c r="L33" s="67">
        <f t="shared" si="9"/>
        <v>0.93400631616784913</v>
      </c>
      <c r="M33" s="67">
        <f t="shared" si="17"/>
        <v>1.1511150248185456</v>
      </c>
      <c r="N33" s="67">
        <f t="shared" ref="N33:N44" si="19">E33/D33</f>
        <v>27.798548202726238</v>
      </c>
    </row>
    <row r="34" spans="1:14" x14ac:dyDescent="0.2">
      <c r="A34" s="10" t="s">
        <v>40</v>
      </c>
      <c r="B34" s="22">
        <v>19189922</v>
      </c>
      <c r="C34" s="14">
        <v>16928770</v>
      </c>
      <c r="D34" s="15">
        <v>14687864</v>
      </c>
      <c r="E34" s="36">
        <v>6852160</v>
      </c>
      <c r="F34" s="15">
        <f t="shared" si="1"/>
        <v>-2261152</v>
      </c>
      <c r="G34" s="15">
        <f t="shared" si="16"/>
        <v>-2240906</v>
      </c>
      <c r="H34" s="15">
        <f t="shared" si="18"/>
        <v>-7835704</v>
      </c>
      <c r="I34" s="67">
        <f t="shared" si="4"/>
        <v>-0.1178301819048561</v>
      </c>
      <c r="J34" s="67">
        <f t="shared" si="5"/>
        <v>-0.1323726413673291</v>
      </c>
      <c r="K34" s="67">
        <f t="shared" si="6"/>
        <v>-0.53348151916439313</v>
      </c>
      <c r="L34" s="67">
        <f t="shared" si="9"/>
        <v>0.88216981809514394</v>
      </c>
      <c r="M34" s="67">
        <f t="shared" si="17"/>
        <v>0.86762735863267093</v>
      </c>
      <c r="N34" s="67">
        <f t="shared" si="19"/>
        <v>0.46651848083560687</v>
      </c>
    </row>
    <row r="35" spans="1:14" x14ac:dyDescent="0.2">
      <c r="A35" s="8" t="s">
        <v>41</v>
      </c>
      <c r="B35" s="23">
        <f>SUM(B36:B43)</f>
        <v>18123229</v>
      </c>
      <c r="C35" s="12">
        <v>22005923</v>
      </c>
      <c r="D35" s="13">
        <v>57866417</v>
      </c>
      <c r="E35" s="35">
        <v>42910949</v>
      </c>
      <c r="F35" s="15">
        <f t="shared" si="1"/>
        <v>3882694</v>
      </c>
      <c r="G35" s="15">
        <f t="shared" si="16"/>
        <v>35860494</v>
      </c>
      <c r="H35" s="15">
        <f t="shared" si="18"/>
        <v>-14955468</v>
      </c>
      <c r="I35" s="67">
        <f t="shared" si="4"/>
        <v>0.21423853332096615</v>
      </c>
      <c r="J35" s="67">
        <f t="shared" si="5"/>
        <v>1.6295837261631789</v>
      </c>
      <c r="K35" s="67">
        <f t="shared" si="6"/>
        <v>-0.2584481427284499</v>
      </c>
      <c r="L35" s="67">
        <f t="shared" si="9"/>
        <v>1.2142385333209662</v>
      </c>
      <c r="M35" s="67">
        <f t="shared" si="17"/>
        <v>2.6295837261631787</v>
      </c>
      <c r="N35" s="67">
        <f t="shared" si="19"/>
        <v>0.74155185727155004</v>
      </c>
    </row>
    <row r="36" spans="1:14" x14ac:dyDescent="0.2">
      <c r="A36" s="10" t="s">
        <v>38</v>
      </c>
      <c r="B36" s="22">
        <v>4321620</v>
      </c>
      <c r="C36" s="14">
        <v>46286</v>
      </c>
      <c r="D36" s="15">
        <v>15730</v>
      </c>
      <c r="E36" s="36"/>
      <c r="F36" s="15">
        <f t="shared" si="1"/>
        <v>-4275334</v>
      </c>
      <c r="G36" s="15">
        <f t="shared" si="16"/>
        <v>-30556</v>
      </c>
      <c r="H36" s="15">
        <f t="shared" si="18"/>
        <v>-15730</v>
      </c>
      <c r="I36" s="67">
        <f t="shared" si="4"/>
        <v>-0.98928966452395162</v>
      </c>
      <c r="J36" s="67">
        <f t="shared" si="5"/>
        <v>-0.66015641878753839</v>
      </c>
      <c r="K36" s="67">
        <f t="shared" si="6"/>
        <v>-1</v>
      </c>
      <c r="L36" s="67">
        <f t="shared" si="9"/>
        <v>1.0710335476048334E-2</v>
      </c>
      <c r="M36" s="67">
        <f t="shared" si="17"/>
        <v>0.33984358121246167</v>
      </c>
      <c r="N36" s="67">
        <f t="shared" si="19"/>
        <v>0</v>
      </c>
    </row>
    <row r="37" spans="1:14" x14ac:dyDescent="0.2">
      <c r="A37" s="10" t="s">
        <v>39</v>
      </c>
      <c r="B37" s="22">
        <v>141858</v>
      </c>
      <c r="C37" s="14">
        <v>203031</v>
      </c>
      <c r="D37" s="15">
        <v>201835</v>
      </c>
      <c r="E37" s="36">
        <v>851190</v>
      </c>
      <c r="F37" s="15">
        <f t="shared" si="1"/>
        <v>61173</v>
      </c>
      <c r="G37" s="15">
        <f t="shared" si="16"/>
        <v>-1196</v>
      </c>
      <c r="H37" s="15">
        <f t="shared" si="18"/>
        <v>649355</v>
      </c>
      <c r="I37" s="67">
        <f t="shared" si="4"/>
        <v>0.43122700164953687</v>
      </c>
      <c r="J37" s="67">
        <f t="shared" si="5"/>
        <v>-5.8907260467613324E-3</v>
      </c>
      <c r="K37" s="67">
        <f t="shared" si="6"/>
        <v>3.2172566700522705</v>
      </c>
      <c r="L37" s="67">
        <f t="shared" si="9"/>
        <v>1.4312270016495368</v>
      </c>
      <c r="M37" s="67">
        <f t="shared" si="17"/>
        <v>0.99410927395323867</v>
      </c>
      <c r="N37" s="67">
        <f t="shared" si="19"/>
        <v>4.2172566700522705</v>
      </c>
    </row>
    <row r="38" spans="1:14" x14ac:dyDescent="0.2">
      <c r="A38" s="10" t="s">
        <v>42</v>
      </c>
      <c r="B38" s="22">
        <v>5518424</v>
      </c>
      <c r="C38" s="14">
        <v>10342249</v>
      </c>
      <c r="D38" s="15">
        <v>11636224</v>
      </c>
      <c r="E38" s="36">
        <v>11193801</v>
      </c>
      <c r="F38" s="15">
        <f t="shared" si="1"/>
        <v>4823825</v>
      </c>
      <c r="G38" s="15">
        <f t="shared" si="16"/>
        <v>1293975</v>
      </c>
      <c r="H38" s="15">
        <f t="shared" si="18"/>
        <v>-442423</v>
      </c>
      <c r="I38" s="67">
        <f t="shared" si="4"/>
        <v>0.8741309112891652</v>
      </c>
      <c r="J38" s="67">
        <f t="shared" si="5"/>
        <v>0.125115436690801</v>
      </c>
      <c r="K38" s="67">
        <f t="shared" si="6"/>
        <v>-3.8021182816693803E-2</v>
      </c>
      <c r="L38" s="67">
        <f t="shared" si="9"/>
        <v>1.8741309112891651</v>
      </c>
      <c r="M38" s="67">
        <f t="shared" si="17"/>
        <v>1.1251154366908009</v>
      </c>
      <c r="N38" s="67">
        <f t="shared" si="19"/>
        <v>0.96197881718330625</v>
      </c>
    </row>
    <row r="39" spans="1:14" x14ac:dyDescent="0.2">
      <c r="A39" s="10" t="s">
        <v>43</v>
      </c>
      <c r="B39" s="22">
        <v>2628546</v>
      </c>
      <c r="C39" s="14">
        <v>1277956</v>
      </c>
      <c r="D39" s="15">
        <v>963104</v>
      </c>
      <c r="E39" s="36">
        <v>935779</v>
      </c>
      <c r="F39" s="15">
        <f t="shared" si="1"/>
        <v>-1350590</v>
      </c>
      <c r="G39" s="15">
        <f t="shared" si="16"/>
        <v>-314852</v>
      </c>
      <c r="H39" s="15">
        <f t="shared" si="18"/>
        <v>-27325</v>
      </c>
      <c r="I39" s="67">
        <f t="shared" si="4"/>
        <v>-0.51381638365849414</v>
      </c>
      <c r="J39" s="67">
        <f t="shared" si="5"/>
        <v>-0.24637154956821675</v>
      </c>
      <c r="K39" s="67">
        <f t="shared" si="6"/>
        <v>-2.8371806160082402E-2</v>
      </c>
      <c r="L39" s="67">
        <f t="shared" si="9"/>
        <v>0.48618361634150592</v>
      </c>
      <c r="M39" s="67">
        <f t="shared" si="17"/>
        <v>0.75362845043178328</v>
      </c>
      <c r="N39" s="67">
        <f t="shared" si="19"/>
        <v>0.97162819383991761</v>
      </c>
    </row>
    <row r="40" spans="1:14" x14ac:dyDescent="0.2">
      <c r="A40" s="10" t="s">
        <v>44</v>
      </c>
      <c r="B40" s="22">
        <v>462329</v>
      </c>
      <c r="C40" s="14">
        <v>482591</v>
      </c>
      <c r="D40" s="15">
        <v>514030</v>
      </c>
      <c r="E40" s="36">
        <v>809832</v>
      </c>
      <c r="F40" s="15">
        <f t="shared" si="1"/>
        <v>20262</v>
      </c>
      <c r="G40" s="15">
        <f t="shared" si="16"/>
        <v>31439</v>
      </c>
      <c r="H40" s="15">
        <f t="shared" si="18"/>
        <v>295802</v>
      </c>
      <c r="I40" s="67">
        <f t="shared" si="4"/>
        <v>4.3825933480270543E-2</v>
      </c>
      <c r="J40" s="67">
        <f t="shared" si="5"/>
        <v>6.5146262570168118E-2</v>
      </c>
      <c r="K40" s="67">
        <f t="shared" si="6"/>
        <v>0.57545668540746653</v>
      </c>
      <c r="L40" s="67">
        <f t="shared" si="9"/>
        <v>1.0438259334802706</v>
      </c>
      <c r="M40" s="67">
        <f t="shared" si="17"/>
        <v>1.0651462625701682</v>
      </c>
      <c r="N40" s="67">
        <f t="shared" si="19"/>
        <v>1.5754566854074665</v>
      </c>
    </row>
    <row r="41" spans="1:14" x14ac:dyDescent="0.2">
      <c r="A41" s="10" t="s">
        <v>45</v>
      </c>
      <c r="B41" s="22">
        <v>51000</v>
      </c>
      <c r="C41" s="14">
        <v>4805927</v>
      </c>
      <c r="D41" s="15">
        <v>6134401</v>
      </c>
      <c r="E41" s="36">
        <v>6934439</v>
      </c>
      <c r="F41" s="15">
        <f t="shared" si="1"/>
        <v>4754927</v>
      </c>
      <c r="G41" s="15">
        <f t="shared" si="16"/>
        <v>1328474</v>
      </c>
      <c r="H41" s="15">
        <f t="shared" si="18"/>
        <v>800038</v>
      </c>
      <c r="I41" s="67">
        <f t="shared" si="4"/>
        <v>93.233862745098037</v>
      </c>
      <c r="J41" s="67">
        <f t="shared" si="5"/>
        <v>0.27642409050324734</v>
      </c>
      <c r="K41" s="67">
        <f t="shared" si="6"/>
        <v>0.13041827555779284</v>
      </c>
      <c r="L41" s="67">
        <f>C41/B41</f>
        <v>94.233862745098037</v>
      </c>
      <c r="M41" s="67">
        <f t="shared" si="17"/>
        <v>1.2764240905032473</v>
      </c>
      <c r="N41" s="67">
        <f t="shared" si="19"/>
        <v>1.130418275557793</v>
      </c>
    </row>
    <row r="42" spans="1:14" x14ac:dyDescent="0.2">
      <c r="A42" s="10" t="s">
        <v>46</v>
      </c>
      <c r="B42" s="22">
        <v>2796546</v>
      </c>
      <c r="C42" s="14">
        <v>2704032</v>
      </c>
      <c r="D42" s="15">
        <v>36272894</v>
      </c>
      <c r="E42" s="36">
        <v>19624505</v>
      </c>
      <c r="F42" s="15">
        <f t="shared" si="1"/>
        <v>-92514</v>
      </c>
      <c r="G42" s="15">
        <f t="shared" si="16"/>
        <v>33568862</v>
      </c>
      <c r="H42" s="15">
        <f t="shared" si="18"/>
        <v>-16648389</v>
      </c>
      <c r="I42" s="67">
        <f t="shared" si="4"/>
        <v>-3.3081522706939204E-2</v>
      </c>
      <c r="J42" s="67">
        <f t="shared" si="5"/>
        <v>12.414373054756748</v>
      </c>
      <c r="K42" s="67">
        <f t="shared" si="6"/>
        <v>-0.45897603317783248</v>
      </c>
      <c r="L42" s="67">
        <f t="shared" si="9"/>
        <v>0.9669184772930608</v>
      </c>
      <c r="M42" s="67">
        <f t="shared" si="17"/>
        <v>13.414373054756748</v>
      </c>
      <c r="N42" s="67">
        <f t="shared" si="19"/>
        <v>0.54102396682216758</v>
      </c>
    </row>
    <row r="43" spans="1:14" x14ac:dyDescent="0.2">
      <c r="A43" s="10" t="s">
        <v>47</v>
      </c>
      <c r="B43" s="22">
        <v>2202906</v>
      </c>
      <c r="C43" s="14">
        <v>2143851</v>
      </c>
      <c r="D43" s="15">
        <v>2128199</v>
      </c>
      <c r="E43" s="36">
        <v>2561403</v>
      </c>
      <c r="F43" s="15">
        <f t="shared" si="1"/>
        <v>-59055</v>
      </c>
      <c r="G43" s="15">
        <f t="shared" si="16"/>
        <v>-15652</v>
      </c>
      <c r="H43" s="15">
        <f t="shared" si="18"/>
        <v>433204</v>
      </c>
      <c r="I43" s="67">
        <f t="shared" si="4"/>
        <v>-2.6807771189510582E-2</v>
      </c>
      <c r="J43" s="67">
        <f t="shared" si="5"/>
        <v>-7.3008805182822869E-3</v>
      </c>
      <c r="K43" s="67">
        <f t="shared" si="6"/>
        <v>0.20355427288519543</v>
      </c>
      <c r="L43" s="67">
        <f t="shared" si="9"/>
        <v>0.97319222881048939</v>
      </c>
      <c r="M43" s="67">
        <f t="shared" si="17"/>
        <v>0.99269911948171774</v>
      </c>
      <c r="N43" s="67">
        <f t="shared" si="19"/>
        <v>1.2035542728851953</v>
      </c>
    </row>
    <row r="44" spans="1:14" x14ac:dyDescent="0.2">
      <c r="A44" s="8" t="s">
        <v>48</v>
      </c>
      <c r="B44" s="23">
        <f>SUM(B35,B28,B21)</f>
        <v>193562409</v>
      </c>
      <c r="C44" s="13">
        <v>238926496</v>
      </c>
      <c r="D44" s="13">
        <v>250753610</v>
      </c>
      <c r="E44" s="35">
        <v>289032356</v>
      </c>
      <c r="F44" s="15">
        <f t="shared" si="1"/>
        <v>45364087</v>
      </c>
      <c r="G44" s="15">
        <f t="shared" si="16"/>
        <v>11827114</v>
      </c>
      <c r="H44" s="15">
        <f t="shared" si="18"/>
        <v>38278746</v>
      </c>
      <c r="I44" s="67">
        <f t="shared" si="4"/>
        <v>0.2343641373051934</v>
      </c>
      <c r="J44" s="67">
        <f t="shared" si="5"/>
        <v>4.9501056592735536E-2</v>
      </c>
      <c r="K44" s="67">
        <f t="shared" si="6"/>
        <v>0.1526548152188118</v>
      </c>
      <c r="L44" s="67">
        <f t="shared" si="9"/>
        <v>1.2343641373051935</v>
      </c>
      <c r="M44" s="67">
        <f t="shared" si="17"/>
        <v>1.0495010565927356</v>
      </c>
      <c r="N44" s="67">
        <f t="shared" si="19"/>
        <v>1.1526548152188119</v>
      </c>
    </row>
    <row r="48" spans="1:14" x14ac:dyDescent="0.2">
      <c r="A48" s="111" t="s">
        <v>3</v>
      </c>
      <c r="B48" s="112"/>
      <c r="C48" s="112"/>
      <c r="D48" s="112"/>
      <c r="E48" s="112"/>
      <c r="F48" s="119" t="s">
        <v>49</v>
      </c>
      <c r="G48" s="119"/>
      <c r="H48" s="119"/>
    </row>
    <row r="49" spans="1:18" x14ac:dyDescent="0.2">
      <c r="A49" s="113"/>
      <c r="B49" s="114"/>
      <c r="C49" s="114"/>
      <c r="D49" s="114"/>
      <c r="E49" s="114"/>
      <c r="F49" s="119"/>
      <c r="G49" s="119"/>
      <c r="H49" s="119"/>
      <c r="P49" s="4"/>
      <c r="Q49" s="4"/>
      <c r="R49" s="4"/>
    </row>
    <row r="50" spans="1:18" ht="16" customHeight="1" x14ac:dyDescent="0.2">
      <c r="A50" s="115"/>
      <c r="B50" s="116"/>
      <c r="C50" s="116"/>
      <c r="D50" s="116"/>
      <c r="E50" s="116"/>
      <c r="F50" s="119"/>
      <c r="G50" s="119"/>
      <c r="H50" s="119"/>
      <c r="J50" s="121" t="s">
        <v>138</v>
      </c>
      <c r="K50" s="121"/>
      <c r="L50" s="121"/>
      <c r="M50" s="121"/>
      <c r="N50" s="121"/>
    </row>
    <row r="51" spans="1:18" x14ac:dyDescent="0.2">
      <c r="A51" s="8"/>
      <c r="B51" s="32">
        <v>2020</v>
      </c>
      <c r="C51" s="9">
        <v>2021</v>
      </c>
      <c r="D51" s="8">
        <v>2022</v>
      </c>
      <c r="E51" s="64">
        <v>2023</v>
      </c>
      <c r="F51" s="68">
        <v>2021</v>
      </c>
      <c r="G51" s="68">
        <v>2022</v>
      </c>
      <c r="H51" s="68">
        <v>2023</v>
      </c>
      <c r="J51" s="121"/>
      <c r="K51" s="121"/>
      <c r="L51" s="121"/>
      <c r="M51" s="121"/>
      <c r="N51" s="121"/>
    </row>
    <row r="52" spans="1:18" x14ac:dyDescent="0.2">
      <c r="A52" s="8" t="s">
        <v>11</v>
      </c>
      <c r="B52" s="20">
        <f>SUM(B53:B56)</f>
        <v>117715190</v>
      </c>
      <c r="C52" s="12">
        <v>113596044</v>
      </c>
      <c r="D52" s="13">
        <v>138018948</v>
      </c>
      <c r="E52" s="35">
        <v>230462892</v>
      </c>
      <c r="F52" s="67">
        <f>C52/C$66</f>
        <v>0.47544347697628314</v>
      </c>
      <c r="G52" s="67">
        <f t="shared" ref="G52:H65" si="20">D52/D$66</f>
        <v>0.55041659420177436</v>
      </c>
      <c r="H52" s="67">
        <f t="shared" si="20"/>
        <v>0.79736018205518833</v>
      </c>
      <c r="I52" s="34"/>
      <c r="J52" s="121"/>
      <c r="K52" s="121"/>
      <c r="L52" s="121"/>
      <c r="M52" s="121"/>
      <c r="N52" s="121"/>
      <c r="O52" s="153" t="s">
        <v>50</v>
      </c>
      <c r="P52" s="155">
        <f>F68/F52</f>
        <v>1.6615728801260015</v>
      </c>
      <c r="Q52" s="154">
        <f>G68/G52</f>
        <v>1.2359099273818548</v>
      </c>
      <c r="R52" s="154">
        <f>H68/H52</f>
        <v>0.86216748074132465</v>
      </c>
    </row>
    <row r="53" spans="1:18" x14ac:dyDescent="0.2">
      <c r="A53" s="10" t="s">
        <v>12</v>
      </c>
      <c r="B53" s="11">
        <v>113080120</v>
      </c>
      <c r="C53" s="14">
        <v>108411078</v>
      </c>
      <c r="D53" s="15">
        <v>134591726</v>
      </c>
      <c r="E53" s="36">
        <v>166970001</v>
      </c>
      <c r="F53" s="67">
        <f t="shared" ref="F53:F65" si="21">C53/C$66</f>
        <v>0.45374238443609033</v>
      </c>
      <c r="G53" s="67">
        <f t="shared" si="20"/>
        <v>0.53674890662591057</v>
      </c>
      <c r="H53" s="67">
        <f t="shared" si="20"/>
        <v>0.5776861916456163</v>
      </c>
      <c r="J53" s="121"/>
      <c r="K53" s="121"/>
      <c r="L53" s="121"/>
      <c r="M53" s="121"/>
      <c r="N53" s="121"/>
      <c r="O53" s="154" t="s">
        <v>51</v>
      </c>
      <c r="P53" s="154">
        <f>(C68+C75)/C52</f>
        <v>1.9095785853246792</v>
      </c>
      <c r="Q53" s="154">
        <f t="shared" ref="Q53:R53" si="22">(D68+D75)/D52</f>
        <v>1.3975413940990189</v>
      </c>
      <c r="R53" s="154">
        <f t="shared" si="22"/>
        <v>1.0679437581647635</v>
      </c>
    </row>
    <row r="54" spans="1:18" x14ac:dyDescent="0.2">
      <c r="A54" s="10" t="s">
        <v>13</v>
      </c>
      <c r="B54" s="11">
        <v>637656</v>
      </c>
      <c r="C54" s="14">
        <v>613190</v>
      </c>
      <c r="D54" s="15">
        <v>607253</v>
      </c>
      <c r="E54" s="36">
        <v>1471501</v>
      </c>
      <c r="F54" s="67">
        <f t="shared" si="21"/>
        <v>2.5664378386899373E-3</v>
      </c>
      <c r="G54" s="67">
        <f t="shared" si="20"/>
        <v>2.4217118947958516E-3</v>
      </c>
      <c r="H54" s="67">
        <f t="shared" si="20"/>
        <v>5.091128966889783E-3</v>
      </c>
      <c r="J54" s="121"/>
      <c r="K54" s="121"/>
      <c r="L54" s="121"/>
      <c r="M54" s="121"/>
      <c r="N54" s="121"/>
      <c r="O54" s="153" t="s">
        <v>140</v>
      </c>
      <c r="P54" s="154">
        <v>3.7615416915528774</v>
      </c>
      <c r="Q54" s="154">
        <v>2.1995701764586815</v>
      </c>
      <c r="R54" s="154">
        <v>2.1275932925508525</v>
      </c>
    </row>
    <row r="55" spans="1:18" x14ac:dyDescent="0.2">
      <c r="A55" s="10" t="s">
        <v>14</v>
      </c>
      <c r="B55" s="11">
        <v>1628599</v>
      </c>
      <c r="C55" s="14">
        <v>1628599</v>
      </c>
      <c r="D55" s="15">
        <v>1628599</v>
      </c>
      <c r="E55" s="36">
        <v>58382096</v>
      </c>
      <c r="F55" s="67">
        <f t="shared" si="21"/>
        <v>6.8163181031207186E-3</v>
      </c>
      <c r="G55" s="67">
        <f t="shared" si="20"/>
        <v>6.4948177615468828E-3</v>
      </c>
      <c r="H55" s="67">
        <f t="shared" si="20"/>
        <v>0.20199155834303895</v>
      </c>
      <c r="J55" s="121"/>
      <c r="K55" s="121"/>
      <c r="L55" s="121"/>
      <c r="M55" s="121"/>
      <c r="N55" s="121"/>
      <c r="O55" s="154"/>
      <c r="P55" s="154"/>
      <c r="Q55" s="154"/>
      <c r="R55" s="154"/>
    </row>
    <row r="56" spans="1:18" x14ac:dyDescent="0.2">
      <c r="A56" s="10" t="s">
        <v>15</v>
      </c>
      <c r="B56" s="11">
        <v>2368815</v>
      </c>
      <c r="C56" s="14">
        <v>2943177</v>
      </c>
      <c r="D56" s="15">
        <v>1191370</v>
      </c>
      <c r="E56" s="36">
        <v>623438</v>
      </c>
      <c r="F56" s="67">
        <f t="shared" si="21"/>
        <v>1.2318336598382123E-2</v>
      </c>
      <c r="G56" s="67">
        <f t="shared" si="20"/>
        <v>4.7511579195210788E-3</v>
      </c>
      <c r="H56" s="67">
        <f t="shared" si="20"/>
        <v>2.1569834209149924E-3</v>
      </c>
      <c r="J56" s="121"/>
      <c r="K56" s="121"/>
      <c r="L56" s="121"/>
      <c r="M56" s="121"/>
      <c r="N56" s="121"/>
    </row>
    <row r="57" spans="1:18" x14ac:dyDescent="0.2">
      <c r="A57" s="10" t="s">
        <v>16</v>
      </c>
      <c r="B57" s="11"/>
      <c r="C57" s="15"/>
      <c r="D57" s="15"/>
      <c r="E57" s="36">
        <v>3015856</v>
      </c>
      <c r="F57" s="67">
        <f t="shared" si="21"/>
        <v>0</v>
      </c>
      <c r="G57" s="67">
        <f t="shared" si="20"/>
        <v>0</v>
      </c>
      <c r="H57" s="67">
        <f t="shared" si="20"/>
        <v>1.0434319678728288E-2</v>
      </c>
      <c r="J57" s="121"/>
      <c r="K57" s="121"/>
      <c r="L57" s="121"/>
      <c r="M57" s="121"/>
      <c r="N57" s="121"/>
    </row>
    <row r="58" spans="1:18" x14ac:dyDescent="0.2">
      <c r="A58" s="8" t="s">
        <v>17</v>
      </c>
      <c r="B58" s="20">
        <f>SUM(B59:B65)</f>
        <v>75847219</v>
      </c>
      <c r="C58" s="12">
        <v>125330451</v>
      </c>
      <c r="D58" s="13">
        <v>112734662</v>
      </c>
      <c r="E58" s="35">
        <v>58569464</v>
      </c>
      <c r="F58" s="67">
        <f t="shared" si="21"/>
        <v>0.52455651883832921</v>
      </c>
      <c r="G58" s="67">
        <f t="shared" si="20"/>
        <v>0.44958340579822559</v>
      </c>
      <c r="H58" s="67">
        <f t="shared" si="20"/>
        <v>0.2026398179448117</v>
      </c>
      <c r="J58" s="121"/>
      <c r="K58" s="121"/>
      <c r="L58" s="121"/>
      <c r="M58" s="121"/>
      <c r="N58" s="121"/>
    </row>
    <row r="59" spans="1:18" x14ac:dyDescent="0.2">
      <c r="A59" s="10" t="s">
        <v>18</v>
      </c>
      <c r="B59" s="11">
        <v>719797</v>
      </c>
      <c r="C59" s="14">
        <v>808042</v>
      </c>
      <c r="D59" s="15">
        <v>1073791</v>
      </c>
      <c r="E59" s="36">
        <v>786974</v>
      </c>
      <c r="F59" s="67">
        <f t="shared" si="21"/>
        <v>3.3819689884875721E-3</v>
      </c>
      <c r="G59" s="67">
        <f t="shared" si="20"/>
        <v>4.2822553980379381E-3</v>
      </c>
      <c r="H59" s="67">
        <f t="shared" si="20"/>
        <v>2.7227885863408316E-3</v>
      </c>
      <c r="J59" s="121"/>
      <c r="K59" s="121"/>
      <c r="L59" s="121"/>
      <c r="M59" s="121"/>
      <c r="N59" s="121"/>
    </row>
    <row r="60" spans="1:18" x14ac:dyDescent="0.2">
      <c r="A60" s="10" t="s">
        <v>19</v>
      </c>
      <c r="B60" s="11">
        <v>16672070</v>
      </c>
      <c r="C60" s="14">
        <v>19351568</v>
      </c>
      <c r="D60" s="15">
        <v>19071495</v>
      </c>
      <c r="E60" s="36">
        <v>21404560</v>
      </c>
      <c r="F60" s="67">
        <f t="shared" si="21"/>
        <v>8.0993813260459818E-2</v>
      </c>
      <c r="G60" s="67">
        <f t="shared" si="20"/>
        <v>7.6056711606265606E-2</v>
      </c>
      <c r="H60" s="67">
        <f t="shared" si="20"/>
        <v>7.4055930264084344E-2</v>
      </c>
      <c r="J60" s="121"/>
      <c r="K60" s="121"/>
      <c r="L60" s="121"/>
      <c r="M60" s="121"/>
      <c r="N60" s="121"/>
    </row>
    <row r="61" spans="1:18" x14ac:dyDescent="0.2">
      <c r="A61" s="10" t="s">
        <v>20</v>
      </c>
      <c r="B61" s="11">
        <v>12046317</v>
      </c>
      <c r="C61" s="14">
        <v>3829278</v>
      </c>
      <c r="D61" s="15">
        <v>12385625</v>
      </c>
      <c r="E61" s="36">
        <v>28812663</v>
      </c>
      <c r="F61" s="67">
        <f t="shared" si="21"/>
        <v>1.6027012759606201E-2</v>
      </c>
      <c r="G61" s="67">
        <f t="shared" si="20"/>
        <v>4.9393605938514704E-2</v>
      </c>
      <c r="H61" s="67">
        <f t="shared" si="20"/>
        <v>9.9686635083858915E-2</v>
      </c>
      <c r="J61" s="121"/>
      <c r="K61" s="121"/>
      <c r="L61" s="121"/>
      <c r="M61" s="121"/>
      <c r="N61" s="121"/>
    </row>
    <row r="62" spans="1:18" x14ac:dyDescent="0.2">
      <c r="A62" s="10" t="s">
        <v>21</v>
      </c>
      <c r="B62" s="11">
        <v>4995200</v>
      </c>
      <c r="C62" s="14"/>
      <c r="D62" s="15"/>
      <c r="E62" s="36"/>
      <c r="F62" s="67">
        <f t="shared" si="21"/>
        <v>0</v>
      </c>
      <c r="G62" s="67">
        <f t="shared" si="20"/>
        <v>0</v>
      </c>
      <c r="H62" s="67">
        <f t="shared" si="20"/>
        <v>0</v>
      </c>
    </row>
    <row r="63" spans="1:18" x14ac:dyDescent="0.2">
      <c r="A63" s="10" t="s">
        <v>22</v>
      </c>
      <c r="B63" s="11">
        <v>40315528</v>
      </c>
      <c r="C63" s="14">
        <v>101180151</v>
      </c>
      <c r="D63" s="15">
        <v>79321256</v>
      </c>
      <c r="E63" s="36">
        <v>6635799</v>
      </c>
      <c r="F63" s="67">
        <f t="shared" si="21"/>
        <v>0.42347815204220801</v>
      </c>
      <c r="G63" s="67">
        <f t="shared" si="20"/>
        <v>0.31633146178832677</v>
      </c>
      <c r="H63" s="67">
        <f t="shared" si="20"/>
        <v>2.2958671796592906E-2</v>
      </c>
    </row>
    <row r="64" spans="1:18" x14ac:dyDescent="0.2">
      <c r="A64" s="10" t="s">
        <v>23</v>
      </c>
      <c r="B64" s="11">
        <v>174227</v>
      </c>
      <c r="C64" s="14">
        <v>161412</v>
      </c>
      <c r="D64" s="15">
        <v>882495</v>
      </c>
      <c r="E64" s="36">
        <v>929468</v>
      </c>
      <c r="F64" s="67">
        <f t="shared" si="21"/>
        <v>6.7557178756767105E-4</v>
      </c>
      <c r="G64" s="67">
        <f t="shared" si="20"/>
        <v>3.5193710670805498E-3</v>
      </c>
      <c r="H64" s="67">
        <f t="shared" si="20"/>
        <v>3.2157922139346919E-3</v>
      </c>
    </row>
    <row r="65" spans="1:22" x14ac:dyDescent="0.2">
      <c r="A65" s="10" t="s">
        <v>24</v>
      </c>
      <c r="B65" s="11">
        <v>924080</v>
      </c>
      <c r="C65" s="14"/>
      <c r="D65" s="15"/>
      <c r="E65" s="36"/>
      <c r="F65" s="67">
        <f t="shared" si="21"/>
        <v>0</v>
      </c>
      <c r="G65" s="67">
        <f t="shared" si="20"/>
        <v>0</v>
      </c>
      <c r="H65" s="67">
        <f t="shared" si="20"/>
        <v>0</v>
      </c>
    </row>
    <row r="66" spans="1:22" x14ac:dyDescent="0.2">
      <c r="A66" s="8" t="s">
        <v>25</v>
      </c>
      <c r="B66" s="20">
        <f>SUM(B59:B65,B53:B56)</f>
        <v>193562409</v>
      </c>
      <c r="C66" s="12">
        <v>238926496</v>
      </c>
      <c r="D66" s="13">
        <v>250753610</v>
      </c>
      <c r="E66" s="35">
        <v>289032356</v>
      </c>
      <c r="F66" s="67"/>
      <c r="G66" s="67"/>
      <c r="H66" s="67"/>
    </row>
    <row r="67" spans="1:22" x14ac:dyDescent="0.2">
      <c r="A67" s="117"/>
      <c r="B67" s="118"/>
      <c r="C67" s="118"/>
      <c r="D67" s="118"/>
      <c r="E67" s="118"/>
      <c r="F67" s="67"/>
      <c r="G67" s="67"/>
      <c r="H67" s="67"/>
    </row>
    <row r="68" spans="1:22" x14ac:dyDescent="0.2">
      <c r="A68" s="8" t="s">
        <v>26</v>
      </c>
      <c r="B68" s="20">
        <f>SUM(B69:B74)</f>
        <v>148806184</v>
      </c>
      <c r="C68" s="12">
        <v>188748106</v>
      </c>
      <c r="D68" s="13">
        <v>170578988</v>
      </c>
      <c r="E68" s="35">
        <v>198697611</v>
      </c>
      <c r="F68" s="67">
        <f>C68/C$91</f>
        <v>0.78998398737660303</v>
      </c>
      <c r="G68" s="67">
        <f t="shared" ref="G68:H68" si="23">D68/D$91</f>
        <v>0.68026533296968283</v>
      </c>
      <c r="H68" s="67">
        <f t="shared" si="23"/>
        <v>0.68745801940596574</v>
      </c>
    </row>
    <row r="69" spans="1:22" x14ac:dyDescent="0.2">
      <c r="A69" s="10" t="s">
        <v>27</v>
      </c>
      <c r="B69" s="11">
        <v>35128850</v>
      </c>
      <c r="C69" s="14">
        <v>35128850</v>
      </c>
      <c r="D69" s="15">
        <v>35128850</v>
      </c>
      <c r="E69" s="36">
        <v>35128850</v>
      </c>
      <c r="F69" s="67">
        <f t="shared" ref="F69:F90" si="24">C69/C$91</f>
        <v>0.14702785412296843</v>
      </c>
      <c r="G69" s="67">
        <f t="shared" ref="G69:G90" si="25">D69/D$91</f>
        <v>0.14009309776238116</v>
      </c>
      <c r="H69" s="67">
        <f t="shared" ref="H69:H90" si="26">E69/E$91</f>
        <v>0.12153950680871176</v>
      </c>
    </row>
    <row r="70" spans="1:22" x14ac:dyDescent="0.2">
      <c r="A70" s="10" t="s">
        <v>28</v>
      </c>
      <c r="B70" s="11">
        <v>25573479</v>
      </c>
      <c r="C70" s="14">
        <v>25573479</v>
      </c>
      <c r="D70" s="15">
        <v>25573479</v>
      </c>
      <c r="E70" s="36">
        <v>25573479</v>
      </c>
      <c r="F70" s="67">
        <f t="shared" si="24"/>
        <v>0.10703492257300756</v>
      </c>
      <c r="G70" s="67">
        <f t="shared" si="25"/>
        <v>0.10198648386358226</v>
      </c>
      <c r="H70" s="67">
        <f t="shared" si="26"/>
        <v>8.847964066694318E-2</v>
      </c>
    </row>
    <row r="71" spans="1:22" x14ac:dyDescent="0.2">
      <c r="A71" s="10" t="s">
        <v>29</v>
      </c>
      <c r="B71" s="11">
        <v>3407079</v>
      </c>
      <c r="C71" s="14">
        <v>3418127</v>
      </c>
      <c r="D71" s="15">
        <v>3488803</v>
      </c>
      <c r="E71" s="36">
        <v>49710867</v>
      </c>
      <c r="F71" s="67">
        <f t="shared" si="24"/>
        <v>1.4306186451585512E-2</v>
      </c>
      <c r="G71" s="67">
        <f t="shared" si="25"/>
        <v>1.3913271278527156E-2</v>
      </c>
      <c r="H71" s="67">
        <f t="shared" si="26"/>
        <v>0.17199066460227033</v>
      </c>
      <c r="Q71" s="86" t="s">
        <v>140</v>
      </c>
      <c r="R71" s="86"/>
      <c r="S71" s="86"/>
      <c r="T71" s="86"/>
      <c r="U71" s="86"/>
      <c r="V71" s="86"/>
    </row>
    <row r="72" spans="1:22" x14ac:dyDescent="0.2">
      <c r="A72" s="10" t="s">
        <v>30</v>
      </c>
      <c r="B72" s="11">
        <v>985000</v>
      </c>
      <c r="C72" s="14">
        <v>985000</v>
      </c>
      <c r="D72" s="15">
        <v>985000</v>
      </c>
      <c r="E72" s="36">
        <v>985000</v>
      </c>
      <c r="F72" s="67">
        <f t="shared" si="24"/>
        <v>4.1226068120967215E-3</v>
      </c>
      <c r="G72" s="67">
        <f t="shared" si="25"/>
        <v>3.9281588009839616E-3</v>
      </c>
      <c r="H72" s="67">
        <f t="shared" si="26"/>
        <v>3.407922952404678E-3</v>
      </c>
      <c r="Q72" s="67">
        <f>C68/(C75+C82)</f>
        <v>3.7615416915528774</v>
      </c>
      <c r="R72" s="10"/>
      <c r="S72" s="67">
        <f>E68/(E75+E82)</f>
        <v>2.1995701764586815</v>
      </c>
      <c r="T72" s="10"/>
      <c r="U72" s="67">
        <f>G68/(G75+G82)</f>
        <v>2.1275932925508525</v>
      </c>
      <c r="V72" s="10"/>
    </row>
    <row r="73" spans="1:22" x14ac:dyDescent="0.2">
      <c r="A73" s="10" t="s">
        <v>31</v>
      </c>
      <c r="B73" s="11">
        <v>12916096</v>
      </c>
      <c r="C73" s="14">
        <v>12916096</v>
      </c>
      <c r="D73" s="15">
        <v>12916096</v>
      </c>
      <c r="E73" s="36">
        <v>12916096</v>
      </c>
      <c r="F73" s="67">
        <f t="shared" si="24"/>
        <v>5.4058868381010365E-2</v>
      </c>
      <c r="G73" s="67">
        <f t="shared" si="25"/>
        <v>5.1509112869800755E-2</v>
      </c>
      <c r="H73" s="67">
        <f t="shared" si="26"/>
        <v>4.4687370572448988E-2</v>
      </c>
      <c r="Q73" s="122"/>
      <c r="R73" s="122"/>
      <c r="S73" s="122"/>
      <c r="T73" s="122"/>
      <c r="U73" s="122"/>
      <c r="V73" s="122"/>
    </row>
    <row r="74" spans="1:22" x14ac:dyDescent="0.2">
      <c r="A74" s="10" t="s">
        <v>32</v>
      </c>
      <c r="B74" s="11">
        <v>70795680</v>
      </c>
      <c r="C74" s="14">
        <v>110726554</v>
      </c>
      <c r="D74" s="15">
        <v>92486760</v>
      </c>
      <c r="E74" s="36">
        <v>74383319</v>
      </c>
      <c r="F74" s="67">
        <f t="shared" si="24"/>
        <v>0.46343354903593448</v>
      </c>
      <c r="G74" s="67">
        <f t="shared" si="25"/>
        <v>0.36883520839440759</v>
      </c>
      <c r="H74" s="67">
        <f t="shared" si="26"/>
        <v>0.25735291380318681</v>
      </c>
    </row>
    <row r="75" spans="1:22" x14ac:dyDescent="0.2">
      <c r="A75" s="8" t="s">
        <v>33</v>
      </c>
      <c r="B75" s="20">
        <f>SUM(B76:B81)</f>
        <v>26632996</v>
      </c>
      <c r="C75" s="12">
        <v>28172467</v>
      </c>
      <c r="D75" s="13">
        <v>22308205</v>
      </c>
      <c r="E75" s="35">
        <v>47423796</v>
      </c>
      <c r="F75" s="67">
        <f t="shared" si="24"/>
        <v>0.11791269478961429</v>
      </c>
      <c r="G75" s="67">
        <f t="shared" si="25"/>
        <v>8.896464142629891E-2</v>
      </c>
      <c r="H75" s="67">
        <f t="shared" si="26"/>
        <v>0.16407781002899205</v>
      </c>
      <c r="Q75" s="4"/>
      <c r="R75" s="4"/>
      <c r="S75" s="4"/>
      <c r="T75" s="4"/>
      <c r="U75" s="4"/>
      <c r="V75" s="4"/>
    </row>
    <row r="76" spans="1:22" x14ac:dyDescent="0.2">
      <c r="A76" s="10" t="s">
        <v>34</v>
      </c>
      <c r="B76" s="11">
        <v>6143218</v>
      </c>
      <c r="C76" s="14">
        <v>5389081</v>
      </c>
      <c r="D76" s="15">
        <v>6251498</v>
      </c>
      <c r="E76" s="36">
        <v>5395232</v>
      </c>
      <c r="F76" s="67">
        <f t="shared" si="24"/>
        <v>2.2555392935574629E-2</v>
      </c>
      <c r="G76" s="67">
        <f t="shared" si="25"/>
        <v>2.4930839480237194E-2</v>
      </c>
      <c r="H76" s="67">
        <f t="shared" si="26"/>
        <v>1.866653296075959E-2</v>
      </c>
      <c r="Q76" s="34"/>
      <c r="R76" s="34"/>
      <c r="S76" s="34"/>
      <c r="T76" s="34"/>
      <c r="U76" s="34"/>
    </row>
    <row r="77" spans="1:22" x14ac:dyDescent="0.2">
      <c r="A77" s="10" t="s">
        <v>35</v>
      </c>
      <c r="B77" s="11">
        <v>69712</v>
      </c>
      <c r="C77" s="14">
        <v>63867</v>
      </c>
      <c r="D77" s="15">
        <v>112607</v>
      </c>
      <c r="E77" s="36">
        <v>254867</v>
      </c>
      <c r="F77" s="67">
        <f t="shared" si="24"/>
        <v>2.6730815154130078E-4</v>
      </c>
      <c r="G77" s="67">
        <f t="shared" si="25"/>
        <v>4.490742924897472E-4</v>
      </c>
      <c r="H77" s="67">
        <f t="shared" si="26"/>
        <v>8.8179400924926204E-4</v>
      </c>
    </row>
    <row r="78" spans="1:22" x14ac:dyDescent="0.2">
      <c r="A78" s="10" t="s">
        <v>36</v>
      </c>
      <c r="B78" s="11" t="s">
        <v>37</v>
      </c>
      <c r="C78" s="14">
        <v>4684000</v>
      </c>
      <c r="D78" s="15"/>
      <c r="E78" s="36"/>
      <c r="F78" s="67">
        <f t="shared" si="24"/>
        <v>1.960435564249852E-2</v>
      </c>
      <c r="G78" s="67">
        <f t="shared" si="25"/>
        <v>0</v>
      </c>
      <c r="H78" s="67">
        <f t="shared" si="26"/>
        <v>0</v>
      </c>
    </row>
    <row r="79" spans="1:22" x14ac:dyDescent="0.2">
      <c r="A79" s="10" t="s">
        <v>38</v>
      </c>
      <c r="B79" s="11">
        <v>61714</v>
      </c>
      <c r="C79" s="14">
        <v>15429</v>
      </c>
      <c r="D79" s="15"/>
      <c r="E79" s="36"/>
      <c r="F79" s="67">
        <f t="shared" si="24"/>
        <v>6.457634568917798E-5</v>
      </c>
      <c r="G79" s="67">
        <f t="shared" si="25"/>
        <v>0</v>
      </c>
      <c r="H79" s="67">
        <f t="shared" si="26"/>
        <v>0</v>
      </c>
    </row>
    <row r="80" spans="1:22" x14ac:dyDescent="0.2">
      <c r="A80" s="10" t="s">
        <v>39</v>
      </c>
      <c r="B80" s="11">
        <v>1168430</v>
      </c>
      <c r="C80" s="14">
        <v>1091321</v>
      </c>
      <c r="D80" s="15">
        <v>1256236</v>
      </c>
      <c r="E80" s="36">
        <v>34921537</v>
      </c>
      <c r="F80" s="67">
        <f t="shared" si="24"/>
        <v>4.5676014099332038E-3</v>
      </c>
      <c r="G80" s="67">
        <f t="shared" si="25"/>
        <v>5.0098421314851661E-3</v>
      </c>
      <c r="H80" s="67">
        <f t="shared" si="26"/>
        <v>0.12082224109192813</v>
      </c>
    </row>
    <row r="81" spans="1:9" x14ac:dyDescent="0.2">
      <c r="A81" s="10" t="s">
        <v>40</v>
      </c>
      <c r="B81" s="11">
        <v>19189922</v>
      </c>
      <c r="C81" s="14">
        <v>16928770</v>
      </c>
      <c r="D81" s="15">
        <v>14687864</v>
      </c>
      <c r="E81" s="36">
        <v>6852160</v>
      </c>
      <c r="F81" s="67">
        <f t="shared" si="24"/>
        <v>7.0853464489765081E-2</v>
      </c>
      <c r="G81" s="67">
        <f t="shared" si="25"/>
        <v>5.8574885522086798E-2</v>
      </c>
      <c r="H81" s="67">
        <f t="shared" si="26"/>
        <v>2.3707241967055065E-2</v>
      </c>
    </row>
    <row r="82" spans="1:9" x14ac:dyDescent="0.2">
      <c r="A82" s="8" t="s">
        <v>41</v>
      </c>
      <c r="B82" s="20">
        <f>SUM(B83:B90)</f>
        <v>18123229</v>
      </c>
      <c r="C82" s="12">
        <v>22005923</v>
      </c>
      <c r="D82" s="13">
        <v>57866417</v>
      </c>
      <c r="E82" s="35">
        <v>42910949</v>
      </c>
      <c r="F82" s="67">
        <f t="shared" si="24"/>
        <v>9.2103317833782658E-2</v>
      </c>
      <c r="G82" s="67">
        <f t="shared" si="25"/>
        <v>0.23077002560401821</v>
      </c>
      <c r="H82" s="67">
        <f t="shared" si="26"/>
        <v>0.14846417056504221</v>
      </c>
    </row>
    <row r="83" spans="1:9" x14ac:dyDescent="0.2">
      <c r="A83" s="10" t="s">
        <v>38</v>
      </c>
      <c r="B83" s="11">
        <v>4321620</v>
      </c>
      <c r="C83" s="14">
        <v>46286</v>
      </c>
      <c r="D83" s="15">
        <v>15730</v>
      </c>
      <c r="E83" s="36"/>
      <c r="F83" s="67">
        <f t="shared" si="24"/>
        <v>1.9372485167990744E-4</v>
      </c>
      <c r="G83" s="67">
        <f t="shared" si="25"/>
        <v>6.2730901461398696E-5</v>
      </c>
      <c r="H83" s="67">
        <f t="shared" si="26"/>
        <v>0</v>
      </c>
    </row>
    <row r="84" spans="1:9" x14ac:dyDescent="0.2">
      <c r="A84" s="10" t="s">
        <v>39</v>
      </c>
      <c r="B84" s="11">
        <v>141858</v>
      </c>
      <c r="C84" s="14">
        <v>203031</v>
      </c>
      <c r="D84" s="15">
        <v>201835</v>
      </c>
      <c r="E84" s="36">
        <v>851190</v>
      </c>
      <c r="F84" s="67">
        <f t="shared" si="24"/>
        <v>8.4976343519473031E-4</v>
      </c>
      <c r="G84" s="67">
        <f t="shared" si="25"/>
        <v>8.0491363613867817E-4</v>
      </c>
      <c r="H84" s="67">
        <f t="shared" si="26"/>
        <v>2.9449644039160794E-3</v>
      </c>
    </row>
    <row r="85" spans="1:9" x14ac:dyDescent="0.2">
      <c r="A85" s="10" t="s">
        <v>42</v>
      </c>
      <c r="B85" s="11">
        <v>5518424</v>
      </c>
      <c r="C85" s="14">
        <v>10342249</v>
      </c>
      <c r="D85" s="15">
        <v>11636224</v>
      </c>
      <c r="E85" s="36">
        <v>11193801</v>
      </c>
      <c r="F85" s="67">
        <f t="shared" si="24"/>
        <v>4.3286320994721322E-2</v>
      </c>
      <c r="G85" s="67">
        <f t="shared" si="25"/>
        <v>4.6405010879005892E-2</v>
      </c>
      <c r="H85" s="67">
        <f t="shared" si="26"/>
        <v>3.8728539444213644E-2</v>
      </c>
    </row>
    <row r="86" spans="1:9" x14ac:dyDescent="0.2">
      <c r="A86" s="10" t="s">
        <v>43</v>
      </c>
      <c r="B86" s="11">
        <v>2628546</v>
      </c>
      <c r="C86" s="14">
        <v>1277956</v>
      </c>
      <c r="D86" s="15">
        <v>963104</v>
      </c>
      <c r="E86" s="36">
        <v>935779</v>
      </c>
      <c r="F86" s="67">
        <f t="shared" si="24"/>
        <v>5.3487412296039363E-3</v>
      </c>
      <c r="G86" s="67">
        <f t="shared" si="25"/>
        <v>3.8408380242262513E-3</v>
      </c>
      <c r="H86" s="67">
        <f t="shared" si="26"/>
        <v>3.2376271395718756E-3</v>
      </c>
    </row>
    <row r="87" spans="1:9" x14ac:dyDescent="0.2">
      <c r="A87" s="10" t="s">
        <v>44</v>
      </c>
      <c r="B87" s="11">
        <v>462329</v>
      </c>
      <c r="C87" s="14">
        <v>482591</v>
      </c>
      <c r="D87" s="15">
        <v>514030</v>
      </c>
      <c r="E87" s="36">
        <v>809832</v>
      </c>
      <c r="F87" s="67">
        <f t="shared" si="24"/>
        <v>2.0198304000574301E-3</v>
      </c>
      <c r="G87" s="67">
        <f t="shared" si="25"/>
        <v>2.0499405771266864E-3</v>
      </c>
      <c r="H87" s="67">
        <f t="shared" si="26"/>
        <v>2.8018731577581575E-3</v>
      </c>
    </row>
    <row r="88" spans="1:9" x14ac:dyDescent="0.2">
      <c r="A88" s="10" t="s">
        <v>45</v>
      </c>
      <c r="B88" s="11">
        <v>51000</v>
      </c>
      <c r="C88" s="14">
        <v>4805927</v>
      </c>
      <c r="D88" s="15">
        <v>6134401</v>
      </c>
      <c r="E88" s="36">
        <v>6934439</v>
      </c>
      <c r="F88" s="67">
        <f t="shared" si="24"/>
        <v>2.0114667399634068E-2</v>
      </c>
      <c r="G88" s="67">
        <f t="shared" si="25"/>
        <v>2.4463859164380524E-2</v>
      </c>
      <c r="H88" s="67">
        <f t="shared" si="26"/>
        <v>2.3991912517918927E-2</v>
      </c>
    </row>
    <row r="89" spans="1:9" x14ac:dyDescent="0.2">
      <c r="A89" s="10" t="s">
        <v>46</v>
      </c>
      <c r="B89" s="11">
        <v>2796546</v>
      </c>
      <c r="C89" s="14">
        <v>2704032</v>
      </c>
      <c r="D89" s="15">
        <v>36272894</v>
      </c>
      <c r="E89" s="36">
        <v>19624505</v>
      </c>
      <c r="F89" s="67">
        <f t="shared" si="24"/>
        <v>1.1317422074444184E-2</v>
      </c>
      <c r="G89" s="67">
        <f t="shared" si="25"/>
        <v>0.14465552061244502</v>
      </c>
      <c r="H89" s="67">
        <f t="shared" si="26"/>
        <v>6.7897259917848091E-2</v>
      </c>
    </row>
    <row r="90" spans="1:9" x14ac:dyDescent="0.2">
      <c r="A90" s="10" t="s">
        <v>47</v>
      </c>
      <c r="B90" s="11">
        <v>2202906</v>
      </c>
      <c r="C90" s="14">
        <v>2143851</v>
      </c>
      <c r="D90" s="15">
        <v>2128199</v>
      </c>
      <c r="E90" s="36">
        <v>2561403</v>
      </c>
      <c r="F90" s="67">
        <f t="shared" si="24"/>
        <v>8.9728474484470737E-3</v>
      </c>
      <c r="G90" s="67">
        <f t="shared" si="25"/>
        <v>8.4872118092337735E-3</v>
      </c>
      <c r="H90" s="67">
        <f t="shared" si="26"/>
        <v>8.8619939838154322E-3</v>
      </c>
    </row>
    <row r="91" spans="1:9" x14ac:dyDescent="0.2">
      <c r="A91" s="8" t="s">
        <v>48</v>
      </c>
      <c r="B91" s="20">
        <f>SUM(B82,B75,B68)</f>
        <v>193562409</v>
      </c>
      <c r="C91" s="13">
        <v>238926496</v>
      </c>
      <c r="D91" s="13">
        <v>250753610</v>
      </c>
      <c r="E91" s="35">
        <v>289032356</v>
      </c>
      <c r="F91" s="67"/>
      <c r="G91" s="67"/>
      <c r="H91" s="67"/>
    </row>
    <row r="94" spans="1:9" ht="16" customHeight="1" x14ac:dyDescent="0.2">
      <c r="F94" s="108" t="s">
        <v>133</v>
      </c>
      <c r="G94" s="108"/>
      <c r="H94" s="108"/>
      <c r="I94" s="108"/>
    </row>
    <row r="95" spans="1:9" ht="31" customHeight="1" x14ac:dyDescent="0.2">
      <c r="F95" s="108"/>
      <c r="G95" s="108"/>
      <c r="H95" s="108"/>
      <c r="I95" s="108"/>
    </row>
    <row r="96" spans="1:9" ht="16" customHeight="1" x14ac:dyDescent="0.2">
      <c r="F96" s="106" t="s">
        <v>134</v>
      </c>
      <c r="G96" s="106"/>
      <c r="H96" s="106"/>
      <c r="I96" s="106"/>
    </row>
    <row r="97" spans="1:9" x14ac:dyDescent="0.2">
      <c r="E97" s="37"/>
      <c r="F97" s="106"/>
      <c r="G97" s="106"/>
      <c r="H97" s="106"/>
      <c r="I97" s="106"/>
    </row>
    <row r="98" spans="1:9" x14ac:dyDescent="0.2">
      <c r="F98" s="106" t="s">
        <v>135</v>
      </c>
      <c r="G98" s="106"/>
      <c r="H98" s="106"/>
      <c r="I98" s="106"/>
    </row>
    <row r="99" spans="1:9" x14ac:dyDescent="0.2">
      <c r="E99" s="37"/>
      <c r="F99" s="106"/>
      <c r="G99" s="106"/>
      <c r="H99" s="106"/>
      <c r="I99" s="106"/>
    </row>
    <row r="100" spans="1:9" x14ac:dyDescent="0.2">
      <c r="F100" s="106" t="s">
        <v>136</v>
      </c>
      <c r="G100" s="106"/>
      <c r="H100" s="106"/>
      <c r="I100" s="106"/>
    </row>
    <row r="101" spans="1:9" x14ac:dyDescent="0.2">
      <c r="E101" s="37"/>
      <c r="F101" s="106"/>
      <c r="G101" s="106"/>
      <c r="H101" s="106"/>
      <c r="I101" s="106"/>
    </row>
    <row r="102" spans="1:9" x14ac:dyDescent="0.2">
      <c r="F102" s="107" t="s">
        <v>137</v>
      </c>
      <c r="G102" s="106"/>
      <c r="H102" s="106"/>
      <c r="I102" s="106"/>
    </row>
    <row r="103" spans="1:9" x14ac:dyDescent="0.2">
      <c r="E103" s="37"/>
      <c r="F103" s="106"/>
      <c r="G103" s="106"/>
      <c r="H103" s="106"/>
      <c r="I103" s="106"/>
    </row>
    <row r="104" spans="1:9" x14ac:dyDescent="0.2">
      <c r="A104" s="37"/>
      <c r="B104" s="37"/>
      <c r="C104" s="37"/>
      <c r="D104" s="37"/>
      <c r="E104" s="37"/>
    </row>
    <row r="105" spans="1:9" ht="2.5" customHeight="1" x14ac:dyDescent="0.2">
      <c r="A105" s="37"/>
      <c r="B105" s="37"/>
      <c r="C105" s="37"/>
      <c r="D105" s="37"/>
      <c r="E105" s="37"/>
    </row>
    <row r="106" spans="1:9" ht="16" hidden="1" customHeight="1" x14ac:dyDescent="0.2">
      <c r="A106" s="37"/>
      <c r="B106" s="37"/>
      <c r="C106" s="37"/>
      <c r="D106" s="37"/>
      <c r="E106" s="37"/>
    </row>
    <row r="107" spans="1:9" ht="16" hidden="1" customHeight="1" x14ac:dyDescent="0.2">
      <c r="A107" s="37"/>
      <c r="B107" s="37"/>
      <c r="C107" s="37"/>
      <c r="D107" s="37"/>
      <c r="E107" s="37"/>
    </row>
    <row r="108" spans="1:9" ht="16" hidden="1" customHeight="1" x14ac:dyDescent="0.2">
      <c r="A108" s="37"/>
      <c r="B108" s="37"/>
      <c r="C108" s="37"/>
      <c r="D108" s="37"/>
      <c r="E108" s="37"/>
    </row>
    <row r="109" spans="1:9" ht="16" hidden="1" customHeight="1" x14ac:dyDescent="0.2">
      <c r="A109" s="37"/>
      <c r="B109" s="37"/>
      <c r="C109" s="37"/>
      <c r="D109" s="37"/>
      <c r="E109" s="37"/>
    </row>
  </sheetData>
  <mergeCells count="19">
    <mergeCell ref="Q73:R73"/>
    <mergeCell ref="S73:T73"/>
    <mergeCell ref="U73:V73"/>
    <mergeCell ref="A67:E67"/>
    <mergeCell ref="F48:H50"/>
    <mergeCell ref="P3:U10"/>
    <mergeCell ref="A20:E20"/>
    <mergeCell ref="J50:N61"/>
    <mergeCell ref="A1:E3"/>
    <mergeCell ref="F1:N2"/>
    <mergeCell ref="F3:H3"/>
    <mergeCell ref="I3:K3"/>
    <mergeCell ref="L3:N3"/>
    <mergeCell ref="A48:E50"/>
    <mergeCell ref="F96:I97"/>
    <mergeCell ref="F98:I99"/>
    <mergeCell ref="F100:I101"/>
    <mergeCell ref="F102:I103"/>
    <mergeCell ref="F94:I9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0119-ED3D-4CE9-A14F-CF6B65C08AEF}">
  <sheetPr codeName="Arkusz6"/>
  <dimension ref="A1:M15"/>
  <sheetViews>
    <sheetView workbookViewId="0">
      <selection sqref="A1:XFD7"/>
    </sheetView>
  </sheetViews>
  <sheetFormatPr baseColWidth="10" defaultColWidth="11" defaultRowHeight="16" x14ac:dyDescent="0.2"/>
  <cols>
    <col min="1" max="1" width="14" customWidth="1"/>
    <col min="2" max="2" width="23.1640625" customWidth="1"/>
    <col min="4" max="4" width="18" customWidth="1"/>
    <col min="7" max="7" width="13.5" customWidth="1"/>
    <col min="10" max="10" width="14.6640625" customWidth="1"/>
  </cols>
  <sheetData>
    <row r="1" spans="1:13" x14ac:dyDescent="0.2">
      <c r="E1" s="123"/>
      <c r="F1" s="123"/>
      <c r="G1" s="123"/>
    </row>
    <row r="2" spans="1:13" ht="51" x14ac:dyDescent="0.2">
      <c r="A2" s="69" t="s">
        <v>139</v>
      </c>
      <c r="B2" s="70">
        <v>2021</v>
      </c>
      <c r="C2" s="70">
        <v>2022</v>
      </c>
      <c r="D2" s="70" t="s">
        <v>186</v>
      </c>
      <c r="J2" s="89"/>
      <c r="K2" s="89"/>
      <c r="L2" s="89"/>
      <c r="M2" s="89"/>
    </row>
    <row r="3" spans="1:13" x14ac:dyDescent="0.2">
      <c r="A3" s="71" t="s">
        <v>11</v>
      </c>
      <c r="B3" s="56">
        <v>0.96500752366793108</v>
      </c>
      <c r="C3" s="56">
        <v>1.2149978391853153</v>
      </c>
      <c r="D3" s="56">
        <v>1.669791686863169</v>
      </c>
      <c r="J3" s="90"/>
      <c r="K3" s="90"/>
      <c r="L3" s="90"/>
      <c r="M3" s="90"/>
    </row>
    <row r="4" spans="1:13" x14ac:dyDescent="0.2">
      <c r="A4" s="71" t="s">
        <v>17</v>
      </c>
      <c r="B4" s="56">
        <v>1.6524066755829241</v>
      </c>
      <c r="C4" s="56">
        <v>0.89949937226348931</v>
      </c>
      <c r="D4" s="56">
        <v>0.51953377036780402</v>
      </c>
      <c r="J4" s="90"/>
      <c r="K4" s="90"/>
      <c r="L4" s="90"/>
      <c r="M4" s="90"/>
    </row>
    <row r="5" spans="1:13" ht="51" x14ac:dyDescent="0.2">
      <c r="A5" s="72" t="s">
        <v>26</v>
      </c>
      <c r="B5" s="56">
        <v>1.2684157400340297</v>
      </c>
      <c r="C5" s="56">
        <v>0.90373880625853809</v>
      </c>
      <c r="D5" s="56">
        <v>1.1648422430551646</v>
      </c>
      <c r="J5" s="90"/>
      <c r="K5" s="90"/>
      <c r="L5" s="90"/>
      <c r="M5" s="90"/>
    </row>
    <row r="6" spans="1:13" ht="51" x14ac:dyDescent="0.2">
      <c r="A6" s="72" t="s">
        <v>33</v>
      </c>
      <c r="B6" s="56">
        <v>1.0578031476443732</v>
      </c>
      <c r="C6" s="56">
        <v>0.79184421442396224</v>
      </c>
      <c r="D6" s="56">
        <v>2.1258454456555334</v>
      </c>
    </row>
    <row r="7" spans="1:13" ht="51" x14ac:dyDescent="0.2">
      <c r="A7" s="72" t="s">
        <v>41</v>
      </c>
      <c r="B7" s="73">
        <v>1.2142385333209662</v>
      </c>
      <c r="C7" s="73">
        <v>2.6295837261631787</v>
      </c>
      <c r="D7" s="73">
        <v>0.74155185727155004</v>
      </c>
    </row>
    <row r="9" spans="1:13" x14ac:dyDescent="0.2">
      <c r="E9" s="123"/>
      <c r="F9" s="123"/>
      <c r="G9" s="123"/>
    </row>
    <row r="10" spans="1:13" ht="17" x14ac:dyDescent="0.2">
      <c r="D10" s="69" t="s">
        <v>182</v>
      </c>
      <c r="E10" s="70">
        <v>2021</v>
      </c>
      <c r="F10" s="70">
        <v>2022</v>
      </c>
      <c r="G10" s="70" t="s">
        <v>186</v>
      </c>
    </row>
    <row r="11" spans="1:13" ht="17" x14ac:dyDescent="0.2">
      <c r="D11" s="72" t="s">
        <v>11</v>
      </c>
      <c r="E11" s="56">
        <v>0.47544347697628314</v>
      </c>
      <c r="F11" s="56">
        <v>0.55041659420177436</v>
      </c>
      <c r="G11" s="56">
        <v>0.79736018205518833</v>
      </c>
    </row>
    <row r="12" spans="1:13" ht="17" x14ac:dyDescent="0.2">
      <c r="D12" s="72" t="s">
        <v>17</v>
      </c>
      <c r="E12" s="56">
        <v>0.52455651883832921</v>
      </c>
      <c r="F12" s="56">
        <v>0.44958340579822559</v>
      </c>
      <c r="G12" s="56">
        <v>0.2026398179448117</v>
      </c>
    </row>
    <row r="13" spans="1:13" ht="34" x14ac:dyDescent="0.2">
      <c r="D13" s="72" t="s">
        <v>26</v>
      </c>
      <c r="E13" s="56">
        <v>0.78998398737660303</v>
      </c>
      <c r="F13" s="56">
        <v>0.68026533296968283</v>
      </c>
      <c r="G13" s="56">
        <v>0.68745801940596574</v>
      </c>
    </row>
    <row r="14" spans="1:13" ht="34" x14ac:dyDescent="0.2">
      <c r="D14" s="72" t="s">
        <v>33</v>
      </c>
      <c r="E14" s="56">
        <v>0.11791269478961429</v>
      </c>
      <c r="F14" s="56">
        <v>8.896464142629891E-2</v>
      </c>
      <c r="G14" s="56">
        <v>0.16407781002899205</v>
      </c>
    </row>
    <row r="15" spans="1:13" ht="51" x14ac:dyDescent="0.2">
      <c r="D15" s="72" t="s">
        <v>41</v>
      </c>
      <c r="E15" s="56">
        <v>9.2103317833782658E-2</v>
      </c>
      <c r="F15" s="56">
        <v>0.23077002560401821</v>
      </c>
      <c r="G15" s="56">
        <v>0.14846417056504221</v>
      </c>
    </row>
  </sheetData>
  <mergeCells count="2">
    <mergeCell ref="E1:G1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CDD9-B619-4972-88B1-BA3C57182160}">
  <sheetPr codeName="Arkusz4"/>
  <dimension ref="A1:L68"/>
  <sheetViews>
    <sheetView topLeftCell="A36" zoomScale="93" zoomScaleNormal="55" workbookViewId="0">
      <selection activeCell="E54" sqref="E54"/>
    </sheetView>
  </sheetViews>
  <sheetFormatPr baseColWidth="10" defaultColWidth="11" defaultRowHeight="16" x14ac:dyDescent="0.2"/>
  <cols>
    <col min="1" max="2" width="48" customWidth="1"/>
    <col min="3" max="3" width="21" customWidth="1"/>
    <col min="4" max="4" width="21.33203125" customWidth="1"/>
    <col min="5" max="5" width="27.33203125" customWidth="1"/>
    <col min="6" max="6" width="45.1640625" customWidth="1"/>
    <col min="7" max="8" width="18.83203125" customWidth="1"/>
    <col min="9" max="9" width="28.33203125" style="51" customWidth="1"/>
    <col min="10" max="10" width="32.83203125" style="51" customWidth="1"/>
    <col min="11" max="11" width="29.5" customWidth="1"/>
    <col min="12" max="12" width="21.5" customWidth="1"/>
  </cols>
  <sheetData>
    <row r="1" spans="1:12" ht="17.25" hidden="1" customHeight="1" x14ac:dyDescent="0.25">
      <c r="A1" s="104" t="s">
        <v>64</v>
      </c>
      <c r="B1" s="104"/>
      <c r="C1" s="104"/>
      <c r="D1" s="104"/>
      <c r="E1" s="124"/>
    </row>
    <row r="2" spans="1:12" ht="17.25" hidden="1" customHeight="1" x14ac:dyDescent="0.2">
      <c r="A2" s="21"/>
      <c r="B2" s="28">
        <v>2020</v>
      </c>
      <c r="C2" s="18">
        <v>2021</v>
      </c>
      <c r="D2" s="19">
        <v>2022</v>
      </c>
      <c r="E2" s="19">
        <v>2023</v>
      </c>
      <c r="F2" s="4"/>
      <c r="G2" s="59"/>
      <c r="H2" s="59"/>
    </row>
    <row r="3" spans="1:12" ht="17.25" hidden="1" customHeight="1" x14ac:dyDescent="0.2">
      <c r="A3" s="10" t="s">
        <v>65</v>
      </c>
      <c r="B3" s="11"/>
      <c r="C3" s="10"/>
      <c r="D3" s="10"/>
      <c r="E3" s="10"/>
      <c r="L3" s="1"/>
    </row>
    <row r="4" spans="1:12" ht="17.25" hidden="1" customHeight="1" x14ac:dyDescent="0.2">
      <c r="A4" s="10" t="s">
        <v>66</v>
      </c>
      <c r="B4" s="11">
        <v>156424763</v>
      </c>
      <c r="C4" s="22">
        <v>236659013</v>
      </c>
      <c r="D4" s="22">
        <v>213019187</v>
      </c>
      <c r="E4" s="22">
        <v>198986253</v>
      </c>
      <c r="F4" s="60"/>
      <c r="G4" s="60"/>
      <c r="H4" s="60"/>
      <c r="L4" s="1"/>
    </row>
    <row r="5" spans="1:12" ht="17.25" hidden="1" customHeight="1" x14ac:dyDescent="0.2">
      <c r="A5" s="10" t="s">
        <v>67</v>
      </c>
      <c r="B5" s="11">
        <v>66590056</v>
      </c>
      <c r="C5" s="22">
        <v>89869322</v>
      </c>
      <c r="D5" s="22">
        <v>107630765</v>
      </c>
      <c r="E5" s="22">
        <v>110471899</v>
      </c>
      <c r="L5" s="1"/>
    </row>
    <row r="6" spans="1:12" ht="17.25" hidden="1" customHeight="1" x14ac:dyDescent="0.2">
      <c r="A6" s="21" t="s">
        <v>68</v>
      </c>
      <c r="B6" s="29">
        <f>B4-B5</f>
        <v>89834707</v>
      </c>
      <c r="C6" s="23">
        <v>146789692</v>
      </c>
      <c r="D6" s="23">
        <v>105388422</v>
      </c>
      <c r="E6" s="23">
        <v>88514354</v>
      </c>
      <c r="L6" s="1"/>
    </row>
    <row r="7" spans="1:12" ht="17.25" hidden="1" customHeight="1" x14ac:dyDescent="0.2">
      <c r="A7" s="10" t="s">
        <v>69</v>
      </c>
      <c r="B7" s="11">
        <v>1837371</v>
      </c>
      <c r="C7" s="22">
        <v>2131982</v>
      </c>
      <c r="D7" s="22">
        <v>2460858</v>
      </c>
      <c r="E7" s="22">
        <v>3746402</v>
      </c>
      <c r="L7" s="1"/>
    </row>
    <row r="8" spans="1:12" ht="17.25" hidden="1" customHeight="1" x14ac:dyDescent="0.2">
      <c r="A8" s="10" t="s">
        <v>70</v>
      </c>
      <c r="B8" s="11">
        <v>5828067</v>
      </c>
      <c r="C8" s="22">
        <v>5486395</v>
      </c>
      <c r="D8" s="22">
        <v>6348888</v>
      </c>
      <c r="E8" s="22">
        <v>11332373</v>
      </c>
      <c r="L8" s="1"/>
    </row>
    <row r="9" spans="1:12" ht="17.25" hidden="1" customHeight="1" x14ac:dyDescent="0.2">
      <c r="A9" s="10" t="s">
        <v>71</v>
      </c>
      <c r="B9" s="11">
        <v>3326119</v>
      </c>
      <c r="C9" s="22">
        <v>592577</v>
      </c>
      <c r="D9" s="22">
        <v>4544552</v>
      </c>
      <c r="E9" s="22">
        <v>3660486</v>
      </c>
      <c r="L9" s="1"/>
    </row>
    <row r="10" spans="1:12" ht="17.25" hidden="1" customHeight="1" x14ac:dyDescent="0.2">
      <c r="A10" s="10" t="s">
        <v>72</v>
      </c>
      <c r="B10" s="11">
        <v>407230</v>
      </c>
      <c r="C10" s="22">
        <v>11164129</v>
      </c>
      <c r="D10" s="22">
        <v>6134897</v>
      </c>
      <c r="E10" s="22">
        <v>3454980</v>
      </c>
      <c r="L10" s="1"/>
    </row>
    <row r="11" spans="1:12" ht="17.25" hidden="1" customHeight="1" x14ac:dyDescent="0.2">
      <c r="A11" s="21" t="s">
        <v>73</v>
      </c>
      <c r="B11" s="29">
        <f>B6+B9-B7-B8-B10</f>
        <v>85088158</v>
      </c>
      <c r="C11" s="23">
        <v>128599763</v>
      </c>
      <c r="D11" s="23">
        <v>94988331</v>
      </c>
      <c r="E11" s="23">
        <v>73641085</v>
      </c>
      <c r="L11" s="1"/>
    </row>
    <row r="12" spans="1:12" ht="17.25" hidden="1" customHeight="1" x14ac:dyDescent="0.2">
      <c r="A12" s="10" t="s">
        <v>74</v>
      </c>
      <c r="B12" s="11">
        <v>2198057</v>
      </c>
      <c r="C12" s="22">
        <v>9818845</v>
      </c>
      <c r="D12" s="22">
        <v>16337304</v>
      </c>
      <c r="E12" s="22">
        <v>16687697</v>
      </c>
      <c r="L12" s="1"/>
    </row>
    <row r="13" spans="1:12" ht="17.25" hidden="1" customHeight="1" x14ac:dyDescent="0.2">
      <c r="A13" s="10" t="s">
        <v>75</v>
      </c>
      <c r="B13" s="11">
        <v>426907</v>
      </c>
      <c r="C13" s="22">
        <v>2208130</v>
      </c>
      <c r="D13" s="22">
        <v>441467</v>
      </c>
      <c r="E13" s="22">
        <v>1477987</v>
      </c>
      <c r="L13" s="1"/>
    </row>
    <row r="14" spans="1:12" ht="17.25" hidden="1" customHeight="1" x14ac:dyDescent="0.2">
      <c r="A14" s="21" t="s">
        <v>76</v>
      </c>
      <c r="B14" s="29">
        <f>B11+B12-B13</f>
        <v>86859308</v>
      </c>
      <c r="C14" s="23">
        <v>136210477</v>
      </c>
      <c r="D14" s="23">
        <v>110884168</v>
      </c>
      <c r="E14" s="23">
        <v>88850795</v>
      </c>
      <c r="L14" s="1"/>
    </row>
    <row r="15" spans="1:12" ht="17.25" hidden="1" customHeight="1" x14ac:dyDescent="0.2">
      <c r="A15" s="10" t="s">
        <v>77</v>
      </c>
      <c r="B15" s="11">
        <v>16063627</v>
      </c>
      <c r="C15" s="22">
        <v>25483923</v>
      </c>
      <c r="D15" s="22">
        <v>18397408</v>
      </c>
      <c r="E15" s="22">
        <v>14467476</v>
      </c>
      <c r="L15" s="1"/>
    </row>
    <row r="16" spans="1:12" ht="17.25" hidden="1" customHeight="1" x14ac:dyDescent="0.2">
      <c r="A16" s="21" t="s">
        <v>78</v>
      </c>
      <c r="B16" s="29">
        <f>B14-B15</f>
        <v>70795681</v>
      </c>
      <c r="C16" s="23">
        <v>110726554</v>
      </c>
      <c r="D16" s="23">
        <v>92486760</v>
      </c>
      <c r="E16" s="23">
        <v>92486760</v>
      </c>
      <c r="L16" s="3"/>
    </row>
    <row r="17" spans="1:12" ht="17.25" hidden="1" customHeight="1" x14ac:dyDescent="0.2">
      <c r="A17" s="10" t="s">
        <v>79</v>
      </c>
      <c r="B17" s="11">
        <v>70795680</v>
      </c>
      <c r="C17" s="24" t="s">
        <v>37</v>
      </c>
      <c r="D17" s="24" t="s">
        <v>37</v>
      </c>
      <c r="E17" s="24" t="s">
        <v>37</v>
      </c>
      <c r="L17" s="1"/>
    </row>
    <row r="18" spans="1:12" ht="17.25" hidden="1" customHeight="1" x14ac:dyDescent="0.2">
      <c r="A18" s="10" t="s">
        <v>80</v>
      </c>
      <c r="B18" s="11">
        <f>B4+B9+B12</f>
        <v>161948939</v>
      </c>
      <c r="C18" s="11">
        <f t="shared" ref="C18:E18" si="0">C4+C9+C12</f>
        <v>247070435</v>
      </c>
      <c r="D18" s="11">
        <f t="shared" si="0"/>
        <v>233901043</v>
      </c>
      <c r="E18" s="11">
        <f t="shared" si="0"/>
        <v>219334436</v>
      </c>
      <c r="L18" s="1"/>
    </row>
    <row r="19" spans="1:12" ht="17.25" hidden="1" customHeight="1" x14ac:dyDescent="0.2">
      <c r="A19" s="21" t="s">
        <v>81</v>
      </c>
      <c r="B19" s="29">
        <f>B17</f>
        <v>70795680</v>
      </c>
      <c r="C19" s="23">
        <v>110726554</v>
      </c>
      <c r="D19" s="23">
        <v>74383319</v>
      </c>
      <c r="E19" s="23">
        <v>92486760</v>
      </c>
    </row>
    <row r="20" spans="1:12" ht="17.25" hidden="1" customHeight="1" x14ac:dyDescent="0.2">
      <c r="A20" s="10"/>
      <c r="B20" s="11"/>
      <c r="C20" s="10"/>
      <c r="D20" s="10"/>
      <c r="E20" s="10"/>
    </row>
    <row r="21" spans="1:12" ht="17.25" hidden="1" customHeight="1" x14ac:dyDescent="0.25">
      <c r="A21" s="104" t="s">
        <v>82</v>
      </c>
      <c r="B21" s="104"/>
      <c r="C21" s="104"/>
      <c r="D21" s="104"/>
      <c r="E21" s="104"/>
    </row>
    <row r="22" spans="1:12" ht="17.25" hidden="1" customHeight="1" x14ac:dyDescent="0.2">
      <c r="A22" s="125" t="s">
        <v>83</v>
      </c>
      <c r="B22" s="125"/>
      <c r="C22" s="125"/>
      <c r="D22" s="125"/>
      <c r="E22" s="125"/>
    </row>
    <row r="23" spans="1:12" ht="17.25" hidden="1" customHeight="1" x14ac:dyDescent="0.2">
      <c r="A23" s="10" t="s">
        <v>84</v>
      </c>
      <c r="B23" s="11">
        <v>19.89</v>
      </c>
      <c r="C23" s="25">
        <v>31.52</v>
      </c>
      <c r="D23" s="25">
        <v>26.33</v>
      </c>
      <c r="E23" s="25">
        <v>21.17</v>
      </c>
    </row>
    <row r="24" spans="1:12" ht="17.25" hidden="1" customHeight="1" x14ac:dyDescent="0.2">
      <c r="A24" s="10" t="s">
        <v>85</v>
      </c>
      <c r="B24" s="11">
        <f>B23</f>
        <v>19.89</v>
      </c>
      <c r="C24" s="25">
        <v>31.52</v>
      </c>
      <c r="D24" s="25">
        <v>26.33</v>
      </c>
      <c r="E24" s="25">
        <v>21.17</v>
      </c>
    </row>
    <row r="25" spans="1:12" ht="17.25" hidden="1" customHeight="1" x14ac:dyDescent="0.2">
      <c r="A25" s="21" t="s">
        <v>86</v>
      </c>
      <c r="B25" s="29"/>
      <c r="C25" s="26"/>
      <c r="D25" s="26"/>
      <c r="E25" s="26"/>
    </row>
    <row r="26" spans="1:12" ht="17.25" hidden="1" customHeight="1" x14ac:dyDescent="0.2">
      <c r="A26" s="10" t="s">
        <v>84</v>
      </c>
      <c r="B26" s="11">
        <f>B24</f>
        <v>19.89</v>
      </c>
      <c r="C26" s="25">
        <v>31.52</v>
      </c>
      <c r="D26" s="25">
        <v>26.33</v>
      </c>
      <c r="E26" s="25">
        <v>21.17</v>
      </c>
    </row>
    <row r="27" spans="1:12" ht="17.25" hidden="1" customHeight="1" x14ac:dyDescent="0.2">
      <c r="A27" s="10" t="s">
        <v>85</v>
      </c>
      <c r="B27" s="11">
        <f>B26</f>
        <v>19.89</v>
      </c>
      <c r="C27" s="25">
        <v>31.52</v>
      </c>
      <c r="D27" s="25">
        <v>26.33</v>
      </c>
      <c r="E27" s="25">
        <v>21.17</v>
      </c>
    </row>
    <row r="28" spans="1:12" ht="17.25" hidden="1" customHeight="1" x14ac:dyDescent="0.2">
      <c r="A28" s="10"/>
      <c r="B28" s="11"/>
      <c r="C28" s="10"/>
      <c r="D28" s="10"/>
      <c r="E28" s="10"/>
    </row>
    <row r="29" spans="1:12" ht="17.25" hidden="1" customHeight="1" x14ac:dyDescent="0.25">
      <c r="A29" s="104" t="s">
        <v>87</v>
      </c>
      <c r="B29" s="104"/>
      <c r="C29" s="104"/>
      <c r="D29" s="104"/>
      <c r="E29" s="104"/>
    </row>
    <row r="30" spans="1:12" ht="17.25" hidden="1" customHeight="1" x14ac:dyDescent="0.2">
      <c r="A30" s="8" t="s">
        <v>81</v>
      </c>
      <c r="B30" s="20">
        <v>70795680</v>
      </c>
      <c r="C30" s="23">
        <v>110726554</v>
      </c>
      <c r="D30" s="23">
        <v>92486760</v>
      </c>
      <c r="E30" s="23">
        <v>74383319</v>
      </c>
    </row>
    <row r="31" spans="1:12" ht="17.25" hidden="1" customHeight="1" x14ac:dyDescent="0.2">
      <c r="A31" s="10" t="s">
        <v>88</v>
      </c>
      <c r="B31" s="11"/>
      <c r="C31" s="22">
        <f>-'Analiza płynności i zadłużenia'!J27</f>
        <v>0</v>
      </c>
      <c r="D31" s="24" t="s">
        <v>37</v>
      </c>
      <c r="E31" s="24" t="s">
        <v>37</v>
      </c>
    </row>
    <row r="32" spans="1:12" ht="17.25" hidden="1" customHeight="1" x14ac:dyDescent="0.2">
      <c r="A32" s="8" t="s">
        <v>89</v>
      </c>
      <c r="B32" s="20">
        <f>B30</f>
        <v>70795680</v>
      </c>
      <c r="C32" s="23">
        <v>110726554</v>
      </c>
      <c r="D32" s="23">
        <v>92486760</v>
      </c>
      <c r="E32" s="23">
        <v>74383319</v>
      </c>
    </row>
    <row r="33" spans="1:12" ht="17.25" hidden="1" customHeight="1" x14ac:dyDescent="0.2">
      <c r="A33" s="40"/>
      <c r="B33" s="41"/>
      <c r="C33" s="42"/>
      <c r="D33" s="42"/>
      <c r="E33" s="42"/>
    </row>
    <row r="34" spans="1:12" hidden="1" x14ac:dyDescent="0.2"/>
    <row r="35" spans="1:12" hidden="1" x14ac:dyDescent="0.2"/>
    <row r="36" spans="1:12" ht="16" customHeight="1" x14ac:dyDescent="0.4">
      <c r="A36" s="126" t="s">
        <v>141</v>
      </c>
      <c r="B36" s="126"/>
      <c r="C36" s="126"/>
      <c r="D36" s="126"/>
      <c r="E36" s="75"/>
      <c r="F36" s="75"/>
    </row>
    <row r="37" spans="1:12" ht="16" customHeight="1" x14ac:dyDescent="0.4">
      <c r="A37" s="126"/>
      <c r="B37" s="126"/>
      <c r="C37" s="126"/>
      <c r="D37" s="126"/>
      <c r="E37" s="75"/>
      <c r="F37" s="75"/>
    </row>
    <row r="38" spans="1:12" ht="16" customHeight="1" x14ac:dyDescent="0.4">
      <c r="A38" s="126"/>
      <c r="B38" s="126"/>
      <c r="C38" s="126"/>
      <c r="D38" s="126"/>
      <c r="E38" s="75"/>
      <c r="F38" s="75"/>
    </row>
    <row r="39" spans="1:12" ht="16" customHeight="1" x14ac:dyDescent="0.2">
      <c r="A39" s="79" t="s">
        <v>143</v>
      </c>
      <c r="B39" s="79">
        <v>2021</v>
      </c>
      <c r="C39" s="79">
        <v>2022</v>
      </c>
      <c r="D39" s="79">
        <v>2023</v>
      </c>
      <c r="E39" s="50"/>
      <c r="F39" s="50"/>
      <c r="G39" s="122"/>
      <c r="H39" s="122"/>
    </row>
    <row r="40" spans="1:12" ht="63.5" customHeight="1" x14ac:dyDescent="0.2">
      <c r="A40" s="52" t="s">
        <v>177</v>
      </c>
      <c r="B40" s="55">
        <f>'Wskaźniki Finansowe'!J10</f>
        <v>5.695305350291374</v>
      </c>
      <c r="C40" s="55">
        <f>'Wskaźniki Finansowe'!K10</f>
        <v>1.9481880483458998</v>
      </c>
      <c r="D40" s="55">
        <f>'Wskaźniki Finansowe'!L10</f>
        <v>1.3649072175029269</v>
      </c>
      <c r="E40" s="76"/>
      <c r="F40" s="76"/>
      <c r="G40" s="76"/>
      <c r="H40" s="76"/>
      <c r="I40" s="76"/>
      <c r="J40" s="37"/>
    </row>
    <row r="41" spans="1:12" ht="68.5" customHeight="1" x14ac:dyDescent="0.2">
      <c r="A41" s="52" t="s">
        <v>178</v>
      </c>
      <c r="B41" s="55">
        <f>'Wskaźniki Finansowe'!J11</f>
        <v>5.651251119982561</v>
      </c>
      <c r="C41" s="55">
        <f>'Wskaźniki Finansowe'!K11</f>
        <v>1.9143811167710625</v>
      </c>
      <c r="D41" s="55">
        <f>'Wskaźniki Finansowe'!L11</f>
        <v>1.3249071233544614</v>
      </c>
      <c r="E41" s="76"/>
      <c r="F41" s="76"/>
      <c r="G41" s="76"/>
      <c r="H41" s="76"/>
      <c r="I41" s="37"/>
      <c r="J41" s="37"/>
    </row>
    <row r="42" spans="1:12" ht="57" customHeight="1" x14ac:dyDescent="0.2">
      <c r="A42" s="52" t="s">
        <v>179</v>
      </c>
      <c r="B42" s="55">
        <f>'Wskaźniki Finansowe'!J12</f>
        <v>4.5978599034450864</v>
      </c>
      <c r="C42" s="55">
        <f>'Wskaźniki Finansowe'!K12</f>
        <v>1.3707649464455351</v>
      </c>
      <c r="D42" s="55">
        <f>'Wskaźniki Finansowe'!L12</f>
        <v>0.15464116162986746</v>
      </c>
      <c r="E42" s="76"/>
      <c r="F42" s="76"/>
      <c r="G42" s="76"/>
      <c r="H42" s="76"/>
      <c r="I42" s="37"/>
      <c r="J42" s="37"/>
    </row>
    <row r="43" spans="1:12" ht="15" customHeight="1" x14ac:dyDescent="0.2">
      <c r="A43" s="63"/>
      <c r="B43" s="63"/>
      <c r="C43" s="63"/>
      <c r="D43" s="63"/>
      <c r="E43" s="37"/>
      <c r="F43" s="37"/>
    </row>
    <row r="44" spans="1:12" ht="15" customHeight="1" x14ac:dyDescent="0.2">
      <c r="A44" s="37"/>
      <c r="B44" s="37"/>
      <c r="C44" s="37"/>
      <c r="D44" s="37"/>
      <c r="E44" s="37"/>
      <c r="F44" s="37"/>
    </row>
    <row r="45" spans="1:12" ht="11" customHeight="1" x14ac:dyDescent="0.2">
      <c r="A45" s="37"/>
      <c r="B45" s="37"/>
      <c r="C45" s="37"/>
      <c r="D45" s="37"/>
      <c r="E45" s="37"/>
      <c r="F45" s="37"/>
    </row>
    <row r="46" spans="1:12" ht="20" customHeight="1" x14ac:dyDescent="0.2">
      <c r="A46" s="128" t="s">
        <v>180</v>
      </c>
      <c r="B46" s="128"/>
      <c r="C46" s="128"/>
      <c r="D46" s="128"/>
      <c r="E46" s="51"/>
      <c r="F46" s="51"/>
    </row>
    <row r="47" spans="1:12" ht="15" customHeight="1" x14ac:dyDescent="0.2">
      <c r="A47" s="58" t="s">
        <v>144</v>
      </c>
      <c r="B47" s="58">
        <v>2021</v>
      </c>
      <c r="C47" s="58">
        <v>2022</v>
      </c>
      <c r="D47" s="58">
        <v>2023</v>
      </c>
      <c r="E47" s="77"/>
      <c r="F47" s="77"/>
    </row>
    <row r="48" spans="1:12" ht="147" customHeight="1" x14ac:dyDescent="0.2">
      <c r="A48" s="52" t="s">
        <v>142</v>
      </c>
      <c r="B48" s="55">
        <f>ABS(Dane!O23/(Dane!O27+Dane!O28+Dane!O37+Dane!O38+Dane!O39+Dane!O40))</f>
        <v>1.5957632613564148</v>
      </c>
      <c r="C48" s="55">
        <f>ABS(Dane!P23/(Dane!P27+Dane!P28+Dane!P37+Dane!P38+Dane!P39+Dane!P40))</f>
        <v>0.66578304007831102</v>
      </c>
      <c r="D48" s="55">
        <f>ABS(Dane!Q23/(Dane!Q27+Dane!Q28+Dane!Q37+Dane!Q38+Dane!Q39+Dane!Q40))</f>
        <v>0.34947916853188687</v>
      </c>
      <c r="E48" s="78"/>
      <c r="F48" s="78"/>
      <c r="I48"/>
      <c r="J48"/>
      <c r="K48" s="82"/>
      <c r="L48" s="82"/>
    </row>
    <row r="49" spans="1:8" ht="21" customHeight="1" x14ac:dyDescent="0.2">
      <c r="A49" s="128" t="s">
        <v>180</v>
      </c>
      <c r="B49" s="128"/>
      <c r="C49" s="128"/>
      <c r="D49" s="128"/>
    </row>
    <row r="50" spans="1:8" ht="21" customHeight="1" x14ac:dyDescent="0.2">
      <c r="A50" s="58" t="s">
        <v>144</v>
      </c>
      <c r="B50" s="58">
        <v>2021</v>
      </c>
      <c r="C50" s="58">
        <v>2022</v>
      </c>
      <c r="D50" s="58">
        <v>2023</v>
      </c>
    </row>
    <row r="51" spans="1:8" ht="48" customHeight="1" x14ac:dyDescent="0.2">
      <c r="A51" s="52" t="s">
        <v>174</v>
      </c>
      <c r="B51" s="56">
        <f>Dane!O23/Dane!I6</f>
        <v>0.51710271435975275</v>
      </c>
      <c r="C51" s="56">
        <f>Dane!P23/Dane!J6</f>
        <v>0.36505996053773315</v>
      </c>
      <c r="D51" s="56">
        <f>Dane!Q23/Dane!K6</f>
        <v>0.24177634019773214</v>
      </c>
      <c r="E51" s="76"/>
      <c r="F51" s="76"/>
      <c r="G51" s="122"/>
      <c r="H51" s="122"/>
    </row>
    <row r="52" spans="1:8" ht="48" customHeight="1" x14ac:dyDescent="0.2">
      <c r="A52" s="52" t="s">
        <v>175</v>
      </c>
      <c r="B52" s="56">
        <f>Dane!O23/(Dane!B19+Dane!C19)</f>
        <v>0.2829599015956259</v>
      </c>
      <c r="C52" s="56">
        <f>Dane!P23/(Dane!C19+Dane!D19)</f>
        <v>0.15880730102602944</v>
      </c>
      <c r="D52" s="56">
        <f>Dane!Q23/(Dane!D19+Dane!E19)</f>
        <v>8.9128230503125017E-2</v>
      </c>
      <c r="E52" s="76"/>
      <c r="F52" s="76"/>
      <c r="G52" s="122"/>
      <c r="H52" s="122"/>
    </row>
    <row r="53" spans="1:8" ht="48" customHeight="1" x14ac:dyDescent="0.2">
      <c r="A53" s="52" t="s">
        <v>176</v>
      </c>
      <c r="B53" s="56">
        <f>Dane!O23/Dane!I21</f>
        <v>1.1052183381413641</v>
      </c>
      <c r="C53" s="56">
        <f>Dane!P23/Dane!J21</f>
        <v>1.0454598832837776</v>
      </c>
      <c r="D53" s="56">
        <f>Dane!Q23/Dane!K21</f>
        <v>0.52018438098599196</v>
      </c>
      <c r="E53" s="76"/>
      <c r="F53" s="76"/>
      <c r="G53" s="122"/>
      <c r="H53" s="122"/>
    </row>
    <row r="54" spans="1:8" ht="74" customHeight="1" x14ac:dyDescent="0.2">
      <c r="A54" s="62" t="s">
        <v>183</v>
      </c>
      <c r="B54" s="61">
        <f>Dane!O23/(Dane!C28+Dane!C35)</f>
        <v>2.4388390699661748</v>
      </c>
      <c r="C54" s="61">
        <f>Dane!P23/(Dane!D28+Dane!D35)</f>
        <v>0.96994253368603345</v>
      </c>
      <c r="D54" s="61">
        <f>Dane!Q23/(Dane!E28+Dane!E35)</f>
        <v>0.53257656287179422</v>
      </c>
      <c r="E54" s="76"/>
      <c r="F54" s="76"/>
      <c r="G54" s="122"/>
      <c r="H54" s="122"/>
    </row>
    <row r="55" spans="1:8" ht="55" hidden="1" customHeight="1" x14ac:dyDescent="0.2">
      <c r="A55" s="80"/>
      <c r="B55" s="81"/>
      <c r="C55" s="81"/>
      <c r="D55" s="81"/>
      <c r="E55" s="76"/>
      <c r="F55" s="76"/>
      <c r="G55" s="129"/>
      <c r="H55" s="129"/>
    </row>
    <row r="56" spans="1:8" ht="62.5" hidden="1" customHeight="1" x14ac:dyDescent="0.2">
      <c r="A56" s="51"/>
      <c r="B56" s="57"/>
      <c r="C56" s="57"/>
      <c r="D56" s="57"/>
      <c r="E56" s="54"/>
      <c r="F56" s="54"/>
    </row>
    <row r="57" spans="1:8" hidden="1" x14ac:dyDescent="0.2"/>
    <row r="58" spans="1:8" ht="17" hidden="1" customHeight="1" x14ac:dyDescent="0.2"/>
    <row r="59" spans="1:8" hidden="1" x14ac:dyDescent="0.2"/>
    <row r="60" spans="1:8" ht="16" customHeight="1" x14ac:dyDescent="0.4">
      <c r="A60" s="126" t="s">
        <v>145</v>
      </c>
      <c r="B60" s="126"/>
      <c r="C60" s="126"/>
      <c r="D60" s="126"/>
      <c r="E60" s="75"/>
      <c r="F60" s="75"/>
    </row>
    <row r="61" spans="1:8" ht="16" customHeight="1" x14ac:dyDescent="0.4">
      <c r="A61" s="126"/>
      <c r="B61" s="126"/>
      <c r="C61" s="126"/>
      <c r="D61" s="126"/>
      <c r="E61" s="75"/>
      <c r="F61" s="75"/>
    </row>
    <row r="62" spans="1:8" ht="16" customHeight="1" x14ac:dyDescent="0.4">
      <c r="A62" s="126"/>
      <c r="B62" s="126"/>
      <c r="C62" s="126"/>
      <c r="D62" s="126"/>
      <c r="E62" s="75"/>
      <c r="F62" s="75"/>
    </row>
    <row r="63" spans="1:8" x14ac:dyDescent="0.2">
      <c r="A63" s="58" t="s">
        <v>160</v>
      </c>
      <c r="B63" s="58">
        <v>2021</v>
      </c>
      <c r="C63" s="58">
        <v>2022</v>
      </c>
      <c r="D63" s="58">
        <v>2023</v>
      </c>
      <c r="E63" s="127"/>
      <c r="F63" s="127"/>
    </row>
    <row r="64" spans="1:8" ht="28" customHeight="1" x14ac:dyDescent="0.2">
      <c r="A64" s="52" t="s">
        <v>63</v>
      </c>
      <c r="B64" s="55">
        <v>21.001601262339694</v>
      </c>
      <c r="C64" s="55">
        <v>31.973466703031715</v>
      </c>
      <c r="D64" s="55">
        <v>31.254198059403425</v>
      </c>
      <c r="E64" s="76"/>
      <c r="F64" s="76"/>
    </row>
    <row r="65" spans="1:6" ht="28" customHeight="1" x14ac:dyDescent="0.2">
      <c r="A65" s="52" t="s">
        <v>185</v>
      </c>
      <c r="B65" s="55">
        <f>Dane!C28/Dane!C21</f>
        <v>0.14925960104733449</v>
      </c>
      <c r="C65" s="55">
        <f>Dane!D28/Dane!D21</f>
        <v>0.13077932552865187</v>
      </c>
      <c r="D65" s="55">
        <f>Dane!E28/Dane!E21</f>
        <v>0.23867320679562676</v>
      </c>
      <c r="E65" s="76"/>
      <c r="F65" s="76"/>
    </row>
    <row r="66" spans="1:6" ht="28" customHeight="1" x14ac:dyDescent="0.2">
      <c r="A66" s="52" t="s">
        <v>146</v>
      </c>
      <c r="B66" s="55">
        <v>0.30076858230569237</v>
      </c>
      <c r="C66" s="55">
        <v>0.26584844247390754</v>
      </c>
      <c r="D66" s="55">
        <v>0.47001464213165572</v>
      </c>
      <c r="E66" s="76"/>
      <c r="F66" s="76"/>
    </row>
    <row r="67" spans="1:6" ht="28" customHeight="1" x14ac:dyDescent="0.2">
      <c r="A67" s="52" t="s">
        <v>159</v>
      </c>
      <c r="B67" s="55">
        <f>('Analiza rentowności i sprawnośc'!C4+'Analiza rentowności i sprawnośc'!C8)/'Analiza rentowności i sprawnośc'!C8</f>
        <v>18480.239858906527</v>
      </c>
      <c r="C67" s="55">
        <f>('Analiza rentowności i sprawnośc'!D4+'Analiza rentowności i sprawnośc'!D8)/'Analiza rentowności i sprawnośc'!D8</f>
        <v>83561.036171816129</v>
      </c>
      <c r="D67" s="55">
        <f>('Analiza rentowności i sprawnośc'!E4+'Analiza rentowności i sprawnośc'!E8)/'Analiza rentowności i sprawnośc'!E8</f>
        <v>370.89415335170645</v>
      </c>
      <c r="E67" s="76"/>
      <c r="F67" s="76"/>
    </row>
    <row r="68" spans="1:6" ht="28" customHeight="1" x14ac:dyDescent="0.2"/>
  </sheetData>
  <mergeCells count="15">
    <mergeCell ref="E63:F63"/>
    <mergeCell ref="A46:D46"/>
    <mergeCell ref="A49:D49"/>
    <mergeCell ref="A60:D62"/>
    <mergeCell ref="G39:H39"/>
    <mergeCell ref="G55:H55"/>
    <mergeCell ref="G54:H54"/>
    <mergeCell ref="G51:H51"/>
    <mergeCell ref="G52:H52"/>
    <mergeCell ref="G53:H53"/>
    <mergeCell ref="A1:E1"/>
    <mergeCell ref="A21:E21"/>
    <mergeCell ref="A29:E29"/>
    <mergeCell ref="A22:E22"/>
    <mergeCell ref="A36:D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F770-7603-470B-BDA6-3E8AA397996E}">
  <sheetPr codeName="Arkusz5"/>
  <dimension ref="A1:BB53"/>
  <sheetViews>
    <sheetView topLeftCell="G1" zoomScale="85" zoomScaleNormal="40" workbookViewId="0">
      <selection activeCell="A2" sqref="A1:F1048576"/>
    </sheetView>
  </sheetViews>
  <sheetFormatPr baseColWidth="10" defaultColWidth="11" defaultRowHeight="16" x14ac:dyDescent="0.2"/>
  <cols>
    <col min="1" max="1" width="64" hidden="1" customWidth="1"/>
    <col min="2" max="4" width="20.33203125" hidden="1" customWidth="1"/>
    <col min="5" max="5" width="27.83203125" hidden="1" customWidth="1"/>
    <col min="6" max="6" width="7.1640625" hidden="1" customWidth="1"/>
    <col min="7" max="15" width="11.1640625" customWidth="1"/>
    <col min="16" max="16" width="16.6640625" customWidth="1"/>
    <col min="17" max="19" width="6.83203125" customWidth="1"/>
    <col min="26" max="26" width="11" customWidth="1"/>
    <col min="29" max="29" width="11" customWidth="1"/>
    <col min="30" max="31" width="22.33203125" customWidth="1"/>
  </cols>
  <sheetData>
    <row r="1" spans="1:54" ht="29" customHeight="1" x14ac:dyDescent="0.4">
      <c r="A1" s="147" t="s">
        <v>90</v>
      </c>
      <c r="B1" s="148"/>
      <c r="C1" s="148"/>
      <c r="D1" s="148"/>
      <c r="E1" s="149"/>
      <c r="G1" s="126" t="s">
        <v>161</v>
      </c>
      <c r="H1" s="126"/>
      <c r="I1" s="126"/>
      <c r="J1" s="126"/>
      <c r="K1" s="126"/>
      <c r="L1" s="126"/>
      <c r="M1" s="126"/>
      <c r="N1" s="126"/>
      <c r="O1" s="126"/>
      <c r="P1" s="126"/>
      <c r="Q1" s="75"/>
      <c r="R1" s="75"/>
      <c r="T1" s="130" t="s">
        <v>162</v>
      </c>
      <c r="U1" s="131"/>
      <c r="V1" s="131"/>
      <c r="W1" s="131"/>
      <c r="X1" s="131"/>
      <c r="Y1" s="131"/>
      <c r="Z1" s="131"/>
      <c r="AA1" s="131"/>
      <c r="AB1" s="131"/>
      <c r="AC1" s="132"/>
      <c r="AD1" s="75"/>
      <c r="AE1" s="75"/>
    </row>
    <row r="2" spans="1:54" ht="29" customHeight="1" x14ac:dyDescent="0.4">
      <c r="A2" s="16"/>
      <c r="B2" s="27">
        <v>2020</v>
      </c>
      <c r="C2" s="6">
        <v>2021</v>
      </c>
      <c r="D2" s="7">
        <v>2022</v>
      </c>
      <c r="E2" s="7">
        <v>2023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75"/>
      <c r="R2" s="75"/>
      <c r="T2" s="133"/>
      <c r="U2" s="134"/>
      <c r="V2" s="134"/>
      <c r="W2" s="134"/>
      <c r="X2" s="134"/>
      <c r="Y2" s="134"/>
      <c r="Z2" s="134"/>
      <c r="AA2" s="134"/>
      <c r="AB2" s="134"/>
      <c r="AC2" s="135"/>
      <c r="AD2" s="75"/>
      <c r="AE2" s="75"/>
    </row>
    <row r="3" spans="1:54" ht="29" customHeight="1" x14ac:dyDescent="0.4">
      <c r="A3" s="147" t="s">
        <v>91</v>
      </c>
      <c r="B3" s="148"/>
      <c r="C3" s="148"/>
      <c r="D3" s="148"/>
      <c r="E3" s="149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75"/>
      <c r="R3" s="75"/>
      <c r="T3" s="136"/>
      <c r="U3" s="137"/>
      <c r="V3" s="137"/>
      <c r="W3" s="137"/>
      <c r="X3" s="137"/>
      <c r="Y3" s="137"/>
      <c r="Z3" s="137"/>
      <c r="AA3" s="137"/>
      <c r="AB3" s="137"/>
      <c r="AC3" s="138"/>
      <c r="AD3" s="75"/>
      <c r="AE3" s="75"/>
    </row>
    <row r="4" spans="1:54" ht="29" customHeight="1" x14ac:dyDescent="0.3">
      <c r="A4" s="10" t="s">
        <v>92</v>
      </c>
      <c r="B4" s="11">
        <v>86859307</v>
      </c>
      <c r="C4" s="15">
        <v>136210477</v>
      </c>
      <c r="D4" s="15">
        <v>110884168</v>
      </c>
      <c r="E4" s="15">
        <v>88850795</v>
      </c>
      <c r="G4" s="150" t="s">
        <v>184</v>
      </c>
      <c r="H4" s="150"/>
      <c r="I4" s="150"/>
      <c r="J4" s="150"/>
      <c r="K4" s="150">
        <v>2021</v>
      </c>
      <c r="L4" s="150"/>
      <c r="M4" s="150">
        <v>2022</v>
      </c>
      <c r="N4" s="150"/>
      <c r="O4" s="150">
        <v>2023</v>
      </c>
      <c r="P4" s="150"/>
      <c r="Q4" s="83"/>
      <c r="R4" s="83"/>
      <c r="T4" s="145" t="s">
        <v>147</v>
      </c>
      <c r="U4" s="145"/>
      <c r="V4" s="145"/>
      <c r="W4" s="145"/>
      <c r="X4" s="145">
        <v>2021</v>
      </c>
      <c r="Y4" s="145"/>
      <c r="Z4" s="145">
        <v>2022</v>
      </c>
      <c r="AA4" s="145"/>
      <c r="AB4" s="145">
        <v>2023</v>
      </c>
      <c r="AC4" s="145"/>
      <c r="AD4" s="47"/>
      <c r="AE4" s="47"/>
      <c r="AZ4">
        <v>2021</v>
      </c>
      <c r="BA4">
        <v>2022</v>
      </c>
      <c r="BB4">
        <v>2023</v>
      </c>
    </row>
    <row r="5" spans="1:54" ht="29" customHeight="1" x14ac:dyDescent="0.2">
      <c r="A5" s="10" t="s">
        <v>93</v>
      </c>
      <c r="B5" s="11">
        <v>-21314451</v>
      </c>
      <c r="C5" s="15">
        <v>12404601</v>
      </c>
      <c r="D5" s="15">
        <v>-15269549</v>
      </c>
      <c r="E5" s="15">
        <v>-25389560</v>
      </c>
      <c r="G5" s="139" t="s">
        <v>148</v>
      </c>
      <c r="H5" s="139"/>
      <c r="I5" s="139"/>
      <c r="J5" s="139"/>
      <c r="K5" s="146">
        <f>'Analiza płynności i zadłużenia'!C4/(('Wskaźniki Finansowe'!B19+'Wskaźniki Finansowe'!C19)/2)</f>
        <v>1.0944050136962473</v>
      </c>
      <c r="L5" s="146"/>
      <c r="M5" s="146">
        <f>'Analiza płynności i zadłużenia'!D4/(('Wskaźniki Finansowe'!C19+'Wskaźniki Finansowe'!D19)/2)</f>
        <v>0.87003406668924388</v>
      </c>
      <c r="N5" s="146"/>
      <c r="O5" s="146">
        <f>'Analiza płynności i zadłużenia'!E4/(('Wskaźniki Finansowe'!D19+'Wskaźniki Finansowe'!E19)/2)</f>
        <v>0.73727834932262759</v>
      </c>
      <c r="P5" s="146"/>
      <c r="Q5" s="84"/>
      <c r="R5" s="84"/>
      <c r="T5" s="139" t="s">
        <v>156</v>
      </c>
      <c r="U5" s="139"/>
      <c r="V5" s="139"/>
      <c r="W5" s="139"/>
      <c r="X5" s="140">
        <f>Dane!I21/Dane!I6</f>
        <v>0.46787380964865261</v>
      </c>
      <c r="Y5" s="140"/>
      <c r="Z5" s="140">
        <f>Dane!J21/Dane!J6</f>
        <v>0.34918600548409756</v>
      </c>
      <c r="AA5" s="140"/>
      <c r="AB5" s="140">
        <f>Dane!K21/Dane!K6</f>
        <v>0.46478969579873441</v>
      </c>
      <c r="AC5" s="140"/>
      <c r="AD5" s="85"/>
      <c r="AE5" s="85"/>
      <c r="AY5" t="s">
        <v>156</v>
      </c>
      <c r="AZ5" s="39">
        <v>0.6202581940118207</v>
      </c>
      <c r="BA5" s="39">
        <v>0.49473675814939616</v>
      </c>
      <c r="BB5" s="39">
        <v>0.44482647753561144</v>
      </c>
    </row>
    <row r="6" spans="1:54" ht="29" customHeight="1" x14ac:dyDescent="0.2">
      <c r="A6" s="10" t="s">
        <v>94</v>
      </c>
      <c r="B6" s="11">
        <v>5559569</v>
      </c>
      <c r="C6" s="15">
        <v>4971645</v>
      </c>
      <c r="D6" s="15">
        <v>5051596</v>
      </c>
      <c r="E6" s="15">
        <v>12319743</v>
      </c>
      <c r="F6" s="1"/>
      <c r="G6" s="139"/>
      <c r="H6" s="139"/>
      <c r="I6" s="139"/>
      <c r="J6" s="139"/>
      <c r="K6" s="146"/>
      <c r="L6" s="146"/>
      <c r="M6" s="146"/>
      <c r="N6" s="146"/>
      <c r="O6" s="146"/>
      <c r="P6" s="146"/>
      <c r="Q6" s="84"/>
      <c r="R6" s="84"/>
      <c r="T6" s="139"/>
      <c r="U6" s="139"/>
      <c r="V6" s="139"/>
      <c r="W6" s="139"/>
      <c r="X6" s="140"/>
      <c r="Y6" s="140"/>
      <c r="Z6" s="140"/>
      <c r="AA6" s="140"/>
      <c r="AB6" s="140"/>
      <c r="AC6" s="140"/>
      <c r="AD6" s="85"/>
      <c r="AE6" s="85"/>
      <c r="AL6">
        <v>2021</v>
      </c>
      <c r="AM6">
        <v>2022</v>
      </c>
      <c r="AN6">
        <v>2023</v>
      </c>
      <c r="AY6" t="s">
        <v>157</v>
      </c>
      <c r="AZ6" s="39">
        <v>0.51204344305664906</v>
      </c>
      <c r="BA6" s="39">
        <v>0.30380372038230197</v>
      </c>
      <c r="BB6" s="39">
        <v>0.34267937970065715</v>
      </c>
    </row>
    <row r="7" spans="1:54" ht="29" customHeight="1" x14ac:dyDescent="0.2">
      <c r="A7" s="10" t="s">
        <v>95</v>
      </c>
      <c r="B7" s="11"/>
      <c r="C7" s="15" t="s">
        <v>37</v>
      </c>
      <c r="D7" s="15">
        <v>-2287820</v>
      </c>
      <c r="E7" s="15">
        <v>-3188235</v>
      </c>
      <c r="F7" s="1"/>
      <c r="G7" s="139" t="s">
        <v>149</v>
      </c>
      <c r="H7" s="139"/>
      <c r="I7" s="139"/>
      <c r="J7" s="139"/>
      <c r="K7" s="146">
        <f>'Analiza płynności i zadłużenia'!C4/(('Wskaźniki Finansowe'!B5+'Wskaźniki Finansowe'!C5)/2)</f>
        <v>2.0462388177826245</v>
      </c>
      <c r="L7" s="146"/>
      <c r="M7" s="146">
        <f>'Analiza płynności i zadłużenia'!D4/(('Wskaźniki Finansowe'!C5+'Wskaźniki Finansowe'!D5)/2)</f>
        <v>1.6932153788356141</v>
      </c>
      <c r="N7" s="146"/>
      <c r="O7" s="146">
        <f>'Analiza płynności i zadłużenia'!E4/(('Wskaźniki Finansowe'!D5+'Wskaźniki Finansowe'!E5)/2)</f>
        <v>1.0800328884593065</v>
      </c>
      <c r="P7" s="146"/>
      <c r="Q7" s="84"/>
      <c r="R7" s="84"/>
      <c r="T7" s="139" t="s">
        <v>157</v>
      </c>
      <c r="U7" s="139"/>
      <c r="V7" s="139"/>
      <c r="W7" s="139"/>
      <c r="X7" s="140">
        <f>'Analiza płynności i zadłużenia'!C19/(('Wskaźniki Finansowe'!B19+'Wskaźniki Finansowe'!C19)/2)</f>
        <v>0.51204344305664906</v>
      </c>
      <c r="Y7" s="140"/>
      <c r="Z7" s="140">
        <v>0.30380372038230197</v>
      </c>
      <c r="AA7" s="140"/>
      <c r="AB7" s="140">
        <v>0.34267937970065715</v>
      </c>
      <c r="AC7" s="140"/>
      <c r="AD7" s="85"/>
      <c r="AE7" s="85"/>
      <c r="AK7" t="s">
        <v>156</v>
      </c>
      <c r="AL7" s="39">
        <v>0.46787380964865261</v>
      </c>
      <c r="AM7" s="39">
        <v>0.34918600548409756</v>
      </c>
      <c r="AN7" s="39">
        <v>0.46478969579873441</v>
      </c>
      <c r="AY7" t="s">
        <v>158</v>
      </c>
      <c r="AZ7" s="39">
        <v>0.65605182502642756</v>
      </c>
      <c r="BA7" s="39">
        <v>0.41401453017066392</v>
      </c>
      <c r="BB7" s="39">
        <v>0.50090777617890703</v>
      </c>
    </row>
    <row r="8" spans="1:54" ht="29" customHeight="1" x14ac:dyDescent="0.2">
      <c r="A8" s="10" t="s">
        <v>96</v>
      </c>
      <c r="B8" s="11">
        <v>259394</v>
      </c>
      <c r="C8" s="15">
        <v>7371</v>
      </c>
      <c r="D8" s="15">
        <v>1327</v>
      </c>
      <c r="E8" s="15">
        <v>240206</v>
      </c>
      <c r="F8" s="1"/>
      <c r="G8" s="139"/>
      <c r="H8" s="139"/>
      <c r="I8" s="139"/>
      <c r="J8" s="139"/>
      <c r="K8" s="146"/>
      <c r="L8" s="146"/>
      <c r="M8" s="146"/>
      <c r="N8" s="146"/>
      <c r="O8" s="146"/>
      <c r="P8" s="146"/>
      <c r="Q8" s="84"/>
      <c r="R8" s="84"/>
      <c r="T8" s="139"/>
      <c r="U8" s="139"/>
      <c r="V8" s="139"/>
      <c r="W8" s="139"/>
      <c r="X8" s="140"/>
      <c r="Y8" s="140"/>
      <c r="Z8" s="140"/>
      <c r="AA8" s="140"/>
      <c r="AB8" s="140"/>
      <c r="AC8" s="140"/>
      <c r="AD8" s="85"/>
      <c r="AE8" s="85"/>
      <c r="AK8" t="s">
        <v>157</v>
      </c>
      <c r="AL8" s="39">
        <v>0.51204344305664906</v>
      </c>
      <c r="AM8" s="39">
        <v>0.30380372038230197</v>
      </c>
      <c r="AN8" s="39">
        <v>0.34267937970065715</v>
      </c>
    </row>
    <row r="9" spans="1:54" ht="29" customHeight="1" x14ac:dyDescent="0.2">
      <c r="A9" s="10" t="s">
        <v>97</v>
      </c>
      <c r="B9" s="11">
        <v>-1837555</v>
      </c>
      <c r="C9" s="15">
        <v>-9767132</v>
      </c>
      <c r="D9" s="15">
        <v>-14027460</v>
      </c>
      <c r="E9" s="15">
        <v>-13695174</v>
      </c>
      <c r="G9" s="139" t="s">
        <v>150</v>
      </c>
      <c r="H9" s="139"/>
      <c r="I9" s="139"/>
      <c r="J9" s="139"/>
      <c r="K9" s="146">
        <f>'Analiza płynności i zadłużenia'!C4/(('Wskaźniki Finansowe'!B11+'Wskaźniki Finansowe'!C11)/2)</f>
        <v>2.3527363946505595</v>
      </c>
      <c r="L9" s="146"/>
      <c r="M9" s="146">
        <f>'Analiza płynności i zadłużenia'!D4/(('Wskaźniki Finansowe'!C11+'Wskaźniki Finansowe'!D11)/2)</f>
        <v>1.7895875990868095</v>
      </c>
      <c r="N9" s="146"/>
      <c r="O9" s="146">
        <f>'Analiza płynności i zadłużenia'!E4/(('Wskaźniki Finansowe'!D11+'Wskaźniki Finansowe'!E11)/2)</f>
        <v>2.3231927641953001</v>
      </c>
      <c r="P9" s="146"/>
      <c r="Q9" s="84"/>
      <c r="R9" s="84"/>
      <c r="T9" s="139" t="s">
        <v>158</v>
      </c>
      <c r="U9" s="139"/>
      <c r="V9" s="139"/>
      <c r="W9" s="139"/>
      <c r="X9" s="141">
        <f>Dane!I21/((Dane!B21+Dane!C21)/2)</f>
        <v>0.65605182502642756</v>
      </c>
      <c r="Y9" s="142"/>
      <c r="Z9" s="140">
        <f>Dane!J21/((Dane!C21+Dane!D21)/2)</f>
        <v>0.41401453017066392</v>
      </c>
      <c r="AA9" s="140"/>
      <c r="AB9" s="140">
        <f>Dane!K21/((Dane!D21+Dane!E21)/2)</f>
        <v>0.50090777617890703</v>
      </c>
      <c r="AC9" s="140"/>
      <c r="AD9" s="85"/>
      <c r="AE9" s="85"/>
      <c r="AK9" t="s">
        <v>158</v>
      </c>
      <c r="AL9" s="39">
        <v>0.65605182502642756</v>
      </c>
      <c r="AM9" s="39">
        <v>0.41401453017066392</v>
      </c>
      <c r="AN9" s="39">
        <v>0.50090777617890703</v>
      </c>
    </row>
    <row r="10" spans="1:54" ht="29" customHeight="1" x14ac:dyDescent="0.2">
      <c r="A10" s="10" t="s">
        <v>98</v>
      </c>
      <c r="B10" s="11">
        <v>-1993785</v>
      </c>
      <c r="C10" s="15">
        <v>-94428</v>
      </c>
      <c r="D10" s="15">
        <v>-526094</v>
      </c>
      <c r="E10" s="15">
        <v>-112302</v>
      </c>
      <c r="G10" s="139"/>
      <c r="H10" s="139"/>
      <c r="I10" s="139"/>
      <c r="J10" s="139"/>
      <c r="K10" s="146"/>
      <c r="L10" s="146"/>
      <c r="M10" s="146"/>
      <c r="N10" s="146"/>
      <c r="O10" s="146"/>
      <c r="P10" s="146"/>
      <c r="Q10" s="84"/>
      <c r="R10" s="84"/>
      <c r="T10" s="139"/>
      <c r="U10" s="139"/>
      <c r="V10" s="139"/>
      <c r="W10" s="139"/>
      <c r="X10" s="143"/>
      <c r="Y10" s="144"/>
      <c r="Z10" s="140"/>
      <c r="AA10" s="140"/>
      <c r="AB10" s="140"/>
      <c r="AC10" s="140"/>
      <c r="AD10" s="85"/>
      <c r="AE10" s="85"/>
    </row>
    <row r="11" spans="1:54" ht="29" customHeight="1" x14ac:dyDescent="0.2">
      <c r="A11" s="10" t="s">
        <v>99</v>
      </c>
      <c r="B11" s="11"/>
      <c r="C11" s="15" t="s">
        <v>37</v>
      </c>
      <c r="D11" s="15">
        <v>-5616934</v>
      </c>
      <c r="E11" s="15">
        <v>-27894001</v>
      </c>
      <c r="G11" s="139" t="s">
        <v>151</v>
      </c>
      <c r="H11" s="139"/>
      <c r="I11" s="139"/>
      <c r="J11" s="139"/>
      <c r="K11" s="146">
        <f>'Analiza płynności i zadłużenia'!C4/(('Wskaźniki Finansowe'!B12+'Wskaźniki Finansowe'!C12)/2)</f>
        <v>309.79574811220294</v>
      </c>
      <c r="L11" s="146"/>
      <c r="M11" s="146">
        <f>'Analiza płynności i zadłużenia'!D4/(('Wskaźniki Finansowe'!C12+'Wskaźniki Finansowe'!D12)/2)</f>
        <v>226.39542084765228</v>
      </c>
      <c r="N11" s="146"/>
      <c r="O11" s="146">
        <f>'Analiza płynności i zadłużenia'!E4/(('Wskaźniki Finansowe'!D12+'Wskaźniki Finansowe'!E12)/2)</f>
        <v>213.87574787788893</v>
      </c>
      <c r="P11" s="146"/>
      <c r="Q11" s="84"/>
      <c r="R11" s="84"/>
      <c r="T11" s="139" t="s">
        <v>187</v>
      </c>
      <c r="U11" s="139"/>
      <c r="V11" s="139"/>
      <c r="W11" s="139"/>
      <c r="X11" s="140">
        <f>Dane!I21/((Dane!B5+Dane!C5)/2)</f>
        <v>0.95738155112691159</v>
      </c>
      <c r="Y11" s="140"/>
      <c r="Z11" s="140">
        <f>Dane!J21/((Dane!C5+Dane!D5)/2)</f>
        <v>0.59124711455985102</v>
      </c>
      <c r="AA11" s="140"/>
      <c r="AB11" s="140">
        <f>Dane!K21/((Dane!D5+Dane!E5)/2)</f>
        <v>0.50198815767962945</v>
      </c>
      <c r="AC11" s="140"/>
      <c r="AD11" s="85"/>
      <c r="AE11" s="85"/>
    </row>
    <row r="12" spans="1:54" ht="29" customHeight="1" x14ac:dyDescent="0.2">
      <c r="A12" s="10" t="s">
        <v>100</v>
      </c>
      <c r="B12" s="11">
        <v>-9610802</v>
      </c>
      <c r="C12" s="15">
        <v>15087489</v>
      </c>
      <c r="D12" s="15">
        <v>-3275346</v>
      </c>
      <c r="E12" s="15">
        <v>1238100</v>
      </c>
      <c r="G12" s="139"/>
      <c r="H12" s="139"/>
      <c r="I12" s="139"/>
      <c r="J12" s="139"/>
      <c r="K12" s="146"/>
      <c r="L12" s="146"/>
      <c r="M12" s="146"/>
      <c r="N12" s="146"/>
      <c r="O12" s="146"/>
      <c r="P12" s="146"/>
      <c r="Q12" s="84"/>
      <c r="R12" s="84"/>
      <c r="T12" s="139"/>
      <c r="U12" s="139"/>
      <c r="V12" s="139"/>
      <c r="W12" s="139"/>
      <c r="X12" s="140"/>
      <c r="Y12" s="140"/>
      <c r="Z12" s="140"/>
      <c r="AA12" s="140"/>
      <c r="AB12" s="140"/>
      <c r="AC12" s="140"/>
      <c r="AD12" s="85"/>
      <c r="AE12" s="85"/>
    </row>
    <row r="13" spans="1:54" ht="29" customHeight="1" x14ac:dyDescent="0.2">
      <c r="A13" s="10" t="s">
        <v>101</v>
      </c>
      <c r="B13" s="11">
        <v>15046</v>
      </c>
      <c r="C13" s="15">
        <v>9453343</v>
      </c>
      <c r="D13" s="15">
        <v>-265750</v>
      </c>
      <c r="E13" s="15">
        <v>286817</v>
      </c>
      <c r="G13" s="139" t="s">
        <v>152</v>
      </c>
      <c r="H13" s="139"/>
      <c r="I13" s="139"/>
      <c r="J13" s="139"/>
      <c r="K13" s="146">
        <f>(('Wskaźniki Finansowe'!B12+'Wskaźniki Finansowe'!C12)/2*365)/'Analiza płynności i zadłużenia'!C4</f>
        <v>1.1781956409156493</v>
      </c>
      <c r="L13" s="146"/>
      <c r="M13" s="146">
        <f>(('Wskaźniki Finansowe'!C12+'Wskaźniki Finansowe'!D12)/2)*365/'Analiza płynności i zadłużenia'!D4</f>
        <v>1.6122234214517024</v>
      </c>
      <c r="N13" s="146"/>
      <c r="O13" s="146">
        <f>('Wskaźniki Finansowe'!D12+'Wskaźniki Finansowe'!E12)/2*365/'Analiza płynności i zadłużenia'!E4</f>
        <v>1.7065983573247143</v>
      </c>
      <c r="P13" s="146"/>
      <c r="Q13" s="84"/>
      <c r="R13" s="84"/>
      <c r="T13" s="47"/>
      <c r="U13" s="47"/>
      <c r="V13" s="47"/>
      <c r="W13" s="47"/>
      <c r="AD13" s="85"/>
      <c r="AE13" s="85"/>
    </row>
    <row r="14" spans="1:54" ht="29" customHeight="1" x14ac:dyDescent="0.2">
      <c r="A14" s="10" t="s">
        <v>102</v>
      </c>
      <c r="B14" s="11">
        <v>254904</v>
      </c>
      <c r="C14" s="15">
        <v>-88245</v>
      </c>
      <c r="D14" s="15">
        <v>-6524466</v>
      </c>
      <c r="E14" s="15">
        <v>-18192171</v>
      </c>
      <c r="G14" s="139"/>
      <c r="H14" s="139"/>
      <c r="I14" s="139"/>
      <c r="J14" s="139"/>
      <c r="K14" s="146"/>
      <c r="L14" s="146"/>
      <c r="M14" s="146"/>
      <c r="N14" s="146"/>
      <c r="O14" s="146"/>
      <c r="P14" s="146"/>
      <c r="Q14" s="84"/>
      <c r="R14" s="84"/>
      <c r="AD14" s="44"/>
      <c r="AE14" s="44"/>
    </row>
    <row r="15" spans="1:54" ht="29" customHeight="1" x14ac:dyDescent="0.2">
      <c r="A15" s="10" t="s">
        <v>103</v>
      </c>
      <c r="B15" s="11">
        <v>-7157142</v>
      </c>
      <c r="C15" s="15">
        <v>4963294</v>
      </c>
      <c r="D15" s="15">
        <v>7426270</v>
      </c>
      <c r="E15" s="15">
        <v>-3777274</v>
      </c>
      <c r="G15" s="139" t="s">
        <v>153</v>
      </c>
      <c r="H15" s="139"/>
      <c r="I15" s="139"/>
      <c r="J15" s="139"/>
      <c r="K15" s="146">
        <f>'Analiza płynności i zadłużenia'!C4/(('Wskaźniki Finansowe'!B13+'Wskaźniki Finansowe'!C13+'Wskaźniki Finansowe'!B14+'Wskaźniki Finansowe'!C14)/2)</f>
        <v>9.1199426010785167</v>
      </c>
      <c r="L15" s="146"/>
      <c r="M15" s="146">
        <f>'Analiza płynności i zadłużenia'!D4/(('Wskaźniki Finansowe'!C13+'Wskaźniki Finansowe'!D13+'Wskaźniki Finansowe'!C14+'Wskaźniki Finansowe'!D14)/2)</f>
        <v>7.7974786616324625</v>
      </c>
      <c r="N15" s="146"/>
      <c r="O15" s="146">
        <f>'Analiza płynności i zadłużenia'!E4/(('Wskaźniki Finansowe'!D13+'Wskaźniki Finansowe'!E13+'Wskaźniki Finansowe'!D14+'Wskaźniki Finansowe'!E14)/2)</f>
        <v>4.8726747149958705</v>
      </c>
      <c r="P15" s="146"/>
      <c r="Q15" s="85"/>
      <c r="R15" s="85"/>
      <c r="X15" s="2"/>
      <c r="Y15" s="2"/>
      <c r="Z15" s="2"/>
    </row>
    <row r="16" spans="1:54" ht="29" customHeight="1" x14ac:dyDescent="0.2">
      <c r="A16" s="10" t="s">
        <v>104</v>
      </c>
      <c r="B16" s="11">
        <v>762741</v>
      </c>
      <c r="C16" s="15">
        <v>3066488</v>
      </c>
      <c r="D16" s="15">
        <v>-721084</v>
      </c>
      <c r="E16" s="15">
        <v>-46973</v>
      </c>
      <c r="G16" s="139"/>
      <c r="H16" s="139"/>
      <c r="I16" s="139"/>
      <c r="J16" s="139"/>
      <c r="K16" s="146"/>
      <c r="L16" s="146"/>
      <c r="M16" s="146"/>
      <c r="N16" s="146"/>
      <c r="O16" s="146"/>
      <c r="P16" s="146"/>
      <c r="Q16" s="85"/>
      <c r="R16" s="85"/>
      <c r="U16" s="2"/>
      <c r="V16" s="2"/>
      <c r="W16" s="2"/>
      <c r="AD16" s="44"/>
      <c r="AE16" s="44"/>
      <c r="AF16" s="44"/>
    </row>
    <row r="17" spans="1:33" ht="29" customHeight="1" x14ac:dyDescent="0.2">
      <c r="A17" s="10" t="s">
        <v>105</v>
      </c>
      <c r="B17" s="11">
        <v>-3486351</v>
      </c>
      <c r="C17" s="15">
        <v>-2307391</v>
      </c>
      <c r="D17" s="15">
        <v>-2256558</v>
      </c>
      <c r="E17" s="15">
        <v>-7402500</v>
      </c>
      <c r="G17" s="139" t="s">
        <v>155</v>
      </c>
      <c r="H17" s="139"/>
      <c r="I17" s="139"/>
      <c r="J17" s="139"/>
      <c r="K17" s="146">
        <f>('Wskaźniki Finansowe'!B13+'Wskaźniki Finansowe'!C13+'Wskaźniki Finansowe'!B14+'Wskaźniki Finansowe'!C14)/2*365/'Analiza płynności i zadłużenia'!C4</f>
        <v>40.022181713823002</v>
      </c>
      <c r="L17" s="146"/>
      <c r="M17" s="146">
        <f>('Wskaźniki Finansowe'!C13+'Wskaźniki Finansowe'!D13+'Wskaźniki Finansowe'!C14+'Wskaźniki Finansowe'!D14)/2*365/'Analiza płynności i zadłużenia'!D4</f>
        <v>46.810003058550777</v>
      </c>
      <c r="N17" s="146"/>
      <c r="O17" s="146">
        <f>('Wskaźniki Finansowe'!D13+'Wskaźniki Finansowe'!E13+'Wskaźniki Finansowe'!D14+'Wskaźniki Finansowe'!E14)/2*365/'Analiza płynności i zadłużenia'!E4</f>
        <v>74.90752437807852</v>
      </c>
      <c r="P17" s="146"/>
      <c r="Q17" s="85"/>
      <c r="R17" s="85"/>
      <c r="AD17" s="44"/>
      <c r="AE17" s="44"/>
    </row>
    <row r="18" spans="1:33" ht="29" customHeight="1" x14ac:dyDescent="0.2">
      <c r="A18" s="10" t="s">
        <v>106</v>
      </c>
      <c r="B18" s="11">
        <v>2414401</v>
      </c>
      <c r="C18" s="15">
        <v>2199656</v>
      </c>
      <c r="D18" s="15">
        <v>2135836</v>
      </c>
      <c r="E18" s="15">
        <v>6940203</v>
      </c>
      <c r="G18" s="139"/>
      <c r="H18" s="139"/>
      <c r="I18" s="139"/>
      <c r="J18" s="139"/>
      <c r="K18" s="146"/>
      <c r="L18" s="146"/>
      <c r="M18" s="146"/>
      <c r="N18" s="146"/>
      <c r="O18" s="146"/>
      <c r="P18" s="146"/>
      <c r="Q18" s="85"/>
      <c r="R18" s="85"/>
      <c r="U18" s="2"/>
      <c r="Z18" s="2"/>
      <c r="AD18" s="44"/>
      <c r="AE18" s="44"/>
    </row>
    <row r="19" spans="1:33" ht="29" customHeight="1" x14ac:dyDescent="0.2">
      <c r="A19" s="10" t="s">
        <v>107</v>
      </c>
      <c r="B19" s="11">
        <v>81650529</v>
      </c>
      <c r="C19" s="15">
        <v>148615078</v>
      </c>
      <c r="D19" s="15">
        <v>95614619</v>
      </c>
      <c r="E19" s="15">
        <v>63461235</v>
      </c>
      <c r="G19" s="139" t="s">
        <v>154</v>
      </c>
      <c r="H19" s="139"/>
      <c r="I19" s="139"/>
      <c r="J19" s="139"/>
      <c r="K19" s="146">
        <f>'Analiza płynności i zadłużenia'!C4/(('Wskaźniki Finansowe'!B35+'Wskaźniki Finansowe'!C35)/2)</f>
        <v>11.794867382196365</v>
      </c>
      <c r="L19" s="146"/>
      <c r="M19" s="146">
        <f>'Analiza płynności i zadłużenia'!D4/(('Wskaźniki Finansowe'!C35+'Wskaźniki Finansowe'!D35)/2)</f>
        <v>5.3339913917634068</v>
      </c>
      <c r="N19" s="146"/>
      <c r="O19" s="146">
        <f>'Analiza płynności i zadłużenia'!E4/(('Wskaźniki Finansowe'!D35+'Wskaźniki Finansowe'!E35)/2)</f>
        <v>3.9490266693416061</v>
      </c>
      <c r="P19" s="146"/>
      <c r="Q19" s="84"/>
      <c r="R19" s="84"/>
      <c r="U19" s="2"/>
      <c r="AD19" s="44"/>
      <c r="AE19" s="44"/>
    </row>
    <row r="20" spans="1:33" ht="29" customHeight="1" x14ac:dyDescent="0.2">
      <c r="A20" s="10" t="s">
        <v>108</v>
      </c>
      <c r="B20" s="11">
        <v>-16105673</v>
      </c>
      <c r="C20" s="15">
        <v>-26238060</v>
      </c>
      <c r="D20" s="15">
        <v>-17849843</v>
      </c>
      <c r="E20" s="15">
        <v>-15351067</v>
      </c>
      <c r="G20" s="139"/>
      <c r="H20" s="139"/>
      <c r="I20" s="139"/>
      <c r="J20" s="139"/>
      <c r="K20" s="146"/>
      <c r="L20" s="146"/>
      <c r="M20" s="146"/>
      <c r="N20" s="146"/>
      <c r="O20" s="146"/>
      <c r="P20" s="146"/>
      <c r="Q20" s="84"/>
      <c r="R20" s="84"/>
      <c r="AD20" s="44"/>
      <c r="AE20" s="44"/>
    </row>
    <row r="21" spans="1:33" ht="29" customHeight="1" x14ac:dyDescent="0.2">
      <c r="A21" s="10" t="s">
        <v>109</v>
      </c>
      <c r="B21" s="11">
        <v>65544856</v>
      </c>
      <c r="C21" s="15">
        <v>122377018</v>
      </c>
      <c r="D21" s="15">
        <v>77764776</v>
      </c>
      <c r="E21" s="15">
        <v>48110168</v>
      </c>
      <c r="F21" s="30"/>
      <c r="G21" s="139" t="s">
        <v>163</v>
      </c>
      <c r="H21" s="139"/>
      <c r="I21" s="139"/>
      <c r="J21" s="139"/>
      <c r="K21" s="146">
        <f>((('Wskaźniki Finansowe'!B35+'Wskaźniki Finansowe'!C35)/2)*365)/'Analiza płynności i zadłużenia'!C4</f>
        <v>30.945663751247032</v>
      </c>
      <c r="L21" s="146"/>
      <c r="M21" s="146">
        <f>((('Wskaźniki Finansowe'!C35+'Wskaźniki Finansowe'!D35)/2)*365)/'Analiza płynności i zadłużenia'!D4</f>
        <v>68.429056815431366</v>
      </c>
      <c r="N21" s="146"/>
      <c r="O21" s="146">
        <f>((('Wskaźniki Finansowe'!D35+'Wskaźniki Finansowe'!E35)/2)*365)/'Analiza płynności i zadłużenia'!E4</f>
        <v>92.427838695972625</v>
      </c>
      <c r="P21" s="146"/>
      <c r="Q21" s="84"/>
      <c r="R21" s="84"/>
      <c r="AD21" s="44"/>
      <c r="AE21" s="44"/>
    </row>
    <row r="22" spans="1:33" ht="29" customHeight="1" x14ac:dyDescent="0.2">
      <c r="A22" s="147" t="s">
        <v>110</v>
      </c>
      <c r="B22" s="148"/>
      <c r="C22" s="148"/>
      <c r="D22" s="148"/>
      <c r="E22" s="149"/>
      <c r="G22" s="139"/>
      <c r="H22" s="139"/>
      <c r="I22" s="139"/>
      <c r="J22" s="139"/>
      <c r="K22" s="146"/>
      <c r="L22" s="146"/>
      <c r="M22" s="146"/>
      <c r="N22" s="146"/>
      <c r="O22" s="146"/>
      <c r="P22" s="146"/>
      <c r="Q22" s="84"/>
      <c r="R22" s="84"/>
      <c r="AD22" s="44"/>
      <c r="AE22" s="44"/>
    </row>
    <row r="23" spans="1:33" ht="29" customHeight="1" x14ac:dyDescent="0.2">
      <c r="A23" s="10" t="s">
        <v>111</v>
      </c>
      <c r="B23" s="11">
        <v>1837555</v>
      </c>
      <c r="C23" s="11">
        <v>9767132</v>
      </c>
      <c r="D23" s="11">
        <v>14027460</v>
      </c>
      <c r="E23" s="11">
        <v>13695174</v>
      </c>
      <c r="G23" s="74"/>
      <c r="H23" s="74"/>
      <c r="I23" s="74"/>
      <c r="J23" s="74"/>
      <c r="K23" s="37"/>
      <c r="L23" s="37"/>
      <c r="M23" s="37"/>
      <c r="N23" s="37"/>
      <c r="O23" s="37"/>
      <c r="P23" s="37"/>
      <c r="U23" s="87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ht="29" customHeight="1" x14ac:dyDescent="0.2">
      <c r="A24" s="10" t="s">
        <v>112</v>
      </c>
      <c r="B24" s="11">
        <v>-4995200</v>
      </c>
      <c r="C24" s="11"/>
      <c r="D24" s="11"/>
      <c r="E24" s="11"/>
      <c r="G24" s="74"/>
      <c r="H24" s="74"/>
      <c r="I24" s="74"/>
      <c r="J24" s="74"/>
      <c r="K24" s="37"/>
      <c r="L24" s="37"/>
      <c r="M24" s="37"/>
      <c r="N24" s="37"/>
      <c r="O24" s="37"/>
      <c r="P24" s="37"/>
      <c r="Q24" s="2"/>
      <c r="R24" s="2"/>
      <c r="S24" s="2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33" ht="29" customHeight="1" x14ac:dyDescent="0.2">
      <c r="A25" s="10" t="s">
        <v>113</v>
      </c>
      <c r="B25" s="11">
        <v>-1478297</v>
      </c>
      <c r="C25" s="11">
        <v>-1476795</v>
      </c>
      <c r="D25" s="11">
        <v>-5793096</v>
      </c>
      <c r="E25" s="11">
        <v>-60053307</v>
      </c>
      <c r="G25" s="74"/>
      <c r="H25" s="74"/>
      <c r="I25" s="74"/>
      <c r="J25" s="74"/>
      <c r="K25" s="37"/>
      <c r="L25" s="37"/>
      <c r="M25" s="37"/>
      <c r="N25" s="37"/>
      <c r="O25" s="37"/>
      <c r="P25" s="37"/>
      <c r="Q25" s="2"/>
      <c r="R25" s="2"/>
      <c r="S25" s="2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1:33" ht="29" customHeight="1" x14ac:dyDescent="0.2">
      <c r="A26" s="10" t="s">
        <v>114</v>
      </c>
      <c r="B26" s="11" t="s">
        <v>37</v>
      </c>
      <c r="C26" s="11" t="s">
        <v>37</v>
      </c>
      <c r="D26" s="17" t="s">
        <v>37</v>
      </c>
      <c r="E26" s="11">
        <v>-29295050</v>
      </c>
      <c r="G26" s="74"/>
      <c r="H26" s="74"/>
      <c r="I26" s="74"/>
      <c r="J26" s="74"/>
      <c r="K26" s="37"/>
      <c r="L26" s="37"/>
      <c r="M26" s="37"/>
      <c r="N26" s="37"/>
      <c r="O26" s="37"/>
      <c r="P26" s="37"/>
      <c r="Q26" s="2"/>
      <c r="R26" s="2"/>
      <c r="S26" s="2"/>
      <c r="T26" s="2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</row>
    <row r="27" spans="1:33" ht="29" customHeight="1" x14ac:dyDescent="0.2">
      <c r="A27" s="10" t="s">
        <v>115</v>
      </c>
      <c r="B27" s="11" t="s">
        <v>37</v>
      </c>
      <c r="C27" s="11" t="s">
        <v>37</v>
      </c>
      <c r="D27" s="17" t="s">
        <v>37</v>
      </c>
      <c r="E27" s="11">
        <v>-3000000</v>
      </c>
      <c r="G27" s="74"/>
      <c r="H27" s="74"/>
      <c r="I27" s="74"/>
      <c r="J27" s="74"/>
      <c r="K27" s="37"/>
      <c r="L27" s="37"/>
      <c r="M27" s="37"/>
      <c r="N27" s="37"/>
      <c r="O27" s="37"/>
      <c r="P27" s="37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1:33" ht="29" customHeight="1" x14ac:dyDescent="0.2">
      <c r="A28" s="10" t="s">
        <v>116</v>
      </c>
      <c r="B28" s="11" t="s">
        <v>37</v>
      </c>
      <c r="C28" s="11" t="s">
        <v>37</v>
      </c>
      <c r="D28" s="11">
        <v>2287819</v>
      </c>
      <c r="E28" s="11">
        <v>3172380</v>
      </c>
      <c r="G28" s="74"/>
      <c r="H28" s="74"/>
      <c r="I28" s="74"/>
      <c r="J28" s="74"/>
      <c r="K28" s="37"/>
      <c r="L28" s="37"/>
      <c r="M28" s="37"/>
      <c r="N28" s="37"/>
      <c r="O28" s="37"/>
      <c r="P28" s="37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ht="29" customHeight="1" x14ac:dyDescent="0.2">
      <c r="A29" s="10" t="s">
        <v>117</v>
      </c>
      <c r="B29" s="11">
        <v>12154334</v>
      </c>
      <c r="C29" s="11">
        <v>409178</v>
      </c>
      <c r="D29" s="11">
        <v>863028</v>
      </c>
      <c r="E29" s="11">
        <v>2999298</v>
      </c>
      <c r="G29" s="74"/>
      <c r="H29" s="74"/>
      <c r="I29" s="74"/>
      <c r="J29" s="74"/>
      <c r="K29" s="37"/>
      <c r="L29" s="37"/>
      <c r="M29" s="37"/>
      <c r="N29" s="37"/>
      <c r="O29" s="37"/>
      <c r="P29" s="37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ht="29" customHeight="1" x14ac:dyDescent="0.2">
      <c r="A30" s="10" t="s">
        <v>118</v>
      </c>
      <c r="B30" s="11"/>
      <c r="C30" s="11">
        <v>5000000</v>
      </c>
      <c r="D30" s="11" t="s">
        <v>37</v>
      </c>
      <c r="E30" s="11" t="s">
        <v>37</v>
      </c>
      <c r="G30" s="74"/>
      <c r="H30" s="74"/>
      <c r="I30" s="74"/>
      <c r="J30" s="74"/>
      <c r="K30" s="37"/>
      <c r="L30" s="37"/>
      <c r="M30" s="37"/>
      <c r="N30" s="37"/>
      <c r="O30" s="37"/>
      <c r="P30" s="37"/>
    </row>
    <row r="31" spans="1:33" ht="29" customHeight="1" x14ac:dyDescent="0.2">
      <c r="A31" s="8" t="s">
        <v>119</v>
      </c>
      <c r="B31" s="20">
        <f>SUM(B23:B30)</f>
        <v>7518392</v>
      </c>
      <c r="C31" s="20">
        <v>13699515</v>
      </c>
      <c r="D31" s="20">
        <v>11385211</v>
      </c>
      <c r="E31" s="20">
        <v>-72481505</v>
      </c>
      <c r="F31" s="4"/>
      <c r="G31" s="74"/>
      <c r="H31" s="74"/>
      <c r="I31" s="74"/>
      <c r="J31" s="74"/>
      <c r="K31" s="37"/>
      <c r="L31" s="37"/>
      <c r="M31" s="37"/>
      <c r="N31" s="37"/>
      <c r="O31" s="37"/>
      <c r="P31" s="37"/>
    </row>
    <row r="32" spans="1:33" ht="29" customHeight="1" x14ac:dyDescent="0.2">
      <c r="A32" s="147" t="s">
        <v>120</v>
      </c>
      <c r="B32" s="148"/>
      <c r="C32" s="148"/>
      <c r="D32" s="148"/>
      <c r="E32" s="149"/>
      <c r="G32" s="74"/>
      <c r="H32" s="74"/>
      <c r="I32" s="74"/>
      <c r="J32" s="74"/>
      <c r="K32" s="37"/>
      <c r="L32" s="37"/>
      <c r="M32" s="37"/>
      <c r="N32" s="37"/>
      <c r="O32" s="37"/>
      <c r="P32" s="37"/>
    </row>
    <row r="33" spans="1:7" ht="29" customHeight="1" x14ac:dyDescent="0.2">
      <c r="A33" t="s">
        <v>121</v>
      </c>
      <c r="B33" s="2">
        <v>176400</v>
      </c>
    </row>
    <row r="34" spans="1:7" ht="29" customHeight="1" x14ac:dyDescent="0.2">
      <c r="A34" s="10" t="s">
        <v>122</v>
      </c>
      <c r="B34" s="2">
        <v>-4000</v>
      </c>
      <c r="C34" s="11"/>
      <c r="D34" s="11"/>
      <c r="E34" s="11"/>
      <c r="F34" s="1"/>
      <c r="G34" s="1"/>
    </row>
    <row r="35" spans="1:7" ht="29" customHeight="1" x14ac:dyDescent="0.2">
      <c r="A35" s="10" t="s">
        <v>123</v>
      </c>
      <c r="B35" s="11">
        <v>-8689448</v>
      </c>
      <c r="C35" s="11">
        <v>-4321620</v>
      </c>
      <c r="D35" s="11">
        <v>-45984</v>
      </c>
      <c r="E35" s="11">
        <v>-15730</v>
      </c>
      <c r="F35" s="1"/>
      <c r="G35" s="1"/>
    </row>
    <row r="36" spans="1:7" ht="29" customHeight="1" x14ac:dyDescent="0.2">
      <c r="A36" s="10" t="s">
        <v>124</v>
      </c>
      <c r="B36" s="11">
        <v>-316275</v>
      </c>
      <c r="C36" s="11">
        <v>-93486</v>
      </c>
      <c r="D36" s="11">
        <v>-305693</v>
      </c>
      <c r="E36" s="11">
        <v>-1793489</v>
      </c>
      <c r="F36" s="1"/>
      <c r="G36" s="1"/>
    </row>
    <row r="37" spans="1:7" ht="29" customHeight="1" x14ac:dyDescent="0.2">
      <c r="A37" s="10" t="s">
        <v>125</v>
      </c>
      <c r="B37" s="11">
        <v>-48337298</v>
      </c>
      <c r="C37" s="11">
        <v>-70784633</v>
      </c>
      <c r="D37" s="11">
        <v>-110655878</v>
      </c>
      <c r="E37" s="11">
        <v>-46264695</v>
      </c>
    </row>
    <row r="38" spans="1:7" ht="29" customHeight="1" x14ac:dyDescent="0.2">
      <c r="A38" s="10" t="s">
        <v>126</v>
      </c>
      <c r="B38" s="11">
        <v>-259394</v>
      </c>
      <c r="C38" s="11">
        <v>-12171</v>
      </c>
      <c r="D38" s="11">
        <v>-1327</v>
      </c>
      <c r="E38" s="11">
        <v>-240206</v>
      </c>
      <c r="F38" s="5"/>
      <c r="G38" s="5"/>
    </row>
    <row r="39" spans="1:7" ht="29" customHeight="1" x14ac:dyDescent="0.2">
      <c r="A39" s="8" t="s">
        <v>127</v>
      </c>
      <c r="B39" s="20">
        <f>SUM(B33:B38)</f>
        <v>-57430015</v>
      </c>
      <c r="C39" s="20">
        <v>-75211909</v>
      </c>
      <c r="D39" s="20">
        <v>-111008882</v>
      </c>
      <c r="E39" s="20">
        <v>-48314120</v>
      </c>
      <c r="F39" s="1"/>
      <c r="G39" s="1"/>
    </row>
    <row r="40" spans="1:7" ht="29" customHeight="1" x14ac:dyDescent="0.2">
      <c r="A40" s="21" t="s">
        <v>128</v>
      </c>
      <c r="B40" s="29">
        <v>15633233</v>
      </c>
      <c r="C40" s="20">
        <v>60864623</v>
      </c>
      <c r="D40" s="20">
        <v>-21858895</v>
      </c>
      <c r="E40" s="20">
        <v>-72685457</v>
      </c>
      <c r="F40" s="3"/>
      <c r="G40" s="3"/>
    </row>
    <row r="41" spans="1:7" ht="29" customHeight="1" x14ac:dyDescent="0.2">
      <c r="A41" s="8" t="s">
        <v>129</v>
      </c>
      <c r="B41" s="20">
        <v>15633233</v>
      </c>
      <c r="C41" s="20">
        <v>60864623</v>
      </c>
      <c r="D41" s="20">
        <v>-21858895</v>
      </c>
      <c r="E41" s="20">
        <v>-72685457</v>
      </c>
      <c r="F41" s="1"/>
      <c r="G41" s="1"/>
    </row>
    <row r="42" spans="1:7" ht="29" customHeight="1" x14ac:dyDescent="0.2">
      <c r="A42" s="8" t="s">
        <v>130</v>
      </c>
      <c r="B42" s="20">
        <v>24682296</v>
      </c>
      <c r="C42" s="20">
        <v>40315528</v>
      </c>
      <c r="D42" s="20">
        <v>101180151</v>
      </c>
      <c r="E42" s="20">
        <v>79321256</v>
      </c>
      <c r="F42" s="1"/>
      <c r="G42" s="1"/>
    </row>
    <row r="43" spans="1:7" ht="29" customHeight="1" x14ac:dyDescent="0.2">
      <c r="A43" s="8" t="s">
        <v>131</v>
      </c>
      <c r="B43" s="20">
        <v>40315529</v>
      </c>
      <c r="C43" s="20">
        <v>101180151</v>
      </c>
      <c r="D43" s="20">
        <v>79321256</v>
      </c>
      <c r="E43" s="20">
        <v>6635799</v>
      </c>
      <c r="F43" s="1"/>
      <c r="G43" s="1"/>
    </row>
    <row r="44" spans="1:7" ht="29" customHeight="1" x14ac:dyDescent="0.2">
      <c r="A44" s="10" t="s">
        <v>132</v>
      </c>
      <c r="B44" s="11">
        <v>320931</v>
      </c>
      <c r="C44" s="11">
        <v>5279874</v>
      </c>
      <c r="D44" s="11">
        <v>4049937</v>
      </c>
      <c r="E44" s="11">
        <v>6268542</v>
      </c>
    </row>
    <row r="45" spans="1:7" ht="29" customHeight="1" x14ac:dyDescent="0.2"/>
    <row r="49" spans="6:7" ht="22" customHeight="1" x14ac:dyDescent="0.2"/>
    <row r="50" spans="6:7" ht="16" customHeight="1" x14ac:dyDescent="0.2">
      <c r="G50" s="1"/>
    </row>
    <row r="51" spans="6:7" ht="16" customHeight="1" x14ac:dyDescent="0.2">
      <c r="F51" s="3"/>
      <c r="G51" s="1"/>
    </row>
    <row r="52" spans="6:7" ht="16" customHeight="1" x14ac:dyDescent="0.2">
      <c r="G52" s="1"/>
    </row>
    <row r="53" spans="6:7" ht="16" customHeight="1" x14ac:dyDescent="0.2"/>
  </sheetData>
  <mergeCells count="66">
    <mergeCell ref="G7:J8"/>
    <mergeCell ref="K7:L8"/>
    <mergeCell ref="O4:P4"/>
    <mergeCell ref="G5:J6"/>
    <mergeCell ref="K5:L6"/>
    <mergeCell ref="M5:N6"/>
    <mergeCell ref="O5:P6"/>
    <mergeCell ref="A3:E3"/>
    <mergeCell ref="A1:E1"/>
    <mergeCell ref="G4:J4"/>
    <mergeCell ref="K4:L4"/>
    <mergeCell ref="M4:N4"/>
    <mergeCell ref="K9:L10"/>
    <mergeCell ref="M9:N10"/>
    <mergeCell ref="O9:P10"/>
    <mergeCell ref="A32:E32"/>
    <mergeCell ref="A22:E22"/>
    <mergeCell ref="G21:J22"/>
    <mergeCell ref="K21:L22"/>
    <mergeCell ref="M21:N22"/>
    <mergeCell ref="O21:P22"/>
    <mergeCell ref="G15:J16"/>
    <mergeCell ref="K15:L16"/>
    <mergeCell ref="M15:N16"/>
    <mergeCell ref="O15:P16"/>
    <mergeCell ref="G17:J18"/>
    <mergeCell ref="K17:L18"/>
    <mergeCell ref="M17:N18"/>
    <mergeCell ref="O17:P18"/>
    <mergeCell ref="AB4:AC4"/>
    <mergeCell ref="G19:J20"/>
    <mergeCell ref="K19:L20"/>
    <mergeCell ref="M19:N20"/>
    <mergeCell ref="O19:P20"/>
    <mergeCell ref="G11:J12"/>
    <mergeCell ref="K11:L12"/>
    <mergeCell ref="M11:N12"/>
    <mergeCell ref="O11:P12"/>
    <mergeCell ref="G13:J14"/>
    <mergeCell ref="K13:L14"/>
    <mergeCell ref="M13:N14"/>
    <mergeCell ref="O13:P14"/>
    <mergeCell ref="M7:N8"/>
    <mergeCell ref="O7:P8"/>
    <mergeCell ref="G9:J10"/>
    <mergeCell ref="X7:Y8"/>
    <mergeCell ref="Z7:AA8"/>
    <mergeCell ref="T4:W4"/>
    <mergeCell ref="X4:Y4"/>
    <mergeCell ref="Z4:AA4"/>
    <mergeCell ref="G1:P3"/>
    <mergeCell ref="T1:AC3"/>
    <mergeCell ref="T11:W12"/>
    <mergeCell ref="X11:Y12"/>
    <mergeCell ref="Z11:AA12"/>
    <mergeCell ref="AB11:AC12"/>
    <mergeCell ref="AB7:AC8"/>
    <mergeCell ref="T9:W10"/>
    <mergeCell ref="X9:Y10"/>
    <mergeCell ref="Z9:AA10"/>
    <mergeCell ref="AB9:AC10"/>
    <mergeCell ref="T5:W6"/>
    <mergeCell ref="X5:Y6"/>
    <mergeCell ref="Z5:AA6"/>
    <mergeCell ref="AB5:AC6"/>
    <mergeCell ref="T7:W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217E-A272-4049-8B6D-5DA8E11D34A5}">
  <sheetPr codeName="Arkusz3"/>
  <dimension ref="A1:Q45"/>
  <sheetViews>
    <sheetView tabSelected="1" topLeftCell="F1" zoomScale="90" zoomScaleNormal="55" workbookViewId="0">
      <selection activeCell="J13" sqref="J13"/>
    </sheetView>
  </sheetViews>
  <sheetFormatPr baseColWidth="10" defaultColWidth="11" defaultRowHeight="16" x14ac:dyDescent="0.2"/>
  <cols>
    <col min="1" max="1" width="45" hidden="1" customWidth="1"/>
    <col min="2" max="2" width="18.33203125" hidden="1" customWidth="1"/>
    <col min="3" max="5" width="15.83203125" hidden="1" customWidth="1"/>
    <col min="6" max="6" width="11" customWidth="1"/>
    <col min="7" max="7" width="21.6640625" customWidth="1"/>
    <col min="8" max="8" width="11.33203125" customWidth="1"/>
    <col min="9" max="9" width="62.1640625" customWidth="1"/>
    <col min="10" max="10" width="11.83203125" bestFit="1" customWidth="1"/>
    <col min="13" max="13" width="23.33203125" customWidth="1"/>
  </cols>
  <sheetData>
    <row r="1" spans="1:17" x14ac:dyDescent="0.2">
      <c r="A1" s="101" t="s">
        <v>3</v>
      </c>
      <c r="B1" s="101"/>
      <c r="C1" s="101"/>
      <c r="D1" s="101"/>
      <c r="E1" s="101"/>
    </row>
    <row r="2" spans="1:17" x14ac:dyDescent="0.2">
      <c r="A2" s="101"/>
      <c r="B2" s="101"/>
      <c r="C2" s="101"/>
      <c r="D2" s="101"/>
      <c r="E2" s="101"/>
    </row>
    <row r="3" spans="1:17" ht="16" customHeight="1" x14ac:dyDescent="0.2">
      <c r="A3" s="101"/>
      <c r="B3" s="101"/>
      <c r="C3" s="101"/>
      <c r="D3" s="101"/>
      <c r="E3" s="101"/>
    </row>
    <row r="4" spans="1:17" ht="16" customHeight="1" x14ac:dyDescent="0.2">
      <c r="A4" s="8"/>
      <c r="B4" s="32">
        <v>44196</v>
      </c>
      <c r="C4" s="9">
        <v>2021</v>
      </c>
      <c r="D4" s="8">
        <v>2022</v>
      </c>
      <c r="E4" s="8">
        <v>2023</v>
      </c>
      <c r="I4" s="10"/>
      <c r="J4" s="10">
        <v>2021</v>
      </c>
      <c r="K4" s="10">
        <v>2022</v>
      </c>
      <c r="L4" s="10">
        <v>2023</v>
      </c>
    </row>
    <row r="5" spans="1:17" ht="16" customHeight="1" x14ac:dyDescent="0.2">
      <c r="A5" s="8" t="s">
        <v>11</v>
      </c>
      <c r="B5" s="20">
        <f>SUM(B6:B9)</f>
        <v>117715190</v>
      </c>
      <c r="C5" s="12">
        <v>113596044</v>
      </c>
      <c r="D5" s="13">
        <v>138018948</v>
      </c>
      <c r="E5" s="13">
        <v>230462892</v>
      </c>
      <c r="G5" s="30"/>
      <c r="I5" s="10" t="s">
        <v>52</v>
      </c>
      <c r="J5" s="38">
        <f>'Analiza płynności i zadłużenia'!C11*100/(B19+C19)/2</f>
        <v>14.867406020508202</v>
      </c>
      <c r="K5" s="38">
        <f>'Analiza płynności i zadłużenia'!D11*100/(C19+D19)/2</f>
        <v>9.6990187916680455</v>
      </c>
      <c r="L5" s="38">
        <f>'Analiza płynności i zadłużenia'!E11*100/(D19+E19)/2</f>
        <v>6.8213226758844634</v>
      </c>
      <c r="M5" s="2"/>
    </row>
    <row r="6" spans="1:17" ht="16" customHeight="1" x14ac:dyDescent="0.2">
      <c r="A6" s="10" t="s">
        <v>12</v>
      </c>
      <c r="B6" s="11">
        <v>113080120</v>
      </c>
      <c r="C6" s="14">
        <v>108411078</v>
      </c>
      <c r="D6" s="15">
        <v>134591726</v>
      </c>
      <c r="E6" s="15">
        <v>166970001</v>
      </c>
      <c r="I6" s="10" t="s">
        <v>53</v>
      </c>
      <c r="J6" s="38">
        <f>'Analiza płynności i zadłużenia'!C19*100/('Wskaźniki Finansowe'!B21+'Wskaźniki Finansowe'!C21)/2</f>
        <v>16.401295625660691</v>
      </c>
      <c r="K6" s="38">
        <f>'Analiza płynności i zadłużenia'!D19*100/('Wskaźniki Finansowe'!C21+'Wskaźniki Finansowe'!D21)/2</f>
        <v>10.350363254266599</v>
      </c>
      <c r="L6" s="38">
        <f>'Analiza płynności i zadłużenia'!E19*100/('Wskaźniki Finansowe'!D21+'Wskaźniki Finansowe'!E21)/2</f>
        <v>12.522694404472675</v>
      </c>
    </row>
    <row r="7" spans="1:17" ht="16" customHeight="1" x14ac:dyDescent="0.2">
      <c r="A7" s="10" t="s">
        <v>13</v>
      </c>
      <c r="B7" s="11">
        <v>637656</v>
      </c>
      <c r="C7" s="14">
        <v>613190</v>
      </c>
      <c r="D7" s="15">
        <v>607253</v>
      </c>
      <c r="E7" s="15">
        <v>1471501</v>
      </c>
      <c r="I7" s="10" t="s">
        <v>54</v>
      </c>
      <c r="J7" s="38">
        <f>'Analiza płynności i zadłużenia'!C19*100/'Analiza płynności i zadłużenia'!C18</f>
        <v>44.815784616237067</v>
      </c>
      <c r="K7" s="38">
        <f>'Analiza płynności i zadłużenia'!D19*100/'Analiza płynności i zadłużenia'!D18</f>
        <v>31.801191668905897</v>
      </c>
      <c r="L7" s="38">
        <f>'Analiza płynności i zadłużenia'!E19*100/'Analiza płynności i zadłużenia'!E18</f>
        <v>42.167003816947378</v>
      </c>
      <c r="O7" s="45"/>
      <c r="P7" s="45"/>
      <c r="Q7" s="45"/>
    </row>
    <row r="8" spans="1:17" ht="16" customHeight="1" x14ac:dyDescent="0.2">
      <c r="A8" s="10" t="s">
        <v>14</v>
      </c>
      <c r="B8" s="11">
        <v>1628599</v>
      </c>
      <c r="C8" s="14">
        <v>1628599</v>
      </c>
      <c r="D8" s="15">
        <v>1628599</v>
      </c>
      <c r="E8" s="15">
        <v>58382096</v>
      </c>
      <c r="I8" s="10" t="s">
        <v>55</v>
      </c>
      <c r="J8" s="38">
        <f>'Analiza płynności i zadłużenia'!C6*100/'Analiza płynności i zadłużenia'!C4</f>
        <v>62.025819401182069</v>
      </c>
      <c r="K8" s="38">
        <f>'Analiza płynności i zadłużenia'!D6*100/'Analiza płynności i zadłużenia'!D4</f>
        <v>49.473675814939618</v>
      </c>
      <c r="L8" s="38">
        <f>'Analiza płynności i zadłużenia'!E6*100/'Analiza płynności i zadłużenia'!E4</f>
        <v>44.482647753561146</v>
      </c>
      <c r="O8" s="45"/>
      <c r="P8" s="45"/>
      <c r="Q8" s="45"/>
    </row>
    <row r="9" spans="1:17" ht="16" customHeight="1" x14ac:dyDescent="0.2">
      <c r="A9" s="10" t="s">
        <v>15</v>
      </c>
      <c r="B9" s="11">
        <v>2368815</v>
      </c>
      <c r="C9" s="14">
        <v>2943177</v>
      </c>
      <c r="D9" s="15">
        <v>1191370</v>
      </c>
      <c r="E9" s="15">
        <v>623438</v>
      </c>
      <c r="I9" s="10" t="s">
        <v>56</v>
      </c>
      <c r="J9" s="38">
        <f>('Analiza płynności i zadłużenia'!C11+'Analiza rentowności i sprawnośc'!C6)*100/('Analiza płynności i zadłużenia'!C4+'Analiza płynności i zadłużenia'!C9)</f>
        <v>56.299478540902506</v>
      </c>
      <c r="K9" s="38">
        <f>('Analiza płynności i zadłużenia'!D11+'Analiza rentowności i sprawnośc'!D6)*100/('Analiza płynności i zadłużenia'!D4+'Analiza płynności i zadłużenia'!D9)</f>
        <v>45.981893609578016</v>
      </c>
      <c r="L9" s="38">
        <f>('Analiza płynności i zadłużenia'!E11+'Analiza rentowności i sprawnośc'!E6)*100/('Analiza płynności i zadłużenia'!E4+'Analiza płynności i zadłużenia'!E9)</f>
        <v>42.419053187922259</v>
      </c>
      <c r="O9" s="122"/>
      <c r="P9" s="122"/>
      <c r="Q9" s="122"/>
    </row>
    <row r="10" spans="1:17" ht="16" customHeight="1" x14ac:dyDescent="0.2">
      <c r="A10" s="10" t="s">
        <v>16</v>
      </c>
      <c r="B10" s="11"/>
      <c r="C10" s="15"/>
      <c r="D10" s="15"/>
      <c r="E10" s="15">
        <v>3015856</v>
      </c>
      <c r="I10" s="10" t="s">
        <v>188</v>
      </c>
      <c r="J10" s="38">
        <f>$C$11/$C$35</f>
        <v>5.695305350291374</v>
      </c>
      <c r="K10" s="38">
        <f>D11/D35</f>
        <v>1.9481880483458998</v>
      </c>
      <c r="L10" s="38">
        <f>E11/E35</f>
        <v>1.3649072175029269</v>
      </c>
    </row>
    <row r="11" spans="1:17" ht="16" customHeight="1" x14ac:dyDescent="0.2">
      <c r="A11" s="8" t="s">
        <v>17</v>
      </c>
      <c r="B11" s="20">
        <f>SUM(B12:B18)</f>
        <v>75847219</v>
      </c>
      <c r="C11" s="12">
        <v>125330451</v>
      </c>
      <c r="D11" s="13">
        <v>112734662</v>
      </c>
      <c r="E11" s="13">
        <v>58569464</v>
      </c>
      <c r="I11" s="10" t="s">
        <v>189</v>
      </c>
      <c r="J11" s="38">
        <f>(C11-C12-C17)/C35</f>
        <v>5.651251119982561</v>
      </c>
      <c r="K11" s="38">
        <f>(D11-D12-D17)/D35</f>
        <v>1.9143811167710625</v>
      </c>
      <c r="L11" s="38">
        <f>(E11-E12-E17)/E35</f>
        <v>1.3249071233544614</v>
      </c>
    </row>
    <row r="12" spans="1:17" ht="16" customHeight="1" x14ac:dyDescent="0.2">
      <c r="A12" s="10" t="s">
        <v>18</v>
      </c>
      <c r="B12" s="11">
        <v>719797</v>
      </c>
      <c r="C12" s="14">
        <v>808042</v>
      </c>
      <c r="D12" s="15">
        <v>1073791</v>
      </c>
      <c r="E12" s="15">
        <v>786974</v>
      </c>
      <c r="I12" s="10" t="s">
        <v>57</v>
      </c>
      <c r="J12" s="45">
        <f>C16/C35</f>
        <v>4.5978599034450864</v>
      </c>
      <c r="K12" s="45">
        <f>D16/D35</f>
        <v>1.3707649464455351</v>
      </c>
      <c r="L12" s="45">
        <f>E16/E35</f>
        <v>0.15464116162986746</v>
      </c>
      <c r="N12" s="33"/>
      <c r="O12" s="33"/>
    </row>
    <row r="13" spans="1:17" ht="16" customHeight="1" x14ac:dyDescent="0.2">
      <c r="A13" s="10" t="s">
        <v>19</v>
      </c>
      <c r="B13" s="11">
        <v>16672070</v>
      </c>
      <c r="C13" s="14">
        <v>19351568</v>
      </c>
      <c r="D13" s="15">
        <v>19071495</v>
      </c>
      <c r="E13" s="15">
        <v>21404560</v>
      </c>
      <c r="I13" s="10" t="s">
        <v>58</v>
      </c>
      <c r="J13" s="38">
        <f>((B13+C13)/2)*365/'Analiza płynności i zadłużenia'!C4</f>
        <v>27.779689654160773</v>
      </c>
      <c r="K13" s="38">
        <f>(C13+D13)/2*365/'Analiza płynności i zadłużenia'!D4</f>
        <v>32.918203736736636</v>
      </c>
      <c r="L13" s="38">
        <f>(D13+E13)/2*365/'Analiza płynności i zadłużenia'!E4</f>
        <v>37.122564630130505</v>
      </c>
    </row>
    <row r="14" spans="1:17" ht="16" customHeight="1" x14ac:dyDescent="0.2">
      <c r="A14" s="10" t="s">
        <v>20</v>
      </c>
      <c r="B14" s="11">
        <v>12046317</v>
      </c>
      <c r="C14" s="14">
        <v>3829278</v>
      </c>
      <c r="D14" s="15">
        <v>12385625</v>
      </c>
      <c r="E14" s="15">
        <v>28812663</v>
      </c>
      <c r="I14" s="10" t="s">
        <v>59</v>
      </c>
      <c r="J14" s="38">
        <f>(B38+C38)/2*365/'Analiza płynności i zadłużenia'!C4</f>
        <v>12.230984934007141</v>
      </c>
      <c r="K14" s="38">
        <f>(C38+D38)/2*365/'Analiza płynności i zadłużenia'!D4</f>
        <v>18.829624593863464</v>
      </c>
      <c r="L14" s="38">
        <f>(D38+E38)/2*365/'Analiza płynności i zadłużenia'!E4</f>
        <v>20.938529670690368</v>
      </c>
    </row>
    <row r="15" spans="1:17" ht="16" customHeight="1" x14ac:dyDescent="0.2">
      <c r="A15" s="10" t="s">
        <v>21</v>
      </c>
      <c r="B15" s="11">
        <v>4995200</v>
      </c>
      <c r="C15" s="14"/>
      <c r="D15" s="15"/>
      <c r="E15" s="15"/>
      <c r="I15" s="10" t="s">
        <v>60</v>
      </c>
      <c r="J15" s="38">
        <f>(C12+B12)/2*365/'Analiza płynności i zadłużenia'!C4</f>
        <v>1.1781956409156493</v>
      </c>
      <c r="K15" s="38">
        <f>(D12+C12)/2*365/'Analiza płynności i zadłużenia'!D4</f>
        <v>1.6122234214517024</v>
      </c>
      <c r="L15" s="38">
        <f>(E12+D12)/2*365/'Analiza płynności i zadłużenia'!E4</f>
        <v>1.7065983573247143</v>
      </c>
    </row>
    <row r="16" spans="1:17" ht="16" customHeight="1" x14ac:dyDescent="0.2">
      <c r="A16" s="10" t="s">
        <v>22</v>
      </c>
      <c r="B16" s="11">
        <v>40315528</v>
      </c>
      <c r="C16" s="14">
        <v>101180151</v>
      </c>
      <c r="D16" s="15">
        <v>79321256</v>
      </c>
      <c r="E16" s="15">
        <v>6635799</v>
      </c>
      <c r="I16" s="10" t="s">
        <v>61</v>
      </c>
      <c r="J16" s="38">
        <f>(C21+C29+C30+C34+C31)/C5</f>
        <v>1.8998357372374692</v>
      </c>
      <c r="K16" s="38">
        <f>(D21+D29+D30+D34+D31)/D5</f>
        <v>1.3884394844105028</v>
      </c>
      <c r="L16" s="38">
        <f>(E21+E29+E30+E34+E31)/E5</f>
        <v>0.91641594951433658</v>
      </c>
    </row>
    <row r="17" spans="1:12" ht="16" customHeight="1" x14ac:dyDescent="0.2">
      <c r="A17" s="10" t="s">
        <v>23</v>
      </c>
      <c r="B17" s="11">
        <v>174227</v>
      </c>
      <c r="C17" s="14">
        <v>161412</v>
      </c>
      <c r="D17" s="15">
        <v>882495</v>
      </c>
      <c r="E17" s="15">
        <v>929468</v>
      </c>
      <c r="I17" s="10" t="s">
        <v>62</v>
      </c>
      <c r="J17" s="38">
        <f>(C21+C28)/C19</f>
        <v>0.90789668216621733</v>
      </c>
      <c r="K17" s="38">
        <f>(D21+D28)/D19</f>
        <v>0.76922997439598173</v>
      </c>
      <c r="L17" s="38">
        <f>(E21+E28)/E19</f>
        <v>0.85153582943495776</v>
      </c>
    </row>
    <row r="18" spans="1:12" ht="16" customHeight="1" x14ac:dyDescent="0.2">
      <c r="A18" s="10" t="s">
        <v>24</v>
      </c>
      <c r="B18" s="11">
        <v>924080</v>
      </c>
      <c r="C18" s="14"/>
      <c r="D18" s="15"/>
      <c r="E18" s="15"/>
      <c r="I18" s="10" t="s">
        <v>63</v>
      </c>
      <c r="J18" s="38">
        <f>(C28+C35)*100/C19</f>
        <v>21.001601262339694</v>
      </c>
      <c r="K18" s="38">
        <f>(D28+D35)*100/D19</f>
        <v>31.973466703031715</v>
      </c>
      <c r="L18" s="38">
        <f>(E28+E35)*100/E19</f>
        <v>31.254198059403425</v>
      </c>
    </row>
    <row r="19" spans="1:12" x14ac:dyDescent="0.2">
      <c r="A19" s="8" t="s">
        <v>25</v>
      </c>
      <c r="B19" s="20">
        <f>SUM(B12:B18,B6:B9)</f>
        <v>193562409</v>
      </c>
      <c r="C19" s="12">
        <v>238926496</v>
      </c>
      <c r="D19" s="13">
        <v>250753610</v>
      </c>
      <c r="E19" s="13">
        <v>289032356</v>
      </c>
      <c r="H19" s="2"/>
      <c r="I19" s="46"/>
      <c r="J19" s="46"/>
      <c r="K19" s="46"/>
      <c r="L19" s="46"/>
    </row>
    <row r="20" spans="1:12" x14ac:dyDescent="0.2">
      <c r="A20" s="117"/>
      <c r="B20" s="118"/>
      <c r="C20" s="118"/>
      <c r="D20" s="118"/>
      <c r="E20" s="151"/>
    </row>
    <row r="21" spans="1:12" x14ac:dyDescent="0.2">
      <c r="A21" s="8" t="s">
        <v>26</v>
      </c>
      <c r="B21" s="20">
        <f>SUM(B22:B27)</f>
        <v>148806184</v>
      </c>
      <c r="C21" s="12">
        <v>188748106</v>
      </c>
      <c r="D21" s="13">
        <v>170578988</v>
      </c>
      <c r="E21" s="13">
        <v>198697611</v>
      </c>
    </row>
    <row r="22" spans="1:12" x14ac:dyDescent="0.2">
      <c r="A22" s="10" t="s">
        <v>27</v>
      </c>
      <c r="B22" s="11">
        <v>35128850</v>
      </c>
      <c r="C22" s="14">
        <v>35128850</v>
      </c>
      <c r="D22" s="15">
        <v>35128850</v>
      </c>
      <c r="E22" s="15">
        <v>35128850</v>
      </c>
      <c r="J22" s="45"/>
      <c r="K22" s="45"/>
      <c r="L22" s="45"/>
    </row>
    <row r="23" spans="1:12" x14ac:dyDescent="0.2">
      <c r="A23" s="10" t="s">
        <v>28</v>
      </c>
      <c r="B23" s="11">
        <v>25573479</v>
      </c>
      <c r="C23" s="14">
        <v>25573479</v>
      </c>
      <c r="D23" s="15">
        <v>25573479</v>
      </c>
      <c r="E23" s="15">
        <v>25573479</v>
      </c>
      <c r="J23" s="45"/>
      <c r="K23" s="45"/>
      <c r="L23" s="45"/>
    </row>
    <row r="24" spans="1:12" x14ac:dyDescent="0.2">
      <c r="A24" s="10" t="s">
        <v>29</v>
      </c>
      <c r="B24" s="11">
        <v>3407079</v>
      </c>
      <c r="C24" s="14">
        <v>3418127</v>
      </c>
      <c r="D24" s="15">
        <v>3488803</v>
      </c>
      <c r="E24" s="15">
        <v>49710867</v>
      </c>
      <c r="J24" s="45"/>
      <c r="K24" s="45"/>
      <c r="L24" s="45"/>
    </row>
    <row r="25" spans="1:12" x14ac:dyDescent="0.2">
      <c r="A25" s="10" t="s">
        <v>30</v>
      </c>
      <c r="B25" s="11">
        <v>985000</v>
      </c>
      <c r="C25" s="14">
        <v>985000</v>
      </c>
      <c r="D25" s="15">
        <v>985000</v>
      </c>
      <c r="E25" s="15">
        <v>985000</v>
      </c>
      <c r="J25" s="45"/>
      <c r="K25" s="45"/>
      <c r="L25" s="45"/>
    </row>
    <row r="26" spans="1:12" x14ac:dyDescent="0.2">
      <c r="A26" s="10" t="s">
        <v>31</v>
      </c>
      <c r="B26" s="11">
        <v>12916096</v>
      </c>
      <c r="C26" s="14">
        <v>12916096</v>
      </c>
      <c r="D26" s="15">
        <v>12916096</v>
      </c>
      <c r="E26" s="15">
        <v>12916096</v>
      </c>
      <c r="J26" s="45"/>
      <c r="K26" s="45"/>
      <c r="L26" s="45"/>
    </row>
    <row r="27" spans="1:12" x14ac:dyDescent="0.2">
      <c r="A27" s="10" t="s">
        <v>32</v>
      </c>
      <c r="B27" s="11">
        <v>70795680</v>
      </c>
      <c r="C27" s="14">
        <v>110726554</v>
      </c>
      <c r="D27" s="15">
        <v>92486760</v>
      </c>
      <c r="E27" s="15">
        <v>74383319</v>
      </c>
    </row>
    <row r="28" spans="1:12" x14ac:dyDescent="0.2">
      <c r="A28" s="8" t="s">
        <v>33</v>
      </c>
      <c r="B28" s="20">
        <f>SUM(B29:B34)</f>
        <v>26632996</v>
      </c>
      <c r="C28" s="12">
        <v>28172467</v>
      </c>
      <c r="D28" s="13">
        <v>22308205</v>
      </c>
      <c r="E28" s="13">
        <v>47423796</v>
      </c>
    </row>
    <row r="29" spans="1:12" x14ac:dyDescent="0.2">
      <c r="A29" s="10" t="s">
        <v>34</v>
      </c>
      <c r="B29" s="11">
        <v>6143218</v>
      </c>
      <c r="C29" s="14">
        <v>5389081</v>
      </c>
      <c r="D29" s="15">
        <v>6251498</v>
      </c>
      <c r="E29" s="15">
        <v>5395232</v>
      </c>
    </row>
    <row r="30" spans="1:12" x14ac:dyDescent="0.2">
      <c r="A30" s="10" t="s">
        <v>35</v>
      </c>
      <c r="B30" s="11">
        <v>69712</v>
      </c>
      <c r="C30" s="14">
        <v>63867</v>
      </c>
      <c r="D30" s="15">
        <v>112607</v>
      </c>
      <c r="E30" s="15">
        <v>254867</v>
      </c>
    </row>
    <row r="31" spans="1:12" x14ac:dyDescent="0.2">
      <c r="A31" s="10" t="s">
        <v>36</v>
      </c>
      <c r="B31" s="11" t="s">
        <v>37</v>
      </c>
      <c r="C31" s="14">
        <v>4684000</v>
      </c>
      <c r="D31" s="15"/>
      <c r="E31" s="15"/>
    </row>
    <row r="32" spans="1:12" x14ac:dyDescent="0.2">
      <c r="A32" s="10" t="s">
        <v>38</v>
      </c>
      <c r="B32" s="11">
        <v>61714</v>
      </c>
      <c r="C32" s="14">
        <v>15429</v>
      </c>
      <c r="D32" s="15"/>
      <c r="E32" s="15"/>
    </row>
    <row r="33" spans="1:12" x14ac:dyDescent="0.2">
      <c r="A33" s="10" t="s">
        <v>39</v>
      </c>
      <c r="B33" s="11">
        <v>1168430</v>
      </c>
      <c r="C33" s="14">
        <v>1091321</v>
      </c>
      <c r="D33" s="15">
        <v>1256236</v>
      </c>
      <c r="E33" s="15">
        <v>34921537</v>
      </c>
    </row>
    <row r="34" spans="1:12" x14ac:dyDescent="0.2">
      <c r="A34" s="10" t="s">
        <v>40</v>
      </c>
      <c r="B34" s="11">
        <v>19189922</v>
      </c>
      <c r="C34" s="14">
        <v>16928770</v>
      </c>
      <c r="D34" s="15">
        <v>14687864</v>
      </c>
      <c r="E34" s="15">
        <v>6852160</v>
      </c>
    </row>
    <row r="35" spans="1:12" x14ac:dyDescent="0.2">
      <c r="A35" s="8" t="s">
        <v>41</v>
      </c>
      <c r="B35" s="20">
        <f>SUM(B36:B43)</f>
        <v>18123229</v>
      </c>
      <c r="C35" s="12">
        <v>22005923</v>
      </c>
      <c r="D35" s="13">
        <v>57866417</v>
      </c>
      <c r="E35" s="13">
        <v>42910949</v>
      </c>
    </row>
    <row r="36" spans="1:12" x14ac:dyDescent="0.2">
      <c r="A36" s="10" t="s">
        <v>38</v>
      </c>
      <c r="B36" s="11">
        <v>4321620</v>
      </c>
      <c r="C36" s="14">
        <v>46286</v>
      </c>
      <c r="D36" s="15">
        <v>15730</v>
      </c>
      <c r="E36" s="15"/>
    </row>
    <row r="37" spans="1:12" x14ac:dyDescent="0.2">
      <c r="A37" s="10" t="s">
        <v>39</v>
      </c>
      <c r="B37" s="11">
        <v>141858</v>
      </c>
      <c r="C37" s="14">
        <v>203031</v>
      </c>
      <c r="D37" s="15">
        <v>201835</v>
      </c>
      <c r="E37" s="15">
        <v>851190</v>
      </c>
    </row>
    <row r="38" spans="1:12" x14ac:dyDescent="0.2">
      <c r="A38" s="10" t="s">
        <v>42</v>
      </c>
      <c r="B38" s="11">
        <v>5518424</v>
      </c>
      <c r="C38" s="14">
        <v>10342249</v>
      </c>
      <c r="D38" s="15">
        <v>11636224</v>
      </c>
      <c r="E38" s="15">
        <v>11193801</v>
      </c>
    </row>
    <row r="39" spans="1:12" x14ac:dyDescent="0.2">
      <c r="A39" s="10" t="s">
        <v>43</v>
      </c>
      <c r="B39" s="11">
        <v>2628546</v>
      </c>
      <c r="C39" s="14">
        <v>1277956</v>
      </c>
      <c r="D39" s="15">
        <v>963104</v>
      </c>
      <c r="E39" s="15">
        <v>935779</v>
      </c>
      <c r="I39" s="2"/>
      <c r="J39" s="43"/>
      <c r="K39" s="43"/>
      <c r="L39" s="43"/>
    </row>
    <row r="40" spans="1:12" x14ac:dyDescent="0.2">
      <c r="A40" s="10" t="s">
        <v>44</v>
      </c>
      <c r="B40" s="11">
        <v>462329</v>
      </c>
      <c r="C40" s="14">
        <v>482591</v>
      </c>
      <c r="D40" s="15">
        <v>514030</v>
      </c>
      <c r="E40" s="15">
        <v>809832</v>
      </c>
      <c r="I40" s="2"/>
      <c r="J40" s="34"/>
      <c r="K40" s="34"/>
      <c r="L40" s="34"/>
    </row>
    <row r="41" spans="1:12" x14ac:dyDescent="0.2">
      <c r="A41" s="10" t="s">
        <v>45</v>
      </c>
      <c r="B41" s="11">
        <v>51000</v>
      </c>
      <c r="C41" s="14">
        <v>4805927</v>
      </c>
      <c r="D41" s="15">
        <v>6134401</v>
      </c>
      <c r="E41" s="15">
        <v>6934439</v>
      </c>
    </row>
    <row r="42" spans="1:12" x14ac:dyDescent="0.2">
      <c r="A42" s="10" t="s">
        <v>46</v>
      </c>
      <c r="B42" s="11">
        <v>2796546</v>
      </c>
      <c r="C42" s="14">
        <v>2704032</v>
      </c>
      <c r="D42" s="15">
        <v>36272894</v>
      </c>
      <c r="E42" s="15">
        <v>19624505</v>
      </c>
    </row>
    <row r="43" spans="1:12" x14ac:dyDescent="0.2">
      <c r="A43" s="10" t="s">
        <v>47</v>
      </c>
      <c r="B43" s="11">
        <v>2202906</v>
      </c>
      <c r="C43" s="14">
        <v>2143851</v>
      </c>
      <c r="D43" s="15">
        <v>2128199</v>
      </c>
      <c r="E43" s="15">
        <v>2561403</v>
      </c>
    </row>
    <row r="44" spans="1:12" x14ac:dyDescent="0.2">
      <c r="A44" s="8" t="s">
        <v>48</v>
      </c>
      <c r="B44" s="20">
        <f>SUM(B35,B28,B21)</f>
        <v>193562409</v>
      </c>
      <c r="C44" s="13">
        <v>238926496</v>
      </c>
      <c r="D44" s="13">
        <v>250753610</v>
      </c>
      <c r="E44" s="13">
        <v>289032356</v>
      </c>
    </row>
    <row r="45" spans="1:12" x14ac:dyDescent="0.2">
      <c r="C45" s="2"/>
      <c r="D45" s="2"/>
      <c r="E45" s="2"/>
    </row>
  </sheetData>
  <mergeCells count="3">
    <mergeCell ref="A1:E3"/>
    <mergeCell ref="A20:E20"/>
    <mergeCell ref="O9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Wstęp</vt:lpstr>
      <vt:lpstr>Dane</vt:lpstr>
      <vt:lpstr>Zapoznanie się ze spółką</vt:lpstr>
      <vt:lpstr>Analiza Wstępna</vt:lpstr>
      <vt:lpstr>Sprawozdanie</vt:lpstr>
      <vt:lpstr>Analiza płynności i zadłużenia</vt:lpstr>
      <vt:lpstr>Analiza rentowności i sprawnośc</vt:lpstr>
      <vt:lpstr>Wskaźniki Finansowe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Rafał Łubkowski</dc:creator>
  <cp:keywords/>
  <dc:description/>
  <cp:lastModifiedBy>Rafał Łubkowski</cp:lastModifiedBy>
  <cp:revision/>
  <dcterms:created xsi:type="dcterms:W3CDTF">2024-12-21T14:48:31Z</dcterms:created>
  <dcterms:modified xsi:type="dcterms:W3CDTF">2025-01-13T20:01:18Z</dcterms:modified>
  <cp:category/>
  <cp:contentStatus/>
</cp:coreProperties>
</file>