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\Downloads\"/>
    </mc:Choice>
  </mc:AlternateContent>
  <xr:revisionPtr revIDLastSave="0" documentId="13_ncr:1_{57F70B5A-9906-4328-80EF-01BBAE9D0FC5}" xr6:coauthVersionLast="47" xr6:coauthVersionMax="47" xr10:uidLastSave="{00000000-0000-0000-0000-000000000000}"/>
  <bookViews>
    <workbookView xWindow="-108" yWindow="-108" windowWidth="23256" windowHeight="12456" xr2:uid="{CC810BEC-039C-403C-89B8-74B12E06D740}"/>
  </bookViews>
  <sheets>
    <sheet name="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1" l="1"/>
  <c r="Q53" i="1"/>
  <c r="Q52" i="1"/>
  <c r="V14" i="1"/>
  <c r="Q51" i="1"/>
  <c r="I49" i="1"/>
  <c r="Q50" i="1"/>
  <c r="Q49" i="1"/>
  <c r="X22" i="1"/>
  <c r="V22" i="1"/>
  <c r="X15" i="1"/>
  <c r="X16" i="1"/>
  <c r="X17" i="1"/>
  <c r="X18" i="1"/>
  <c r="X19" i="1"/>
  <c r="X20" i="1"/>
  <c r="X21" i="1"/>
  <c r="X14" i="1"/>
  <c r="W14" i="1"/>
  <c r="V15" i="1"/>
  <c r="V16" i="1"/>
  <c r="V17" i="1"/>
  <c r="V18" i="1"/>
  <c r="V19" i="1"/>
  <c r="V20" i="1"/>
  <c r="V21" i="1"/>
  <c r="W15" i="1"/>
  <c r="W16" i="1"/>
  <c r="W17" i="1"/>
  <c r="W18" i="1"/>
  <c r="W19" i="1"/>
  <c r="W20" i="1"/>
  <c r="W21" i="1"/>
  <c r="U15" i="1"/>
  <c r="U16" i="1"/>
  <c r="U17" i="1"/>
  <c r="U18" i="1"/>
  <c r="U19" i="1"/>
  <c r="U20" i="1"/>
  <c r="U21" i="1"/>
  <c r="U14" i="1"/>
  <c r="I51" i="1"/>
  <c r="P30" i="1"/>
  <c r="I39" i="1"/>
  <c r="I35" i="1"/>
  <c r="G14" i="1" l="1"/>
  <c r="Q14" i="1" s="1"/>
  <c r="G9" i="1"/>
  <c r="G5" i="1"/>
  <c r="G4" i="1"/>
  <c r="I14" i="1" l="1"/>
  <c r="I15" i="1" s="1"/>
  <c r="G16" i="1" s="1"/>
  <c r="S15" i="1" l="1"/>
  <c r="G15" i="1"/>
  <c r="K15" i="1" s="1"/>
  <c r="S14" i="1"/>
  <c r="I16" i="1"/>
  <c r="K14" i="1"/>
  <c r="G17" i="1"/>
  <c r="I17" i="1"/>
  <c r="Q15" i="1"/>
  <c r="S16" i="1"/>
  <c r="G7" i="1"/>
  <c r="G10" i="1" s="1"/>
  <c r="G18" i="1" l="1"/>
  <c r="I18" i="1"/>
  <c r="Q17" i="1"/>
  <c r="S17" i="1"/>
  <c r="G19" i="1" l="1"/>
  <c r="I19" i="1"/>
  <c r="K16" i="1"/>
  <c r="Q16" i="1"/>
  <c r="K17" i="1"/>
  <c r="Q18" i="1"/>
  <c r="S18" i="1"/>
  <c r="I20" i="1" l="1"/>
  <c r="G20" i="1"/>
  <c r="K18" i="1"/>
  <c r="Q19" i="1"/>
  <c r="S19" i="1"/>
  <c r="G21" i="1" l="1"/>
  <c r="I21" i="1"/>
  <c r="K19" i="1"/>
  <c r="Q20" i="1"/>
  <c r="S21" i="1" l="1"/>
  <c r="S20" i="1"/>
  <c r="K20" i="1"/>
  <c r="Q21" i="1"/>
  <c r="J14" i="1" a="1"/>
  <c r="K21" i="1" l="1"/>
  <c r="J15" i="1"/>
  <c r="T15" i="1" s="1"/>
  <c r="J14" i="1"/>
  <c r="J16" i="1"/>
  <c r="T16" i="1" s="1"/>
  <c r="J17" i="1"/>
  <c r="J18" i="1"/>
  <c r="T18" i="1" s="1"/>
  <c r="J19" i="1"/>
  <c r="T19" i="1" s="1"/>
  <c r="J20" i="1"/>
  <c r="T20" i="1" s="1"/>
  <c r="J21" i="1"/>
  <c r="I38" i="1" l="1"/>
  <c r="I37" i="1"/>
  <c r="I40" i="1" s="1"/>
  <c r="T21" i="1"/>
  <c r="T17" i="1"/>
  <c r="T14" i="1"/>
  <c r="M15" i="1"/>
  <c r="M16" i="1" s="1"/>
  <c r="M17" i="1" s="1"/>
  <c r="M18" i="1" s="1"/>
  <c r="M19" i="1" s="1"/>
  <c r="M20" i="1" s="1"/>
  <c r="M21" i="1" s="1"/>
  <c r="J22" i="1"/>
  <c r="N15" i="1"/>
  <c r="N16" i="1" s="1"/>
  <c r="N17" i="1" s="1"/>
  <c r="N18" i="1" s="1"/>
  <c r="N19" i="1" s="1"/>
  <c r="N20" i="1" s="1"/>
  <c r="N21" i="1" s="1"/>
  <c r="O15" i="1"/>
  <c r="L39" i="1" l="1"/>
  <c r="L44" i="1" s="1"/>
  <c r="H28" i="1"/>
  <c r="O20" i="1"/>
  <c r="L50" i="1"/>
  <c r="L55" i="1" s="1"/>
  <c r="P39" i="1"/>
  <c r="P44" i="1" s="1"/>
  <c r="P35" i="1"/>
  <c r="L30" i="1"/>
  <c r="L35" i="1" s="1"/>
  <c r="T22" i="1"/>
  <c r="O14" i="1"/>
  <c r="O16" i="1"/>
  <c r="O17" i="1"/>
  <c r="O18" i="1"/>
  <c r="O19" i="1"/>
  <c r="O21" i="1"/>
  <c r="I29" i="1" l="1"/>
  <c r="H27" i="1"/>
</calcChain>
</file>

<file path=xl/sharedStrings.xml><?xml version="1.0" encoding="utf-8"?>
<sst xmlns="http://schemas.openxmlformats.org/spreadsheetml/2006/main" count="152" uniqueCount="115">
  <si>
    <t>no</t>
  </si>
  <si>
    <t>Adam</t>
  </si>
  <si>
    <t>Bella</t>
  </si>
  <si>
    <t>Charlie</t>
  </si>
  <si>
    <t>Diana</t>
  </si>
  <si>
    <t>Edward</t>
  </si>
  <si>
    <t>Fiona</t>
  </si>
  <si>
    <t>Gabriel</t>
  </si>
  <si>
    <t>Hannah</t>
  </si>
  <si>
    <t>Ivan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</si>
  <si>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</si>
  <si>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</si>
  <si>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</si>
  <si>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</si>
  <si>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</si>
  <si>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</si>
  <si>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</si>
  <si>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</si>
  <si>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</si>
  <si>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</si>
  <si>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Tina</t>
  </si>
  <si>
    <t>Umar</t>
  </si>
  <si>
    <t>Vanessa</t>
  </si>
  <si>
    <t>William</t>
  </si>
  <si>
    <t>Xena</t>
  </si>
  <si>
    <t>Yara</t>
  </si>
  <si>
    <t>Zach</t>
  </si>
  <si>
    <t>Alia</t>
  </si>
  <si>
    <t>Ben</t>
  </si>
  <si>
    <t>Clara</t>
  </si>
  <si>
    <t>Daniel</t>
  </si>
  <si>
    <t>Elina</t>
  </si>
  <si>
    <t>Frank</t>
  </si>
  <si>
    <t>Greta</t>
  </si>
  <si>
    <t>Hugo</t>
  </si>
  <si>
    <t>Isla</t>
  </si>
  <si>
    <t>Jake</t>
  </si>
  <si>
    <t>Kira</t>
  </si>
  <si>
    <t>Leo</t>
  </si>
  <si>
    <t>Maya</t>
  </si>
  <si>
    <t>Nathan</t>
  </si>
  <si>
    <t>Ophelia</t>
  </si>
  <si>
    <t>Peter</t>
  </si>
  <si>
    <t>Quincy</t>
  </si>
  <si>
    <t>Rose</t>
  </si>
  <si>
    <t>Seth</t>
  </si>
  <si>
    <t>Tara</t>
  </si>
  <si>
    <t>Ulysses</t>
  </si>
  <si>
    <t>Vicky</t>
  </si>
  <si>
    <t>Wade</t>
  </si>
  <si>
    <t>Zara</t>
  </si>
  <si>
    <t>xmax</t>
  </si>
  <si>
    <t>xmin</t>
  </si>
  <si>
    <t>rentang</t>
  </si>
  <si>
    <t>batas interval</t>
  </si>
  <si>
    <t>panjang</t>
  </si>
  <si>
    <t>interval</t>
  </si>
  <si>
    <t>-</t>
  </si>
  <si>
    <t>frekuensi</t>
  </si>
  <si>
    <t>titik tengah</t>
  </si>
  <si>
    <t xml:space="preserve">DATA AWAL </t>
  </si>
  <si>
    <t>Data nilai Bahasa indonesia 50 orang mahasiswa Prodi Teknnik informatika</t>
  </si>
  <si>
    <t>NO.</t>
  </si>
  <si>
    <t>Nama</t>
  </si>
  <si>
    <t>Nilai</t>
  </si>
  <si>
    <t>FKA</t>
  </si>
  <si>
    <t>FKB</t>
  </si>
  <si>
    <t>Tepi Bawah</t>
  </si>
  <si>
    <t>Tepi Atas</t>
  </si>
  <si>
    <t>Total</t>
  </si>
  <si>
    <t>Frekuensi Relatif</t>
  </si>
  <si>
    <t>Frekuensi Kumulatif</t>
  </si>
  <si>
    <t>fxT</t>
  </si>
  <si>
    <t xml:space="preserve">mean </t>
  </si>
  <si>
    <t>25</t>
  </si>
  <si>
    <t xml:space="preserve">1/2  * n </t>
  </si>
  <si>
    <t>tb</t>
  </si>
  <si>
    <t>fkb</t>
  </si>
  <si>
    <t>fi</t>
  </si>
  <si>
    <t>p</t>
  </si>
  <si>
    <t>median</t>
  </si>
  <si>
    <t>d1</t>
  </si>
  <si>
    <t>d2</t>
  </si>
  <si>
    <t>modus</t>
  </si>
  <si>
    <t>1/4  n</t>
  </si>
  <si>
    <t>kuartil 1</t>
  </si>
  <si>
    <t>q1</t>
  </si>
  <si>
    <t>kuartil 2</t>
  </si>
  <si>
    <t>kuartil 3</t>
  </si>
  <si>
    <t>3/4 n</t>
  </si>
  <si>
    <t>q3</t>
  </si>
  <si>
    <t>desil 7</t>
  </si>
  <si>
    <t>7/10 * n</t>
  </si>
  <si>
    <t>D7</t>
  </si>
  <si>
    <t>87/100</t>
  </si>
  <si>
    <t>p87</t>
  </si>
  <si>
    <t>persentil 87</t>
  </si>
  <si>
    <t>Range InterKuantil</t>
  </si>
  <si>
    <t>Deviasi  kuartil</t>
  </si>
  <si>
    <t>tfxt</t>
  </si>
  <si>
    <t>tf</t>
  </si>
  <si>
    <t>2/4  n</t>
  </si>
  <si>
    <t>q2 = median</t>
  </si>
  <si>
    <t xml:space="preserve">sumber </t>
  </si>
  <si>
    <t>fiktif</t>
  </si>
  <si>
    <t>|xt-xI</t>
  </si>
  <si>
    <t>f|xt-x|</t>
  </si>
  <si>
    <t>xt-x|^2</t>
  </si>
  <si>
    <t>f(xt-x|)^2</t>
  </si>
  <si>
    <t>jangkauan</t>
  </si>
  <si>
    <t>range interkuartil</t>
  </si>
  <si>
    <t>Deviasi Kuartil</t>
  </si>
  <si>
    <t>mean devition</t>
  </si>
  <si>
    <t>varians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</si>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</sst>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0" fillId="6" borderId="2" xfId="2" applyFont="1" applyFill="1" applyBorder="1" applyAlignment="1">
      <alignment horizontal="center"/>
    </xf>
    <xf numFmtId="9" fontId="0" fillId="6" borderId="3" xfId="2" applyFont="1" applyFill="1" applyBorder="1" applyAlignment="1">
      <alignment horizontal="center"/>
    </xf>
    <xf numFmtId="9" fontId="0" fillId="5" borderId="2" xfId="2" applyFont="1" applyFill="1" applyBorder="1" applyAlignment="1">
      <alignment horizontal="center"/>
    </xf>
    <xf numFmtId="9" fontId="0" fillId="5" borderId="3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9" fontId="0" fillId="4" borderId="2" xfId="2" applyFon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3" borderId="2" xfId="2" applyFont="1" applyFill="1" applyBorder="1" applyAlignment="1">
      <alignment horizontal="center"/>
    </xf>
    <xf numFmtId="9" fontId="0" fillId="3" borderId="3" xfId="2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</cellXfs>
  <cellStyles count="3">
    <cellStyle name="Normal" xfId="0" builtinId="0"/>
    <cellStyle name="Normal 2" xfId="1" xr:uid="{73001252-9675-4E8B-A9CB-DF34C39BF0F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Frekuensi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Frekuensi</c:v>
          </c:tx>
          <c:spPr>
            <a:solidFill>
              <a:schemeClr val="accent1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A9EB-4F84-B64F-268F570586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EB-4F84-B64F-268F570586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EB-4F84-B64F-268F570586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EB-4F84-B64F-268F570586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EB-4F84-B64F-268F570586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EB-4F84-B64F-268F5705866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9EB-4F84-B64F-268F570586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UTS!$Q$14:$S$21</c:f>
              <c:multiLvlStrCache>
                <c:ptCount val="8"/>
                <c:lvl>
                  <c:pt idx="0">
                    <c:v>15,5</c:v>
                  </c:pt>
                  <c:pt idx="1">
                    <c:v>29,5</c:v>
                  </c:pt>
                  <c:pt idx="2">
                    <c:v>43,5</c:v>
                  </c:pt>
                  <c:pt idx="3">
                    <c:v>57,5</c:v>
                  </c:pt>
                  <c:pt idx="4">
                    <c:v>71,5</c:v>
                  </c:pt>
                  <c:pt idx="5">
                    <c:v>85,5</c:v>
                  </c:pt>
                  <c:pt idx="6">
                    <c:v>99,5</c:v>
                  </c:pt>
                  <c:pt idx="7">
                    <c:v>113,5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</c:lvl>
                <c:lvl>
                  <c:pt idx="0">
                    <c:v>0,5</c:v>
                  </c:pt>
                  <c:pt idx="1">
                    <c:v>15,5</c:v>
                  </c:pt>
                  <c:pt idx="2">
                    <c:v>29,5</c:v>
                  </c:pt>
                  <c:pt idx="3">
                    <c:v>43,5</c:v>
                  </c:pt>
                  <c:pt idx="4">
                    <c:v>57,5</c:v>
                  </c:pt>
                  <c:pt idx="5">
                    <c:v>71,5</c:v>
                  </c:pt>
                  <c:pt idx="6">
                    <c:v>85,5</c:v>
                  </c:pt>
                  <c:pt idx="7">
                    <c:v>99,5</c:v>
                  </c:pt>
                </c:lvl>
              </c:multiLvlStrCache>
            </c:multiLvlStrRef>
          </c:cat>
          <c:val>
            <c:numRef>
              <c:f>UTS!$J$14:$J$21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1-4125-80F7-A0B3AF199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56908384"/>
        <c:axId val="1356906944"/>
      </c:barChart>
      <c:catAx>
        <c:axId val="13569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Tepi</a:t>
                </a:r>
                <a:r>
                  <a:rPr lang="en-ID" baseline="0"/>
                  <a:t> data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06944"/>
        <c:crosses val="autoZero"/>
        <c:auto val="1"/>
        <c:lblAlgn val="ctr"/>
        <c:lblOffset val="100"/>
        <c:noMultiLvlLbl val="0"/>
      </c:catAx>
      <c:valAx>
        <c:axId val="13569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Frekuensi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0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Frekuensi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UTS!$K$14:$L$21</c:f>
              <c:strCache>
                <c:ptCount val="8"/>
                <c:pt idx="0">
                  <c:v>8</c:v>
                </c:pt>
                <c:pt idx="1">
                  <c:v>22,5</c:v>
                </c:pt>
                <c:pt idx="2">
                  <c:v>36,5</c:v>
                </c:pt>
                <c:pt idx="3">
                  <c:v>50,5</c:v>
                </c:pt>
                <c:pt idx="4">
                  <c:v>64,5</c:v>
                </c:pt>
                <c:pt idx="5">
                  <c:v>78,5</c:v>
                </c:pt>
                <c:pt idx="6">
                  <c:v>92,5</c:v>
                </c:pt>
                <c:pt idx="7">
                  <c:v>106,5</c:v>
                </c:pt>
              </c:strCache>
            </c:strRef>
          </c:cat>
          <c:val>
            <c:numRef>
              <c:f>UTS!$J$14:$J$21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5-4657-BB4E-6819D92F8F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868927"/>
        <c:axId val="123870847"/>
      </c:lineChart>
      <c:catAx>
        <c:axId val="12386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titik</a:t>
                </a:r>
                <a:r>
                  <a:rPr lang="en-ID" baseline="0"/>
                  <a:t> tengah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70847"/>
        <c:crosses val="autoZero"/>
        <c:auto val="1"/>
        <c:lblAlgn val="ctr"/>
        <c:lblOffset val="100"/>
        <c:noMultiLvlLbl val="0"/>
      </c:catAx>
      <c:valAx>
        <c:axId val="12387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Frekuensi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UTS!$K$14:$L$21</c:f>
              <c:strCache>
                <c:ptCount val="8"/>
                <c:pt idx="0">
                  <c:v>8</c:v>
                </c:pt>
                <c:pt idx="1">
                  <c:v>22,5</c:v>
                </c:pt>
                <c:pt idx="2">
                  <c:v>36,5</c:v>
                </c:pt>
                <c:pt idx="3">
                  <c:v>50,5</c:v>
                </c:pt>
                <c:pt idx="4">
                  <c:v>64,5</c:v>
                </c:pt>
                <c:pt idx="5">
                  <c:v>78,5</c:v>
                </c:pt>
                <c:pt idx="6">
                  <c:v>92,5</c:v>
                </c:pt>
                <c:pt idx="7">
                  <c:v>106,5</c:v>
                </c:pt>
              </c:strCache>
            </c:strRef>
          </c:cat>
          <c:val>
            <c:numRef>
              <c:f>UTS!$M$14:$M$21</c:f>
              <c:numCache>
                <c:formatCode>General</c:formatCode>
                <c:ptCount val="8"/>
                <c:pt idx="0">
                  <c:v>50</c:v>
                </c:pt>
                <c:pt idx="1">
                  <c:v>43</c:v>
                </c:pt>
                <c:pt idx="2">
                  <c:v>39</c:v>
                </c:pt>
                <c:pt idx="3">
                  <c:v>29</c:v>
                </c:pt>
                <c:pt idx="4">
                  <c:v>18</c:v>
                </c:pt>
                <c:pt idx="5">
                  <c:v>16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5-4024-9ECF-E27C852134F9}"/>
            </c:ext>
          </c:extLst>
        </c:ser>
        <c:ser>
          <c:idx val="1"/>
          <c:order val="1"/>
          <c:tx>
            <c:v>FKB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UTS!$K$14:$L$21</c:f>
              <c:strCache>
                <c:ptCount val="8"/>
                <c:pt idx="0">
                  <c:v>8</c:v>
                </c:pt>
                <c:pt idx="1">
                  <c:v>22,5</c:v>
                </c:pt>
                <c:pt idx="2">
                  <c:v>36,5</c:v>
                </c:pt>
                <c:pt idx="3">
                  <c:v>50,5</c:v>
                </c:pt>
                <c:pt idx="4">
                  <c:v>64,5</c:v>
                </c:pt>
                <c:pt idx="5">
                  <c:v>78,5</c:v>
                </c:pt>
                <c:pt idx="6">
                  <c:v>92,5</c:v>
                </c:pt>
                <c:pt idx="7">
                  <c:v>106,5</c:v>
                </c:pt>
              </c:strCache>
            </c:strRef>
          </c:cat>
          <c:val>
            <c:numRef>
              <c:f>UTS!$N$14:$N$21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21</c:v>
                </c:pt>
                <c:pt idx="3">
                  <c:v>32</c:v>
                </c:pt>
                <c:pt idx="4">
                  <c:v>34</c:v>
                </c:pt>
                <c:pt idx="5">
                  <c:v>40</c:v>
                </c:pt>
                <c:pt idx="6">
                  <c:v>49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5-4024-9ECF-E27C852134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8632527"/>
        <c:axId val="1087062943"/>
      </c:lineChart>
      <c:catAx>
        <c:axId val="137863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Titik</a:t>
                </a:r>
                <a:r>
                  <a:rPr lang="en-ID" baseline="0"/>
                  <a:t> tengah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62943"/>
        <c:crosses val="autoZero"/>
        <c:auto val="1"/>
        <c:lblAlgn val="ctr"/>
        <c:lblOffset val="100"/>
        <c:noMultiLvlLbl val="0"/>
      </c:catAx>
      <c:valAx>
        <c:axId val="108706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FKB </a:t>
                </a:r>
                <a:r>
                  <a:rPr lang="en-ID" baseline="0"/>
                  <a:t> FKA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3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468571</xdr:colOff>
      <xdr:row>27</xdr:row>
      <xdr:rowOff>105703</xdr:rowOff>
    </xdr:from>
    <xdr:to>
      <xdr:col>34</xdr:col>
      <xdr:colOff>503891</xdr:colOff>
      <xdr:row>42</xdr:row>
      <xdr:rowOff>105701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C6EE3-8D6F-AF16-0509-A7A5E9DA7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597646</xdr:colOff>
      <xdr:row>8</xdr:row>
      <xdr:rowOff>148977</xdr:rowOff>
    </xdr:from>
    <xdr:to>
      <xdr:col>34</xdr:col>
      <xdr:colOff>271589</xdr:colOff>
      <xdr:row>24</xdr:row>
      <xdr:rowOff>5534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320A1E-713E-2066-4B93-1343D87C8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21671</xdr:colOff>
      <xdr:row>45</xdr:row>
      <xdr:rowOff>167269</xdr:rowOff>
    </xdr:from>
    <xdr:to>
      <xdr:col>35</xdr:col>
      <xdr:colOff>183801</xdr:colOff>
      <xdr:row>61</xdr:row>
      <xdr:rowOff>35208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C63B52-DCC3-F27E-D049-A83A50778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24C1-B297-44E5-8B0A-52D956749A6E}">
  <dimension ref="A1:X55"/>
  <sheetViews>
    <sheetView tabSelected="1" topLeftCell="A32" zoomScale="38" zoomScaleNormal="127" workbookViewId="0">
      <selection activeCell="Y45" sqref="Y45"/>
    </sheetView>
  </sheetViews>
  <sheetFormatPr defaultRowHeight="14.4" x14ac:dyDescent="0.3"/>
  <cols>
    <col min="6" max="6" width="13.33203125" customWidth="1"/>
    <col min="8" max="8" width="13.33203125" customWidth="1"/>
    <col min="9" max="9" width="9.5546875" customWidth="1"/>
    <col min="10" max="10" width="10.6640625" customWidth="1"/>
    <col min="11" max="11" width="12.88671875" customWidth="1"/>
    <col min="15" max="15" width="14.33203125" customWidth="1"/>
    <col min="16" max="16" width="10.6640625" bestFit="1" customWidth="1"/>
    <col min="17" max="17" width="11.21875" customWidth="1"/>
  </cols>
  <sheetData>
    <row r="1" spans="1:24" x14ac:dyDescent="0.3">
      <c r="A1" s="32" t="s">
        <v>60</v>
      </c>
      <c r="B1" s="32"/>
      <c r="C1" s="32"/>
      <c r="D1" s="32"/>
    </row>
    <row r="2" spans="1:24" x14ac:dyDescent="0.3">
      <c r="A2" t="s">
        <v>61</v>
      </c>
    </row>
    <row r="3" spans="1:24" x14ac:dyDescent="0.3">
      <c r="A3" s="3" t="s">
        <v>62</v>
      </c>
      <c r="B3" s="3" t="s">
        <v>63</v>
      </c>
      <c r="C3" s="3" t="s">
        <v>64</v>
      </c>
    </row>
    <row r="4" spans="1:24" x14ac:dyDescent="0.3">
      <c r="A4" s="2">
        <v>1</v>
      </c>
      <c r="B4" s="2" t="s">
        <v>1</v>
      </c>
      <c r="C4" s="2">
        <v>80</v>
      </c>
      <c r="F4" t="s">
        <v>51</v>
      </c>
      <c r="G4">
        <f>MAX(C4:C53)</f>
        <v>100</v>
      </c>
    </row>
    <row r="5" spans="1:24" x14ac:dyDescent="0.3">
      <c r="A5" s="2">
        <v>2</v>
      </c>
      <c r="B5" s="2" t="s">
        <v>2</v>
      </c>
      <c r="C5" s="2">
        <v>45</v>
      </c>
      <c r="F5" t="s">
        <v>52</v>
      </c>
      <c r="G5">
        <f>MIN(C4:C53)</f>
        <v>1</v>
      </c>
    </row>
    <row r="6" spans="1:24" x14ac:dyDescent="0.3">
      <c r="A6" s="2">
        <v>3</v>
      </c>
      <c r="B6" s="2" t="s">
        <v>3</v>
      </c>
      <c r="C6" s="2">
        <v>42</v>
      </c>
    </row>
    <row r="7" spans="1:24" x14ac:dyDescent="0.3">
      <c r="A7" s="2">
        <v>4</v>
      </c>
      <c r="B7" s="2" t="s">
        <v>4</v>
      </c>
      <c r="C7" s="2">
        <v>100</v>
      </c>
      <c r="F7" t="s">
        <v>53</v>
      </c>
      <c r="G7">
        <f>(G4-G5)</f>
        <v>99</v>
      </c>
    </row>
    <row r="8" spans="1:24" x14ac:dyDescent="0.3">
      <c r="A8" s="2">
        <v>5</v>
      </c>
      <c r="B8" s="2" t="s">
        <v>5</v>
      </c>
      <c r="C8" s="2">
        <v>36</v>
      </c>
    </row>
    <row r="9" spans="1:24" x14ac:dyDescent="0.3">
      <c r="A9" s="2">
        <v>6</v>
      </c>
      <c r="B9" s="2" t="s">
        <v>6</v>
      </c>
      <c r="C9" s="2">
        <v>35</v>
      </c>
      <c r="F9" t="s">
        <v>54</v>
      </c>
      <c r="G9">
        <f>1+3.3*LOG(50)</f>
        <v>6.6066010143088612</v>
      </c>
      <c r="H9">
        <v>7</v>
      </c>
    </row>
    <row r="10" spans="1:24" x14ac:dyDescent="0.3">
      <c r="A10" s="2">
        <v>7</v>
      </c>
      <c r="B10" s="2" t="s">
        <v>7</v>
      </c>
      <c r="C10" s="2">
        <v>13</v>
      </c>
      <c r="F10" t="s">
        <v>55</v>
      </c>
      <c r="G10">
        <f>G7/H9</f>
        <v>14.142857142857142</v>
      </c>
      <c r="H10">
        <v>15</v>
      </c>
    </row>
    <row r="11" spans="1:24" x14ac:dyDescent="0.3">
      <c r="A11" s="2">
        <v>8</v>
      </c>
      <c r="B11" s="2" t="s">
        <v>8</v>
      </c>
      <c r="C11" s="2">
        <v>91</v>
      </c>
    </row>
    <row r="12" spans="1:24" ht="14.4" customHeight="1" x14ac:dyDescent="0.3">
      <c r="A12" s="2">
        <v>9</v>
      </c>
      <c r="B12" s="2" t="s">
        <v>9</v>
      </c>
      <c r="C12" s="2">
        <v>89</v>
      </c>
      <c r="F12" s="42" t="s">
        <v>0</v>
      </c>
      <c r="G12" s="35" t="s">
        <v>56</v>
      </c>
      <c r="H12" s="35"/>
      <c r="I12" s="35"/>
      <c r="J12" s="35" t="s">
        <v>58</v>
      </c>
      <c r="K12" s="44" t="s">
        <v>59</v>
      </c>
      <c r="L12" s="45"/>
      <c r="M12" s="30" t="s">
        <v>71</v>
      </c>
      <c r="N12" s="30"/>
      <c r="O12" s="4"/>
      <c r="P12" s="4"/>
      <c r="Q12" s="35" t="s">
        <v>67</v>
      </c>
      <c r="R12" s="5"/>
      <c r="S12" s="35" t="s">
        <v>68</v>
      </c>
      <c r="T12" s="60" t="s">
        <v>72</v>
      </c>
      <c r="U12" s="25" t="s">
        <v>105</v>
      </c>
      <c r="V12" s="25" t="s">
        <v>106</v>
      </c>
      <c r="W12" s="25" t="s">
        <v>107</v>
      </c>
      <c r="X12" s="25" t="s">
        <v>108</v>
      </c>
    </row>
    <row r="13" spans="1:24" ht="15.6" customHeight="1" x14ac:dyDescent="0.3">
      <c r="A13" s="2">
        <v>10</v>
      </c>
      <c r="B13" s="2" t="s">
        <v>10</v>
      </c>
      <c r="C13" s="2">
        <v>18</v>
      </c>
      <c r="F13" s="43"/>
      <c r="G13" s="35"/>
      <c r="H13" s="35"/>
      <c r="I13" s="35"/>
      <c r="J13" s="35"/>
      <c r="K13" s="46"/>
      <c r="L13" s="47"/>
      <c r="M13" s="3" t="s">
        <v>65</v>
      </c>
      <c r="N13" s="3" t="s">
        <v>66</v>
      </c>
      <c r="O13" s="27" t="s">
        <v>70</v>
      </c>
      <c r="P13" s="28"/>
      <c r="Q13" s="35"/>
      <c r="R13" s="5"/>
      <c r="S13" s="35"/>
      <c r="T13" s="60"/>
      <c r="U13" s="25"/>
      <c r="V13" s="25"/>
      <c r="W13" s="25"/>
      <c r="X13" s="25"/>
    </row>
    <row r="14" spans="1:24" x14ac:dyDescent="0.3">
      <c r="A14" s="2">
        <v>11</v>
      </c>
      <c r="B14" s="2" t="s">
        <v>11</v>
      </c>
      <c r="C14" s="2">
        <v>78</v>
      </c>
      <c r="F14" s="2">
        <v>1</v>
      </c>
      <c r="G14" s="2">
        <f>MIN(C4:C53)</f>
        <v>1</v>
      </c>
      <c r="H14" s="2" t="s">
        <v>57</v>
      </c>
      <c r="I14" s="2">
        <f>G14+(H10-1)</f>
        <v>15</v>
      </c>
      <c r="J14" s="2">
        <f t="array" ref="J14:J21">FREQUENCY(C4:C53,I14:I21)</f>
        <v>7</v>
      </c>
      <c r="K14" s="33">
        <f>MEDIAN(G14:I14)</f>
        <v>8</v>
      </c>
      <c r="L14" s="34"/>
      <c r="M14" s="1">
        <v>50</v>
      </c>
      <c r="N14" s="1">
        <v>7</v>
      </c>
      <c r="O14" s="54">
        <f t="shared" ref="O14:O21" si="0">J14/J$22</f>
        <v>0.14000000000000001</v>
      </c>
      <c r="P14" s="55"/>
      <c r="Q14" s="1">
        <f>G14-0.5</f>
        <v>0.5</v>
      </c>
      <c r="R14" s="2" t="s">
        <v>57</v>
      </c>
      <c r="S14" s="1">
        <f>I14+0.5</f>
        <v>15.5</v>
      </c>
      <c r="T14" s="1">
        <f>J14*K14</f>
        <v>56</v>
      </c>
      <c r="U14" s="1">
        <f>ABS(J14-K14)*I29</f>
        <v>52.11</v>
      </c>
      <c r="V14" s="1">
        <f>U14/J$22</f>
        <v>1.0422</v>
      </c>
      <c r="W14" s="1">
        <f>(K14-I$29)^2</f>
        <v>1945.6921</v>
      </c>
      <c r="X14" s="1">
        <f>J14*W14</f>
        <v>13619.8447</v>
      </c>
    </row>
    <row r="15" spans="1:24" x14ac:dyDescent="0.3">
      <c r="A15" s="2">
        <v>12</v>
      </c>
      <c r="B15" s="2" t="s">
        <v>12</v>
      </c>
      <c r="C15" s="2">
        <v>52</v>
      </c>
      <c r="F15" s="2">
        <v>2</v>
      </c>
      <c r="G15" s="2">
        <f>I14+1</f>
        <v>16</v>
      </c>
      <c r="H15" s="2" t="s">
        <v>57</v>
      </c>
      <c r="I15" s="2">
        <f>I14+(H$10-1)</f>
        <v>29</v>
      </c>
      <c r="J15" s="2">
        <v>4</v>
      </c>
      <c r="K15" s="33">
        <f>MEDIAN(G15:I15)</f>
        <v>22.5</v>
      </c>
      <c r="L15" s="34"/>
      <c r="M15" s="1">
        <f t="shared" ref="M15:M21" si="1">M14-J14</f>
        <v>43</v>
      </c>
      <c r="N15" s="1">
        <f t="shared" ref="N15:N21" si="2">J15+N14</f>
        <v>11</v>
      </c>
      <c r="O15" s="54">
        <f t="shared" si="0"/>
        <v>0.08</v>
      </c>
      <c r="P15" s="55"/>
      <c r="Q15" s="1">
        <f t="shared" ref="Q15:Q20" si="3">G15-0.5</f>
        <v>15.5</v>
      </c>
      <c r="R15" s="2" t="s">
        <v>57</v>
      </c>
      <c r="S15" s="1">
        <f t="shared" ref="S15:S21" si="4">I15+0.5</f>
        <v>29.5</v>
      </c>
      <c r="T15" s="1">
        <f>J15*K15</f>
        <v>90</v>
      </c>
      <c r="U15" s="1">
        <f t="shared" ref="U15:U21" si="5">ABS(J15-K15)*I30</f>
        <v>462.5</v>
      </c>
      <c r="V15" s="1">
        <f t="shared" ref="V15:V21" si="6">U15/J$22</f>
        <v>9.25</v>
      </c>
      <c r="W15" s="1">
        <f t="shared" ref="W15:W21" si="7">(K15-I$29)^2</f>
        <v>876.75209999999993</v>
      </c>
      <c r="X15" s="1">
        <f t="shared" ref="X15:X21" si="8">J15*W15</f>
        <v>3507.0083999999997</v>
      </c>
    </row>
    <row r="16" spans="1:24" x14ac:dyDescent="0.3">
      <c r="A16" s="2">
        <v>13</v>
      </c>
      <c r="B16" s="2" t="s">
        <v>13</v>
      </c>
      <c r="C16" s="2">
        <v>56</v>
      </c>
      <c r="F16" s="9">
        <v>3</v>
      </c>
      <c r="G16" s="9">
        <f t="shared" ref="G16:G21" si="9">I15+1</f>
        <v>30</v>
      </c>
      <c r="H16" s="9" t="s">
        <v>57</v>
      </c>
      <c r="I16" s="9">
        <f t="shared" ref="I16:I21" si="10">I15+(H$10-1)</f>
        <v>43</v>
      </c>
      <c r="J16" s="9">
        <v>10</v>
      </c>
      <c r="K16" s="48">
        <f t="shared" ref="K16:K21" si="11">MEDIAN(G16:I16)</f>
        <v>36.5</v>
      </c>
      <c r="L16" s="49"/>
      <c r="M16" s="10">
        <f t="shared" si="1"/>
        <v>39</v>
      </c>
      <c r="N16" s="10">
        <f t="shared" si="2"/>
        <v>21</v>
      </c>
      <c r="O16" s="56">
        <f t="shared" si="0"/>
        <v>0.2</v>
      </c>
      <c r="P16" s="57"/>
      <c r="Q16" s="10">
        <f t="shared" si="3"/>
        <v>29.5</v>
      </c>
      <c r="R16" s="9" t="s">
        <v>57</v>
      </c>
      <c r="S16" s="10">
        <f t="shared" si="4"/>
        <v>43.5</v>
      </c>
      <c r="T16" s="10">
        <f t="shared" ref="T16:T21" si="12">J16*K16</f>
        <v>365</v>
      </c>
      <c r="U16" s="1">
        <f t="shared" si="5"/>
        <v>1152.75</v>
      </c>
      <c r="V16" s="1">
        <f t="shared" si="6"/>
        <v>23.055</v>
      </c>
      <c r="W16" s="1">
        <f t="shared" si="7"/>
        <v>243.67209999999997</v>
      </c>
      <c r="X16" s="1">
        <f t="shared" si="8"/>
        <v>2436.7209999999995</v>
      </c>
    </row>
    <row r="17" spans="1:24" x14ac:dyDescent="0.3">
      <c r="A17" s="2">
        <v>14</v>
      </c>
      <c r="B17" s="2" t="s">
        <v>14</v>
      </c>
      <c r="C17" s="2">
        <v>7</v>
      </c>
      <c r="F17" s="6">
        <v>4</v>
      </c>
      <c r="G17" s="6">
        <f t="shared" si="9"/>
        <v>44</v>
      </c>
      <c r="H17" s="6" t="s">
        <v>57</v>
      </c>
      <c r="I17" s="6">
        <f t="shared" si="10"/>
        <v>57</v>
      </c>
      <c r="J17" s="6">
        <v>11</v>
      </c>
      <c r="K17" s="36">
        <f t="shared" si="11"/>
        <v>50.5</v>
      </c>
      <c r="L17" s="37"/>
      <c r="M17" s="7">
        <f t="shared" si="1"/>
        <v>29</v>
      </c>
      <c r="N17" s="7">
        <f t="shared" si="2"/>
        <v>32</v>
      </c>
      <c r="O17" s="58">
        <f t="shared" si="0"/>
        <v>0.22</v>
      </c>
      <c r="P17" s="59"/>
      <c r="Q17" s="7">
        <f t="shared" si="3"/>
        <v>43.5</v>
      </c>
      <c r="R17" s="6" t="s">
        <v>57</v>
      </c>
      <c r="S17" s="7">
        <f t="shared" si="4"/>
        <v>57.5</v>
      </c>
      <c r="T17" s="7">
        <f t="shared" si="12"/>
        <v>555.5</v>
      </c>
      <c r="U17" s="1">
        <f t="shared" si="5"/>
        <v>829.5</v>
      </c>
      <c r="V17" s="1">
        <f t="shared" si="6"/>
        <v>16.59</v>
      </c>
      <c r="W17" s="1">
        <f t="shared" si="7"/>
        <v>2.5920999999999981</v>
      </c>
      <c r="X17" s="1">
        <f t="shared" si="8"/>
        <v>28.51309999999998</v>
      </c>
    </row>
    <row r="18" spans="1:24" x14ac:dyDescent="0.3">
      <c r="A18" s="2">
        <v>15</v>
      </c>
      <c r="B18" s="2" t="s">
        <v>15</v>
      </c>
      <c r="C18" s="2">
        <v>76</v>
      </c>
      <c r="F18" s="6">
        <v>5</v>
      </c>
      <c r="G18" s="6">
        <f t="shared" si="9"/>
        <v>58</v>
      </c>
      <c r="H18" s="6" t="s">
        <v>57</v>
      </c>
      <c r="I18" s="6">
        <f t="shared" si="10"/>
        <v>71</v>
      </c>
      <c r="J18" s="6">
        <v>2</v>
      </c>
      <c r="K18" s="36">
        <f t="shared" si="11"/>
        <v>64.5</v>
      </c>
      <c r="L18" s="37"/>
      <c r="M18" s="7">
        <f t="shared" si="1"/>
        <v>18</v>
      </c>
      <c r="N18" s="7">
        <f t="shared" si="2"/>
        <v>34</v>
      </c>
      <c r="O18" s="58">
        <f t="shared" si="0"/>
        <v>0.04</v>
      </c>
      <c r="P18" s="59"/>
      <c r="Q18" s="7">
        <f t="shared" si="3"/>
        <v>57.5</v>
      </c>
      <c r="R18" s="6" t="s">
        <v>57</v>
      </c>
      <c r="S18" s="7">
        <f t="shared" si="4"/>
        <v>71.5</v>
      </c>
      <c r="T18" s="7">
        <f t="shared" si="12"/>
        <v>129</v>
      </c>
      <c r="U18" s="1">
        <f t="shared" si="5"/>
        <v>687.5</v>
      </c>
      <c r="V18" s="1">
        <f t="shared" si="6"/>
        <v>13.75</v>
      </c>
      <c r="W18" s="1">
        <f t="shared" si="7"/>
        <v>153.5121</v>
      </c>
      <c r="X18" s="1">
        <f t="shared" si="8"/>
        <v>307.02420000000001</v>
      </c>
    </row>
    <row r="19" spans="1:24" x14ac:dyDescent="0.3">
      <c r="A19" s="2">
        <v>16</v>
      </c>
      <c r="B19" s="2" t="s">
        <v>16</v>
      </c>
      <c r="C19" s="2">
        <v>99</v>
      </c>
      <c r="F19" s="11">
        <v>6</v>
      </c>
      <c r="G19" s="11">
        <f t="shared" si="9"/>
        <v>72</v>
      </c>
      <c r="H19" s="11" t="s">
        <v>57</v>
      </c>
      <c r="I19" s="11">
        <f t="shared" si="10"/>
        <v>85</v>
      </c>
      <c r="J19" s="11">
        <v>6</v>
      </c>
      <c r="K19" s="38">
        <f t="shared" si="11"/>
        <v>78.5</v>
      </c>
      <c r="L19" s="39"/>
      <c r="M19" s="12">
        <f t="shared" si="1"/>
        <v>16</v>
      </c>
      <c r="N19" s="12">
        <f t="shared" si="2"/>
        <v>40</v>
      </c>
      <c r="O19" s="52">
        <f t="shared" si="0"/>
        <v>0.12</v>
      </c>
      <c r="P19" s="53"/>
      <c r="Q19" s="12">
        <f t="shared" si="3"/>
        <v>71.5</v>
      </c>
      <c r="R19" s="11" t="s">
        <v>57</v>
      </c>
      <c r="S19" s="12">
        <f t="shared" si="4"/>
        <v>85.5</v>
      </c>
      <c r="T19" s="12">
        <f t="shared" si="12"/>
        <v>471</v>
      </c>
      <c r="U19" s="1">
        <f t="shared" si="5"/>
        <v>1087.5</v>
      </c>
      <c r="V19" s="1">
        <f t="shared" si="6"/>
        <v>21.75</v>
      </c>
      <c r="W19" s="1">
        <f t="shared" si="7"/>
        <v>696.43209999999999</v>
      </c>
      <c r="X19" s="1">
        <f t="shared" si="8"/>
        <v>4178.5925999999999</v>
      </c>
    </row>
    <row r="20" spans="1:24" x14ac:dyDescent="0.3">
      <c r="A20" s="2">
        <v>17</v>
      </c>
      <c r="B20" s="2" t="s">
        <v>17</v>
      </c>
      <c r="C20" s="2">
        <v>15</v>
      </c>
      <c r="F20" s="14">
        <v>7</v>
      </c>
      <c r="G20" s="14">
        <f t="shared" si="9"/>
        <v>86</v>
      </c>
      <c r="H20" s="14" t="s">
        <v>57</v>
      </c>
      <c r="I20" s="14">
        <f t="shared" si="10"/>
        <v>99</v>
      </c>
      <c r="J20" s="14">
        <v>9</v>
      </c>
      <c r="K20" s="40">
        <f t="shared" si="11"/>
        <v>92.5</v>
      </c>
      <c r="L20" s="41"/>
      <c r="M20" s="15">
        <f t="shared" si="1"/>
        <v>10</v>
      </c>
      <c r="N20" s="15">
        <f t="shared" si="2"/>
        <v>49</v>
      </c>
      <c r="O20" s="50">
        <f t="shared" si="0"/>
        <v>0.18</v>
      </c>
      <c r="P20" s="51"/>
      <c r="Q20" s="15">
        <f t="shared" si="3"/>
        <v>85.5</v>
      </c>
      <c r="R20" s="14" t="s">
        <v>57</v>
      </c>
      <c r="S20" s="15">
        <f t="shared" si="4"/>
        <v>99.5</v>
      </c>
      <c r="T20" s="15">
        <f t="shared" si="12"/>
        <v>832.5</v>
      </c>
      <c r="U20" s="1">
        <f t="shared" si="5"/>
        <v>4087.7045454545455</v>
      </c>
      <c r="V20" s="1">
        <f t="shared" si="6"/>
        <v>81.754090909090905</v>
      </c>
      <c r="W20" s="1">
        <f t="shared" si="7"/>
        <v>1631.3521000000001</v>
      </c>
      <c r="X20" s="1">
        <f t="shared" si="8"/>
        <v>14682.168900000001</v>
      </c>
    </row>
    <row r="21" spans="1:24" x14ac:dyDescent="0.3">
      <c r="A21" s="2">
        <v>18</v>
      </c>
      <c r="B21" s="2" t="s">
        <v>18</v>
      </c>
      <c r="C21" s="2">
        <v>98</v>
      </c>
      <c r="F21" s="2">
        <v>8</v>
      </c>
      <c r="G21" s="2">
        <f t="shared" si="9"/>
        <v>100</v>
      </c>
      <c r="H21" s="2" t="s">
        <v>57</v>
      </c>
      <c r="I21" s="2">
        <f t="shared" si="10"/>
        <v>113</v>
      </c>
      <c r="J21" s="2">
        <v>1</v>
      </c>
      <c r="K21" s="33">
        <f t="shared" si="11"/>
        <v>106.5</v>
      </c>
      <c r="L21" s="34"/>
      <c r="M21" s="1">
        <f t="shared" si="1"/>
        <v>1</v>
      </c>
      <c r="N21" s="1">
        <f t="shared" si="2"/>
        <v>50</v>
      </c>
      <c r="O21" s="54">
        <f t="shared" si="0"/>
        <v>0.02</v>
      </c>
      <c r="P21" s="55"/>
      <c r="Q21" s="1">
        <f>G21-0.5</f>
        <v>99.5</v>
      </c>
      <c r="R21" s="2" t="s">
        <v>57</v>
      </c>
      <c r="S21" s="1">
        <f t="shared" si="4"/>
        <v>113.5</v>
      </c>
      <c r="T21" s="1">
        <f t="shared" si="12"/>
        <v>106.5</v>
      </c>
      <c r="U21" s="1">
        <f t="shared" si="5"/>
        <v>4589.25</v>
      </c>
      <c r="V21" s="1">
        <f t="shared" si="6"/>
        <v>91.784999999999997</v>
      </c>
      <c r="W21" s="1">
        <f t="shared" si="7"/>
        <v>2958.2721000000001</v>
      </c>
      <c r="X21" s="1">
        <f t="shared" si="8"/>
        <v>2958.2721000000001</v>
      </c>
    </row>
    <row r="22" spans="1:24" x14ac:dyDescent="0.3">
      <c r="A22" s="2">
        <v>19</v>
      </c>
      <c r="B22" s="2" t="s">
        <v>19</v>
      </c>
      <c r="C22" s="2">
        <v>19</v>
      </c>
      <c r="F22" s="31" t="s">
        <v>69</v>
      </c>
      <c r="G22" s="31"/>
      <c r="H22" s="31"/>
      <c r="I22" s="31"/>
      <c r="J22" s="1">
        <f>SUM(J14:J21)</f>
        <v>50</v>
      </c>
      <c r="K22" s="1"/>
      <c r="L22" s="1"/>
      <c r="M22" s="1"/>
      <c r="N22" s="1"/>
      <c r="O22" s="1"/>
      <c r="P22" s="1"/>
      <c r="Q22" s="1"/>
      <c r="R22" s="1"/>
      <c r="S22" s="1"/>
      <c r="T22" s="1">
        <f>SUM(T14:T21)</f>
        <v>2605.5</v>
      </c>
      <c r="U22" s="1"/>
      <c r="V22" s="1">
        <f>SUM(V14:V21)</f>
        <v>258.97629090909095</v>
      </c>
      <c r="W22" s="1"/>
      <c r="X22" s="1">
        <f>SUM(X14:X21)</f>
        <v>41718.145000000004</v>
      </c>
    </row>
    <row r="23" spans="1:24" x14ac:dyDescent="0.3">
      <c r="A23" s="2">
        <v>20</v>
      </c>
      <c r="B23" s="2" t="s">
        <v>20</v>
      </c>
      <c r="C23" s="2">
        <v>51</v>
      </c>
    </row>
    <row r="24" spans="1:24" x14ac:dyDescent="0.3">
      <c r="A24" s="2">
        <v>21</v>
      </c>
      <c r="B24" s="2" t="s">
        <v>21</v>
      </c>
      <c r="C24" s="2">
        <v>86</v>
      </c>
    </row>
    <row r="25" spans="1:24" x14ac:dyDescent="0.3">
      <c r="A25" s="2">
        <v>22</v>
      </c>
      <c r="B25" s="2" t="s">
        <v>22</v>
      </c>
      <c r="C25" s="2">
        <v>54</v>
      </c>
    </row>
    <row r="26" spans="1:24" x14ac:dyDescent="0.3">
      <c r="A26" s="2">
        <v>23</v>
      </c>
      <c r="B26" s="2" t="s">
        <v>23</v>
      </c>
      <c r="C26" s="2">
        <v>20</v>
      </c>
    </row>
    <row r="27" spans="1:24" x14ac:dyDescent="0.3">
      <c r="A27" s="2">
        <v>24</v>
      </c>
      <c r="B27" s="2" t="s">
        <v>24</v>
      </c>
      <c r="C27" s="2">
        <v>74</v>
      </c>
      <c r="G27" s="1" t="s">
        <v>99</v>
      </c>
      <c r="H27" s="1">
        <f>T22</f>
        <v>2605.5</v>
      </c>
      <c r="I27" s="1"/>
    </row>
    <row r="28" spans="1:24" x14ac:dyDescent="0.3">
      <c r="A28" s="2">
        <v>25</v>
      </c>
      <c r="B28" s="2" t="s">
        <v>25</v>
      </c>
      <c r="C28" s="2">
        <v>41</v>
      </c>
      <c r="G28" s="1" t="s">
        <v>100</v>
      </c>
      <c r="H28" s="1">
        <f>J22</f>
        <v>50</v>
      </c>
      <c r="I28" s="1"/>
    </row>
    <row r="29" spans="1:24" x14ac:dyDescent="0.3">
      <c r="A29" s="2">
        <v>26</v>
      </c>
      <c r="B29" s="2" t="s">
        <v>26</v>
      </c>
      <c r="C29" s="2">
        <v>79</v>
      </c>
      <c r="G29" s="3">
        <v>1</v>
      </c>
      <c r="H29" s="16" t="s">
        <v>73</v>
      </c>
      <c r="I29" s="16">
        <f>T22/J22</f>
        <v>52.11</v>
      </c>
      <c r="K29" s="27" t="s">
        <v>85</v>
      </c>
      <c r="L29" s="28"/>
      <c r="O29" s="27" t="s">
        <v>91</v>
      </c>
      <c r="P29" s="28"/>
    </row>
    <row r="30" spans="1:24" x14ac:dyDescent="0.3">
      <c r="A30" s="2">
        <v>27</v>
      </c>
      <c r="B30" s="2" t="s">
        <v>27</v>
      </c>
      <c r="C30" s="2">
        <v>57</v>
      </c>
      <c r="G30" s="2"/>
      <c r="H30" s="8" t="s">
        <v>75</v>
      </c>
      <c r="I30" s="8" t="s">
        <v>74</v>
      </c>
      <c r="K30" s="2" t="s">
        <v>84</v>
      </c>
      <c r="L30" s="2">
        <f>1/4*J22</f>
        <v>12.5</v>
      </c>
      <c r="O30" s="13" t="s">
        <v>92</v>
      </c>
      <c r="P30" s="2">
        <f>7/10*J22</f>
        <v>35</v>
      </c>
    </row>
    <row r="31" spans="1:24" x14ac:dyDescent="0.3">
      <c r="A31" s="2">
        <v>28</v>
      </c>
      <c r="B31" s="2" t="s">
        <v>28</v>
      </c>
      <c r="C31" s="2">
        <v>87</v>
      </c>
      <c r="G31" s="2"/>
      <c r="H31" s="2" t="s">
        <v>76</v>
      </c>
      <c r="I31" s="2">
        <v>43.5</v>
      </c>
      <c r="K31" s="2" t="s">
        <v>76</v>
      </c>
      <c r="L31" s="2">
        <v>29.5</v>
      </c>
      <c r="O31" s="2" t="s">
        <v>76</v>
      </c>
      <c r="P31" s="2">
        <v>71.5</v>
      </c>
    </row>
    <row r="32" spans="1:24" x14ac:dyDescent="0.3">
      <c r="A32" s="2">
        <v>29</v>
      </c>
      <c r="B32" s="2" t="s">
        <v>29</v>
      </c>
      <c r="C32" s="2">
        <v>31</v>
      </c>
      <c r="G32" s="2"/>
      <c r="H32" s="2" t="s">
        <v>77</v>
      </c>
      <c r="I32" s="2">
        <v>21</v>
      </c>
      <c r="K32" s="2" t="s">
        <v>77</v>
      </c>
      <c r="L32" s="2">
        <v>11</v>
      </c>
      <c r="O32" s="2" t="s">
        <v>77</v>
      </c>
      <c r="P32" s="2">
        <v>34</v>
      </c>
    </row>
    <row r="33" spans="1:16" x14ac:dyDescent="0.3">
      <c r="A33" s="2">
        <v>30</v>
      </c>
      <c r="B33" s="2" t="s">
        <v>30</v>
      </c>
      <c r="C33" s="2">
        <v>3</v>
      </c>
      <c r="G33" s="2"/>
      <c r="H33" s="2" t="s">
        <v>78</v>
      </c>
      <c r="I33" s="2">
        <v>11</v>
      </c>
      <c r="K33" s="2" t="s">
        <v>78</v>
      </c>
      <c r="L33" s="2">
        <v>10</v>
      </c>
      <c r="O33" s="2" t="s">
        <v>78</v>
      </c>
      <c r="P33" s="2">
        <v>6</v>
      </c>
    </row>
    <row r="34" spans="1:16" x14ac:dyDescent="0.3">
      <c r="A34" s="2">
        <v>31</v>
      </c>
      <c r="B34" s="2" t="s">
        <v>31</v>
      </c>
      <c r="C34" s="2">
        <v>46</v>
      </c>
      <c r="G34" s="2"/>
      <c r="H34" s="2" t="s">
        <v>79</v>
      </c>
      <c r="I34" s="2">
        <v>15</v>
      </c>
      <c r="K34" s="2" t="s">
        <v>79</v>
      </c>
      <c r="L34" s="2">
        <v>15</v>
      </c>
      <c r="O34" s="2" t="s">
        <v>79</v>
      </c>
      <c r="P34" s="2">
        <v>15</v>
      </c>
    </row>
    <row r="35" spans="1:16" x14ac:dyDescent="0.3">
      <c r="A35" s="2">
        <v>32</v>
      </c>
      <c r="B35" s="2" t="s">
        <v>32</v>
      </c>
      <c r="C35" s="2">
        <v>38</v>
      </c>
      <c r="G35" s="3">
        <v>2</v>
      </c>
      <c r="H35" s="16" t="s">
        <v>80</v>
      </c>
      <c r="I35" s="18">
        <f>I31+((25-I32)/I33)*I34</f>
        <v>48.954545454545453</v>
      </c>
      <c r="K35" s="16" t="s">
        <v>86</v>
      </c>
      <c r="L35" s="16">
        <f>+L31+((L30-L32)/L33)*L34</f>
        <v>31.75</v>
      </c>
      <c r="O35" s="16" t="s">
        <v>93</v>
      </c>
      <c r="P35" s="16">
        <f>P31+((P30-P32)/P33)*P34</f>
        <v>74</v>
      </c>
    </row>
    <row r="36" spans="1:16" x14ac:dyDescent="0.3">
      <c r="A36" s="2">
        <v>33</v>
      </c>
      <c r="B36" s="2" t="s">
        <v>33</v>
      </c>
      <c r="C36" s="2">
        <v>49</v>
      </c>
      <c r="G36" s="1"/>
      <c r="H36" s="2" t="s">
        <v>76</v>
      </c>
      <c r="I36" s="2">
        <v>43.5</v>
      </c>
    </row>
    <row r="37" spans="1:16" x14ac:dyDescent="0.3">
      <c r="A37" s="2">
        <v>34</v>
      </c>
      <c r="B37" s="2" t="s">
        <v>34</v>
      </c>
      <c r="C37" s="2">
        <v>36</v>
      </c>
      <c r="G37" s="1"/>
      <c r="H37" s="2" t="s">
        <v>81</v>
      </c>
      <c r="I37" s="2">
        <f>J17-J16</f>
        <v>1</v>
      </c>
    </row>
    <row r="38" spans="1:16" x14ac:dyDescent="0.3">
      <c r="A38" s="2">
        <v>35</v>
      </c>
      <c r="B38" s="2" t="s">
        <v>35</v>
      </c>
      <c r="C38" s="2">
        <v>19</v>
      </c>
      <c r="G38" s="1"/>
      <c r="H38" s="2" t="s">
        <v>82</v>
      </c>
      <c r="I38" s="2">
        <f>J17-J18</f>
        <v>9</v>
      </c>
      <c r="K38" s="30" t="s">
        <v>87</v>
      </c>
      <c r="L38" s="30"/>
      <c r="O38" s="27" t="s">
        <v>96</v>
      </c>
      <c r="P38" s="28"/>
    </row>
    <row r="39" spans="1:16" x14ac:dyDescent="0.3">
      <c r="A39" s="2">
        <v>36</v>
      </c>
      <c r="B39" s="2" t="s">
        <v>36</v>
      </c>
      <c r="C39" s="2">
        <v>1</v>
      </c>
      <c r="G39" s="1"/>
      <c r="H39" s="2" t="s">
        <v>79</v>
      </c>
      <c r="I39" s="2">
        <f>H10</f>
        <v>15</v>
      </c>
      <c r="K39" s="2" t="s">
        <v>101</v>
      </c>
      <c r="L39" s="2">
        <f>2/4*J22</f>
        <v>25</v>
      </c>
      <c r="O39" s="2" t="s">
        <v>94</v>
      </c>
      <c r="P39" s="2">
        <f>87/100*J22</f>
        <v>43.5</v>
      </c>
    </row>
    <row r="40" spans="1:16" x14ac:dyDescent="0.3">
      <c r="A40" s="2">
        <v>37</v>
      </c>
      <c r="B40" s="2" t="s">
        <v>37</v>
      </c>
      <c r="C40" s="2">
        <v>43</v>
      </c>
      <c r="G40" s="3">
        <v>3</v>
      </c>
      <c r="H40" s="16" t="s">
        <v>83</v>
      </c>
      <c r="I40" s="17">
        <f>I36+(I37/(I37+I38)*I39)</f>
        <v>45</v>
      </c>
      <c r="K40" s="2" t="s">
        <v>76</v>
      </c>
      <c r="L40" s="2">
        <v>43.5</v>
      </c>
      <c r="O40" s="2" t="s">
        <v>76</v>
      </c>
      <c r="P40" s="2">
        <v>85.5</v>
      </c>
    </row>
    <row r="41" spans="1:16" x14ac:dyDescent="0.3">
      <c r="A41" s="2">
        <v>38</v>
      </c>
      <c r="B41" s="2" t="s">
        <v>38</v>
      </c>
      <c r="C41" s="2">
        <v>52</v>
      </c>
      <c r="K41" s="2" t="s">
        <v>77</v>
      </c>
      <c r="L41" s="2">
        <v>21</v>
      </c>
      <c r="O41" s="2" t="s">
        <v>77</v>
      </c>
      <c r="P41" s="2">
        <v>40</v>
      </c>
    </row>
    <row r="42" spans="1:16" x14ac:dyDescent="0.3">
      <c r="A42" s="2">
        <v>39</v>
      </c>
      <c r="B42" s="2" t="s">
        <v>39</v>
      </c>
      <c r="C42" s="2">
        <v>68</v>
      </c>
      <c r="K42" s="2" t="s">
        <v>78</v>
      </c>
      <c r="L42" s="2">
        <v>11</v>
      </c>
      <c r="O42" s="2" t="s">
        <v>78</v>
      </c>
      <c r="P42" s="2">
        <v>9</v>
      </c>
    </row>
    <row r="43" spans="1:16" x14ac:dyDescent="0.3">
      <c r="A43" s="2">
        <v>40</v>
      </c>
      <c r="B43" s="2" t="s">
        <v>40</v>
      </c>
      <c r="C43" s="2">
        <v>10</v>
      </c>
      <c r="K43" s="2" t="s">
        <v>79</v>
      </c>
      <c r="L43" s="2">
        <v>15</v>
      </c>
      <c r="O43" s="2" t="s">
        <v>79</v>
      </c>
      <c r="P43" s="2">
        <v>15</v>
      </c>
    </row>
    <row r="44" spans="1:16" x14ac:dyDescent="0.3">
      <c r="A44" s="2">
        <v>41</v>
      </c>
      <c r="B44" s="2" t="s">
        <v>41</v>
      </c>
      <c r="C44" s="2">
        <v>56</v>
      </c>
      <c r="K44" s="16" t="s">
        <v>102</v>
      </c>
      <c r="L44" s="18">
        <f>L40+((L39-L41)/L42)*L43</f>
        <v>48.954545454545453</v>
      </c>
      <c r="O44" s="16" t="s">
        <v>95</v>
      </c>
      <c r="P44" s="19">
        <f>P40+((P39-P41)/P42)*P43</f>
        <v>91.333333333333329</v>
      </c>
    </row>
    <row r="45" spans="1:16" x14ac:dyDescent="0.3">
      <c r="A45" s="2">
        <v>42</v>
      </c>
      <c r="B45" s="2" t="s">
        <v>42</v>
      </c>
      <c r="C45" s="2">
        <v>97</v>
      </c>
    </row>
    <row r="46" spans="1:16" x14ac:dyDescent="0.3">
      <c r="A46" s="2">
        <v>43</v>
      </c>
      <c r="B46" s="2" t="s">
        <v>43</v>
      </c>
      <c r="C46" s="2">
        <v>81</v>
      </c>
    </row>
    <row r="47" spans="1:16" x14ac:dyDescent="0.3">
      <c r="A47" s="2">
        <v>44</v>
      </c>
      <c r="B47" s="2" t="s">
        <v>44</v>
      </c>
      <c r="C47" s="2">
        <v>34</v>
      </c>
    </row>
    <row r="48" spans="1:16" x14ac:dyDescent="0.3">
      <c r="A48" s="2">
        <v>45</v>
      </c>
      <c r="B48" s="2" t="s">
        <v>45</v>
      </c>
      <c r="C48" s="2">
        <v>59</v>
      </c>
    </row>
    <row r="49" spans="1:17" x14ac:dyDescent="0.3">
      <c r="A49" s="2">
        <v>46</v>
      </c>
      <c r="B49" s="2" t="s">
        <v>46</v>
      </c>
      <c r="C49" s="2">
        <v>38</v>
      </c>
      <c r="G49" s="29" t="s">
        <v>97</v>
      </c>
      <c r="H49" s="29"/>
      <c r="I49" s="1">
        <f>L55-L35</f>
        <v>48.5</v>
      </c>
      <c r="K49" s="27" t="s">
        <v>88</v>
      </c>
      <c r="L49" s="28"/>
      <c r="O49" s="21" t="s">
        <v>109</v>
      </c>
      <c r="P49" s="22"/>
      <c r="Q49" s="1">
        <f>I21-G14</f>
        <v>112</v>
      </c>
    </row>
    <row r="50" spans="1:17" x14ac:dyDescent="0.3">
      <c r="A50" s="2">
        <v>47</v>
      </c>
      <c r="B50" s="2" t="s">
        <v>47</v>
      </c>
      <c r="C50" s="2">
        <v>3</v>
      </c>
      <c r="K50" s="13" t="s">
        <v>89</v>
      </c>
      <c r="L50" s="2">
        <f>3/4*J22</f>
        <v>37.5</v>
      </c>
      <c r="O50" s="20" t="s">
        <v>110</v>
      </c>
      <c r="P50" s="20"/>
      <c r="Q50" s="1">
        <f>L55-L35</f>
        <v>48.5</v>
      </c>
    </row>
    <row r="51" spans="1:17" x14ac:dyDescent="0.3">
      <c r="A51" s="2">
        <v>48</v>
      </c>
      <c r="B51" s="2" t="s">
        <v>48</v>
      </c>
      <c r="C51" s="2">
        <v>92</v>
      </c>
      <c r="G51" s="26" t="s">
        <v>98</v>
      </c>
      <c r="H51" s="26"/>
      <c r="I51" s="1">
        <f>I49/2</f>
        <v>24.25</v>
      </c>
      <c r="K51" s="2" t="s">
        <v>76</v>
      </c>
      <c r="L51" s="2">
        <v>71.5</v>
      </c>
      <c r="O51" s="23" t="s">
        <v>111</v>
      </c>
      <c r="P51" s="24"/>
      <c r="Q51" s="1">
        <f>(L55-L35)/2</f>
        <v>24.25</v>
      </c>
    </row>
    <row r="52" spans="1:17" x14ac:dyDescent="0.3">
      <c r="A52" s="2">
        <v>49</v>
      </c>
      <c r="B52" s="2" t="s">
        <v>49</v>
      </c>
      <c r="C52" s="2">
        <v>48</v>
      </c>
      <c r="K52" s="2" t="s">
        <v>77</v>
      </c>
      <c r="L52" s="2">
        <v>34</v>
      </c>
      <c r="O52" s="21" t="s">
        <v>112</v>
      </c>
      <c r="P52" s="22"/>
      <c r="Q52" s="1">
        <f>SUM(V14:V21)</f>
        <v>258.97629090909095</v>
      </c>
    </row>
    <row r="53" spans="1:17" x14ac:dyDescent="0.3">
      <c r="A53" s="2">
        <v>50</v>
      </c>
      <c r="B53" s="2" t="s">
        <v>50</v>
      </c>
      <c r="C53" s="2">
        <v>99</v>
      </c>
      <c r="K53" s="2" t="s">
        <v>78</v>
      </c>
      <c r="L53" s="2">
        <v>6</v>
      </c>
      <c r="O53" s="21" t="s">
        <v>113</v>
      </c>
      <c r="P53" s="22"/>
      <c r="Q53" s="1">
        <f>X22/J22</f>
        <v>834.36290000000008</v>
      </c>
    </row>
    <row r="54" spans="1:17" x14ac:dyDescent="0.3">
      <c r="A54" s="17" t="s">
        <v>103</v>
      </c>
      <c r="B54" s="16" t="s">
        <v>104</v>
      </c>
      <c r="K54" s="2" t="s">
        <v>79</v>
      </c>
      <c r="L54" s="2">
        <v>15</v>
      </c>
      <c r="O54" s="21" t="s">
        <v>114</v>
      </c>
      <c r="P54" s="22"/>
      <c r="Q54" s="1">
        <f>SQRT(Q53)</f>
        <v>28.885340572684964</v>
      </c>
    </row>
    <row r="55" spans="1:17" x14ac:dyDescent="0.3">
      <c r="K55" s="16" t="s">
        <v>90</v>
      </c>
      <c r="L55" s="16">
        <f>L51+((L50-L52)/L53)*L54</f>
        <v>80.25</v>
      </c>
    </row>
  </sheetData>
  <mergeCells count="43">
    <mergeCell ref="O18:P18"/>
    <mergeCell ref="O17:P17"/>
    <mergeCell ref="T12:T13"/>
    <mergeCell ref="M12:N12"/>
    <mergeCell ref="O13:P13"/>
    <mergeCell ref="S12:S13"/>
    <mergeCell ref="A1:D1"/>
    <mergeCell ref="K21:L21"/>
    <mergeCell ref="Q12:Q13"/>
    <mergeCell ref="K17:L17"/>
    <mergeCell ref="K18:L18"/>
    <mergeCell ref="K19:L19"/>
    <mergeCell ref="K20:L20"/>
    <mergeCell ref="F12:F13"/>
    <mergeCell ref="G12:I13"/>
    <mergeCell ref="J12:J13"/>
    <mergeCell ref="K12:L13"/>
    <mergeCell ref="K14:L14"/>
    <mergeCell ref="K15:L15"/>
    <mergeCell ref="K16:L16"/>
    <mergeCell ref="O20:P20"/>
    <mergeCell ref="O19:P19"/>
    <mergeCell ref="U12:U13"/>
    <mergeCell ref="V12:V13"/>
    <mergeCell ref="W12:W13"/>
    <mergeCell ref="X12:X13"/>
    <mergeCell ref="G51:H51"/>
    <mergeCell ref="O38:P38"/>
    <mergeCell ref="O29:P29"/>
    <mergeCell ref="K29:L29"/>
    <mergeCell ref="G49:H49"/>
    <mergeCell ref="K38:L38"/>
    <mergeCell ref="K49:L49"/>
    <mergeCell ref="F22:I22"/>
    <mergeCell ref="O21:P21"/>
    <mergeCell ref="O14:P14"/>
    <mergeCell ref="O15:P15"/>
    <mergeCell ref="O16:P16"/>
    <mergeCell ref="O53:P53"/>
    <mergeCell ref="O54:P54"/>
    <mergeCell ref="O49:P49"/>
    <mergeCell ref="O51:P51"/>
    <mergeCell ref="O52:P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saidi</dc:creator>
  <cp:lastModifiedBy>muhammad saidi</cp:lastModifiedBy>
  <dcterms:created xsi:type="dcterms:W3CDTF">2024-10-22T02:19:42Z</dcterms:created>
  <dcterms:modified xsi:type="dcterms:W3CDTF">2024-12-16T23:44:39Z</dcterms:modified>
</cp:coreProperties>
</file>